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defaultThemeVersion="124226"/>
  <mc:AlternateContent xmlns:mc="http://schemas.openxmlformats.org/markup-compatibility/2006">
    <mc:Choice Requires="x15">
      <x15ac:absPath xmlns:x15ac="http://schemas.microsoft.com/office/spreadsheetml/2010/11/ac" url="C:\Users\JSJUNCAC\Desktop\IPYBAC\"/>
    </mc:Choice>
  </mc:AlternateContent>
  <xr:revisionPtr revIDLastSave="0" documentId="13_ncr:1_{E940F5A4-C490-4DDA-A7AD-B5048250AD50}" xr6:coauthVersionLast="47" xr6:coauthVersionMax="47" xr10:uidLastSave="{00000000-0000-0000-0000-000000000000}"/>
  <bookViews>
    <workbookView xWindow="-120" yWindow="-120" windowWidth="20730" windowHeight="11160" activeTab="3" xr2:uid="{00000000-000D-0000-FFFF-FFFF00000000}"/>
  </bookViews>
  <sheets>
    <sheet name="Instructivo" sheetId="2" r:id="rId1"/>
    <sheet name="Estado SCI" sheetId="1" r:id="rId2"/>
    <sheet name="Análisis Resultados" sheetId="3" r:id="rId3"/>
    <sheet name="Conclusión" sheetId="5" r:id="rId4"/>
    <sheet name="Hoja1" sheetId="6" state="hidden" r:id="rId5"/>
  </sheets>
  <externalReferences>
    <externalReference r:id="rId6"/>
  </externalReferences>
  <definedNames>
    <definedName name="_xlnm._FilterDatabase" localSheetId="4" hidden="1">Hoja1!$A$1:$K$45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59" i="1" l="1"/>
  <c r="J58" i="1"/>
  <c r="J57" i="1"/>
  <c r="J56" i="1"/>
  <c r="J55" i="1"/>
  <c r="J54" i="1"/>
  <c r="J53" i="1"/>
  <c r="J52" i="1"/>
  <c r="J51" i="1"/>
  <c r="J5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A59" i="1" l="1"/>
  <c r="A58" i="1"/>
  <c r="A57" i="1"/>
  <c r="A56" i="1"/>
  <c r="A55" i="1"/>
  <c r="A54" i="1"/>
  <c r="A53" i="1"/>
  <c r="A52" i="1"/>
  <c r="A51" i="1"/>
  <c r="A50" i="1"/>
  <c r="A49" i="1"/>
  <c r="A48" i="1"/>
  <c r="A47" i="1"/>
  <c r="A46" i="1"/>
  <c r="A45" i="1"/>
  <c r="A44" i="1"/>
  <c r="A43" i="1"/>
  <c r="A42" i="1"/>
  <c r="A41" i="1"/>
  <c r="A40" i="1"/>
  <c r="A39" i="1"/>
  <c r="J37" i="1"/>
  <c r="L37" i="1" s="1"/>
  <c r="J36" i="1"/>
  <c r="L36" i="1" s="1"/>
  <c r="J35" i="1"/>
  <c r="L35" i="1" s="1"/>
  <c r="J34" i="1"/>
  <c r="L34" i="1" s="1"/>
  <c r="J33" i="1"/>
  <c r="L33" i="1" s="1"/>
  <c r="J32" i="1"/>
  <c r="L32" i="1" s="1"/>
  <c r="A38" i="1"/>
  <c r="A37" i="1"/>
  <c r="A36" i="1"/>
  <c r="A35" i="1"/>
  <c r="A34" i="1"/>
  <c r="A33" i="1"/>
  <c r="A32" i="1"/>
  <c r="L59" i="1"/>
  <c r="L58" i="1"/>
  <c r="L57" i="1"/>
  <c r="L56" i="1"/>
  <c r="L55" i="1"/>
  <c r="L54" i="1"/>
  <c r="L53" i="1"/>
  <c r="L52" i="1"/>
  <c r="L51" i="1"/>
  <c r="L50" i="1"/>
  <c r="J49" i="1"/>
  <c r="L49" i="1" s="1"/>
  <c r="J48" i="1"/>
  <c r="L48" i="1" s="1"/>
  <c r="J47" i="1"/>
  <c r="L47" i="1" s="1"/>
  <c r="J46" i="1"/>
  <c r="L46" i="1" s="1"/>
  <c r="J45" i="1"/>
  <c r="L45" i="1" s="1"/>
  <c r="J44" i="1"/>
  <c r="L44" i="1" s="1"/>
  <c r="J43" i="1"/>
  <c r="L43" i="1" s="1"/>
  <c r="J42" i="1"/>
  <c r="L42" i="1" s="1"/>
  <c r="J41" i="1"/>
  <c r="L41" i="1" s="1"/>
  <c r="J40" i="1"/>
  <c r="L40" i="1" s="1"/>
  <c r="J39" i="1"/>
  <c r="L39" i="1" s="1"/>
  <c r="J38" i="1"/>
  <c r="L38" i="1" s="1"/>
  <c r="J31" i="1"/>
  <c r="L31" i="1" s="1"/>
  <c r="J30" i="1"/>
  <c r="L30" i="1" s="1"/>
  <c r="J29" i="1"/>
  <c r="L29" i="1" s="1"/>
  <c r="J28" i="1"/>
  <c r="L28" i="1" s="1"/>
  <c r="J27" i="1"/>
  <c r="L27" i="1" s="1"/>
  <c r="J26" i="1"/>
  <c r="L26" i="1" s="1"/>
  <c r="J25" i="1"/>
  <c r="L25" i="1" s="1"/>
  <c r="J24" i="1"/>
  <c r="L24" i="1" s="1"/>
  <c r="J23" i="1"/>
  <c r="L23" i="1" s="1"/>
  <c r="J22" i="1"/>
  <c r="L22" i="1" s="1"/>
  <c r="J21" i="1"/>
  <c r="L21" i="1" s="1"/>
  <c r="J20" i="1"/>
  <c r="L20" i="1" s="1"/>
  <c r="J19" i="1"/>
  <c r="L19" i="1" s="1"/>
  <c r="J18" i="1"/>
  <c r="L18" i="1" s="1"/>
  <c r="J17" i="1"/>
  <c r="L17" i="1" s="1"/>
  <c r="J16" i="1"/>
  <c r="L16" i="1" s="1"/>
  <c r="A31" i="1" l="1"/>
  <c r="A30" i="1"/>
  <c r="A29" i="1"/>
  <c r="A28" i="1"/>
  <c r="A27" i="1"/>
  <c r="A26" i="1"/>
  <c r="A25" i="1"/>
  <c r="A24" i="1"/>
  <c r="A23" i="1"/>
  <c r="A22" i="1"/>
  <c r="A21" i="1"/>
  <c r="A20" i="1"/>
  <c r="A19" i="1"/>
  <c r="A18" i="1"/>
  <c r="A17" i="1"/>
  <c r="A16" i="1"/>
  <c r="I3" i="6" l="1"/>
  <c r="J3" i="6" s="1"/>
  <c r="I11" i="6"/>
  <c r="J11" i="6" s="1"/>
  <c r="I19" i="6"/>
  <c r="J19" i="6" s="1"/>
  <c r="I25" i="6"/>
  <c r="J25" i="6" s="1"/>
  <c r="I33" i="6"/>
  <c r="J33" i="6" s="1"/>
  <c r="I41" i="6"/>
  <c r="J41" i="6" s="1"/>
  <c r="B29" i="6"/>
  <c r="I4" i="6"/>
  <c r="J4" i="6" s="1"/>
  <c r="I12" i="6"/>
  <c r="J12" i="6" s="1"/>
  <c r="I20" i="6"/>
  <c r="J20" i="6" s="1"/>
  <c r="I26" i="6"/>
  <c r="J26" i="6" s="1"/>
  <c r="I34" i="6"/>
  <c r="J34" i="6" s="1"/>
  <c r="I42" i="6"/>
  <c r="J42" i="6" s="1"/>
  <c r="B36" i="6"/>
  <c r="I5" i="6"/>
  <c r="J5" i="6" s="1"/>
  <c r="I13" i="6"/>
  <c r="J13" i="6" s="1"/>
  <c r="I27" i="6"/>
  <c r="J27" i="6" s="1"/>
  <c r="I35" i="6"/>
  <c r="J35" i="6" s="1"/>
  <c r="I43" i="6"/>
  <c r="J43" i="6" s="1"/>
  <c r="B2" i="6"/>
  <c r="I6" i="6"/>
  <c r="J6" i="6" s="1"/>
  <c r="I14" i="6"/>
  <c r="J14" i="6" s="1"/>
  <c r="I21" i="6"/>
  <c r="J21" i="6" s="1"/>
  <c r="I28" i="6"/>
  <c r="J28" i="6" s="1"/>
  <c r="I36" i="6"/>
  <c r="J36" i="6" s="1"/>
  <c r="I44" i="6"/>
  <c r="J44" i="6" s="1"/>
  <c r="I7" i="6"/>
  <c r="J7" i="6" s="1"/>
  <c r="I15" i="6"/>
  <c r="J15" i="6" s="1"/>
  <c r="I22" i="6"/>
  <c r="J22" i="6" s="1"/>
  <c r="I29" i="6"/>
  <c r="J29" i="6" s="1"/>
  <c r="I37" i="6"/>
  <c r="J37" i="6" s="1"/>
  <c r="I45" i="6"/>
  <c r="J45" i="6" s="1"/>
  <c r="I8" i="6"/>
  <c r="J8" i="6" s="1"/>
  <c r="I16" i="6"/>
  <c r="J16" i="6" s="1"/>
  <c r="I23" i="6"/>
  <c r="J23" i="6" s="1"/>
  <c r="I30" i="6"/>
  <c r="J30" i="6" s="1"/>
  <c r="I38" i="6"/>
  <c r="J38" i="6" s="1"/>
  <c r="I2" i="6"/>
  <c r="J2" i="6" s="1"/>
  <c r="I9" i="6"/>
  <c r="J9" i="6" s="1"/>
  <c r="I17" i="6"/>
  <c r="J17" i="6" s="1"/>
  <c r="I31" i="6"/>
  <c r="J31" i="6" s="1"/>
  <c r="I39" i="6"/>
  <c r="J39" i="6" s="1"/>
  <c r="B14" i="6"/>
  <c r="I10" i="6"/>
  <c r="J10" i="6" s="1"/>
  <c r="I18" i="6"/>
  <c r="J18" i="6" s="1"/>
  <c r="I24" i="6"/>
  <c r="J24" i="6" s="1"/>
  <c r="I32" i="6"/>
  <c r="J32" i="6" s="1"/>
  <c r="I40" i="6"/>
  <c r="J40" i="6" s="1"/>
  <c r="B24" i="6"/>
  <c r="G41" i="6"/>
  <c r="G40" i="6"/>
  <c r="G32" i="6"/>
  <c r="G24" i="6"/>
  <c r="G18" i="6"/>
  <c r="G10" i="6"/>
  <c r="G2" i="6"/>
  <c r="F10" i="6"/>
  <c r="F18" i="6"/>
  <c r="F24" i="6"/>
  <c r="F32" i="6"/>
  <c r="F40" i="6"/>
  <c r="G29" i="6"/>
  <c r="G7" i="6"/>
  <c r="F27" i="6"/>
  <c r="G28" i="6"/>
  <c r="G14" i="6"/>
  <c r="F14" i="6"/>
  <c r="F36" i="6"/>
  <c r="G27" i="6"/>
  <c r="G5" i="6"/>
  <c r="F22" i="6"/>
  <c r="F45" i="6"/>
  <c r="G34" i="6"/>
  <c r="G20" i="6"/>
  <c r="F8" i="6"/>
  <c r="F30" i="6"/>
  <c r="G33" i="6"/>
  <c r="G11" i="6"/>
  <c r="F17" i="6"/>
  <c r="G39" i="6"/>
  <c r="G31" i="6"/>
  <c r="G17" i="6"/>
  <c r="G9" i="6"/>
  <c r="F3" i="6"/>
  <c r="F11" i="6"/>
  <c r="F19" i="6"/>
  <c r="F25" i="6"/>
  <c r="F33" i="6"/>
  <c r="F41" i="6"/>
  <c r="G37" i="6"/>
  <c r="G15" i="6"/>
  <c r="F5" i="6"/>
  <c r="F43" i="6"/>
  <c r="G44" i="6"/>
  <c r="G21" i="6"/>
  <c r="F6" i="6"/>
  <c r="F28" i="6"/>
  <c r="G35" i="6"/>
  <c r="G13" i="6"/>
  <c r="F7" i="6"/>
  <c r="F29" i="6"/>
  <c r="G26" i="6"/>
  <c r="G4" i="6"/>
  <c r="F23" i="6"/>
  <c r="F2" i="6"/>
  <c r="G19" i="6"/>
  <c r="F9" i="6"/>
  <c r="F39" i="6"/>
  <c r="G38" i="6"/>
  <c r="G30" i="6"/>
  <c r="G23" i="6"/>
  <c r="G16" i="6"/>
  <c r="G8" i="6"/>
  <c r="F4" i="6"/>
  <c r="F12" i="6"/>
  <c r="F20" i="6"/>
  <c r="F26" i="6"/>
  <c r="F34" i="6"/>
  <c r="F42" i="6"/>
  <c r="G45" i="6"/>
  <c r="G22" i="6"/>
  <c r="F13" i="6"/>
  <c r="F35" i="6"/>
  <c r="G36" i="6"/>
  <c r="G6" i="6"/>
  <c r="F21" i="6"/>
  <c r="F44" i="6"/>
  <c r="G43" i="6"/>
  <c r="F15" i="6"/>
  <c r="F37" i="6"/>
  <c r="G42" i="6"/>
  <c r="G12" i="6"/>
  <c r="F16" i="6"/>
  <c r="F38" i="6"/>
  <c r="G25" i="6"/>
  <c r="G3" i="6"/>
  <c r="F31" i="6"/>
  <c r="K24" i="6" l="1"/>
  <c r="G30" i="5" s="1"/>
  <c r="K29" i="6"/>
  <c r="K36" i="6"/>
  <c r="K14" i="6"/>
  <c r="K9" i="6"/>
  <c r="K6" i="6"/>
  <c r="K35" i="6"/>
  <c r="K19" i="6"/>
  <c r="K23" i="6"/>
  <c r="K40" i="6"/>
  <c r="K10" i="6"/>
  <c r="K7" i="6"/>
  <c r="K44" i="6"/>
  <c r="K20" i="6"/>
  <c r="K38" i="6"/>
  <c r="K3" i="6"/>
  <c r="K8" i="6"/>
  <c r="K30" i="6"/>
  <c r="K37" i="6"/>
  <c r="K25" i="6"/>
  <c r="K45" i="6"/>
  <c r="K11" i="6"/>
  <c r="K4" i="6"/>
  <c r="K12" i="6"/>
  <c r="K32" i="6"/>
  <c r="K41" i="6"/>
  <c r="K17" i="6"/>
  <c r="K15" i="6"/>
  <c r="K28" i="6"/>
  <c r="K39" i="6"/>
  <c r="K27" i="6"/>
  <c r="K5" i="6"/>
  <c r="K33" i="6"/>
  <c r="K42" i="6"/>
  <c r="K22" i="6"/>
  <c r="K2" i="6"/>
  <c r="K31" i="6"/>
  <c r="K13" i="6"/>
  <c r="K34" i="6"/>
  <c r="K43" i="6"/>
  <c r="K18" i="6"/>
  <c r="K16" i="6"/>
  <c r="K26" i="6"/>
  <c r="K21" i="6"/>
  <c r="H37" i="6"/>
  <c r="H17" i="6"/>
  <c r="H30" i="6"/>
  <c r="H2" i="6"/>
  <c r="H10" i="6"/>
  <c r="H44" i="6"/>
  <c r="H6" i="6"/>
  <c r="H7" i="6"/>
  <c r="H42" i="6"/>
  <c r="H36" i="6"/>
  <c r="H11" i="6"/>
  <c r="H5" i="6"/>
  <c r="H29" i="6"/>
  <c r="H18" i="6"/>
  <c r="H12" i="6"/>
  <c r="H38" i="6"/>
  <c r="H13" i="6"/>
  <c r="H33" i="6"/>
  <c r="H27" i="6"/>
  <c r="H24" i="6"/>
  <c r="H3" i="6"/>
  <c r="H8" i="6"/>
  <c r="H26" i="6"/>
  <c r="H39" i="6"/>
  <c r="H19" i="6"/>
  <c r="H35" i="6"/>
  <c r="H15" i="6"/>
  <c r="H9" i="6"/>
  <c r="H32" i="6"/>
  <c r="H40" i="6"/>
  <c r="H22" i="6"/>
  <c r="H25" i="6"/>
  <c r="H45" i="6"/>
  <c r="H20" i="6"/>
  <c r="H14" i="6"/>
  <c r="H43" i="6"/>
  <c r="H16" i="6"/>
  <c r="H23" i="6"/>
  <c r="H4" i="6"/>
  <c r="H21" i="6"/>
  <c r="H31" i="6"/>
  <c r="H34" i="6"/>
  <c r="H28" i="6"/>
  <c r="H41" i="6"/>
  <c r="E30" i="5" l="1"/>
  <c r="E26" i="5"/>
  <c r="G26" i="5"/>
  <c r="E28" i="5"/>
  <c r="G28" i="5"/>
  <c r="G34" i="5"/>
  <c r="E34" i="5"/>
  <c r="E32" i="5"/>
  <c r="G32" i="5"/>
  <c r="F56" i="3"/>
  <c r="F48" i="3"/>
  <c r="F40" i="3"/>
  <c r="F32" i="3"/>
  <c r="F24" i="3"/>
  <c r="F55" i="3"/>
  <c r="F47" i="3"/>
  <c r="F39" i="3"/>
  <c r="F31" i="3"/>
  <c r="F23" i="3"/>
  <c r="F34" i="3"/>
  <c r="F62" i="3"/>
  <c r="F54" i="3"/>
  <c r="F46" i="3"/>
  <c r="F38" i="3"/>
  <c r="F30" i="3"/>
  <c r="F22" i="3"/>
  <c r="F53" i="3"/>
  <c r="F45" i="3"/>
  <c r="F37" i="3"/>
  <c r="F29" i="3"/>
  <c r="F57" i="3"/>
  <c r="F33" i="3"/>
  <c r="F61" i="3"/>
  <c r="F21" i="3"/>
  <c r="F58" i="3"/>
  <c r="F50" i="3"/>
  <c r="F26" i="3"/>
  <c r="F60" i="3"/>
  <c r="F52" i="3"/>
  <c r="F44" i="3"/>
  <c r="F36" i="3"/>
  <c r="F28" i="3"/>
  <c r="F20" i="3"/>
  <c r="F25" i="3"/>
  <c r="F59" i="3"/>
  <c r="F51" i="3"/>
  <c r="F43" i="3"/>
  <c r="F35" i="3"/>
  <c r="F27" i="3"/>
  <c r="F19" i="3"/>
  <c r="F42" i="3"/>
  <c r="F49" i="3"/>
  <c r="F41" i="3"/>
  <c r="E56" i="3"/>
  <c r="E40" i="3"/>
  <c r="E55" i="3"/>
  <c r="E47" i="3"/>
  <c r="E39" i="3"/>
  <c r="E31" i="3"/>
  <c r="E23" i="3"/>
  <c r="E51" i="3"/>
  <c r="E27" i="3"/>
  <c r="E58" i="3"/>
  <c r="E26" i="3"/>
  <c r="E57" i="3"/>
  <c r="E25" i="3"/>
  <c r="E24" i="3"/>
  <c r="E62" i="3"/>
  <c r="E54" i="3"/>
  <c r="E46" i="3"/>
  <c r="E38" i="3"/>
  <c r="E30" i="3"/>
  <c r="E22" i="3"/>
  <c r="E60" i="3"/>
  <c r="E20" i="3"/>
  <c r="E43" i="3"/>
  <c r="E50" i="3"/>
  <c r="E34" i="3"/>
  <c r="E49" i="3"/>
  <c r="E48" i="3"/>
  <c r="E61" i="3"/>
  <c r="E53" i="3"/>
  <c r="E45" i="3"/>
  <c r="E37" i="3"/>
  <c r="E29" i="3"/>
  <c r="E21" i="3"/>
  <c r="E52" i="3"/>
  <c r="E44" i="3"/>
  <c r="E36" i="3"/>
  <c r="E28" i="3"/>
  <c r="E59" i="3"/>
  <c r="E35" i="3"/>
  <c r="E19" i="3"/>
  <c r="E42" i="3"/>
  <c r="E41" i="3"/>
  <c r="E33" i="3"/>
  <c r="E32" i="3"/>
  <c r="I61" i="3" l="1"/>
  <c r="G61" i="3"/>
  <c r="I59" i="3"/>
  <c r="G59" i="3"/>
  <c r="I45" i="3"/>
  <c r="G45" i="3"/>
  <c r="G20" i="3"/>
  <c r="I20" i="3"/>
  <c r="G24" i="3"/>
  <c r="I24" i="3"/>
  <c r="I31" i="3"/>
  <c r="G31" i="3"/>
  <c r="I32" i="3"/>
  <c r="G32" i="3"/>
  <c r="G28" i="3"/>
  <c r="I28" i="3"/>
  <c r="I53" i="3"/>
  <c r="G53" i="3"/>
  <c r="I60" i="3"/>
  <c r="G60" i="3"/>
  <c r="G25" i="3"/>
  <c r="I25" i="3"/>
  <c r="I39" i="3"/>
  <c r="G39" i="3"/>
  <c r="G22" i="3"/>
  <c r="I22" i="3"/>
  <c r="I57" i="3"/>
  <c r="G57" i="3"/>
  <c r="I47" i="3"/>
  <c r="G47" i="3"/>
  <c r="I33" i="3"/>
  <c r="G33" i="3"/>
  <c r="I44" i="3"/>
  <c r="G44" i="3"/>
  <c r="I48" i="3"/>
  <c r="G48" i="3"/>
  <c r="I30" i="3"/>
  <c r="G30" i="3"/>
  <c r="G26" i="3"/>
  <c r="I26" i="3"/>
  <c r="I55" i="3"/>
  <c r="G55" i="3"/>
  <c r="I41" i="3"/>
  <c r="G41" i="3"/>
  <c r="I52" i="3"/>
  <c r="G52" i="3"/>
  <c r="I49" i="3"/>
  <c r="G49" i="3"/>
  <c r="I38" i="3"/>
  <c r="G38" i="3"/>
  <c r="I58" i="3"/>
  <c r="G58" i="3"/>
  <c r="I42" i="3"/>
  <c r="G42" i="3"/>
  <c r="G21" i="3"/>
  <c r="I21" i="3"/>
  <c r="I34" i="3"/>
  <c r="G34" i="3"/>
  <c r="I46" i="3"/>
  <c r="G46" i="3"/>
  <c r="I27" i="3"/>
  <c r="G27" i="3"/>
  <c r="I40" i="3"/>
  <c r="G40" i="3"/>
  <c r="I36" i="3"/>
  <c r="G36" i="3"/>
  <c r="I19" i="3"/>
  <c r="G19" i="3"/>
  <c r="G29" i="3"/>
  <c r="I29" i="3"/>
  <c r="I50" i="3"/>
  <c r="G50" i="3"/>
  <c r="I54" i="3"/>
  <c r="G54" i="3"/>
  <c r="I51" i="3"/>
  <c r="G51" i="3"/>
  <c r="I56" i="3"/>
  <c r="G56" i="3"/>
  <c r="I35" i="3"/>
  <c r="G35" i="3"/>
  <c r="I37" i="3"/>
  <c r="G37" i="3"/>
  <c r="I43" i="3"/>
  <c r="G43" i="3"/>
  <c r="I62" i="3"/>
  <c r="G62" i="3"/>
  <c r="G23" i="3"/>
  <c r="I23" i="3"/>
  <c r="J41" i="3" l="1"/>
  <c r="J53" i="3"/>
  <c r="J46" i="3"/>
  <c r="J31" i="3"/>
  <c r="J19" i="3"/>
  <c r="M8" i="5" l="1"/>
</calcChain>
</file>

<file path=xl/sharedStrings.xml><?xml version="1.0" encoding="utf-8"?>
<sst xmlns="http://schemas.openxmlformats.org/spreadsheetml/2006/main" count="514" uniqueCount="223">
  <si>
    <t>EVALUACIÓN INDEPENDIENTE SISTEMA DE CONTROL INTERNO
Entidades Pequeñas
(instrucciones para su diligenciamiento)</t>
  </si>
  <si>
    <t>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Esta estructura requiere de un análisis articulado frente al desarrollo de las políticas de gestión y desempeño contenidas en el modelo y su efectividad en relación con la estructura de control, este útlimo, aspecto esecial para garantizar el buen manejo de los recursos, que las metas y objetivos se cumplan y se mejore la prestación del servicio a los usuarios, ejes fundamentales para la generación de valor público.
Teniendo en cuenta lo anterior y dada la necesidad de dar cumplimiento a la dispuesto en el articulo 156 del Decreto 2106 de 2019, el presente formatobusca que las entidades cuenten con una herramienta para evaluar sus Sistemas de Control Interno de manera integral y permitirle al Jefe de Control Interno o quien haga sus veces llevar a cabo el informe de evaluación independiente sobre el mismo para su publicación cada seis (6) meses, en el sitio web de la entidad. La estructura propuesta es diferencial para aquellas entidades de municipios de 6a categoría (Personerías y Concejos Municipales) que son entidades con 1 y hasta 5 servidores en sus plantas de personal. Estas entidades deben tener en cuenta que de acuerdo con el parágrafo del artículo ARTÍCULO 2.2.22.2.1. del Decreto 1499 de 2017, las políticas de gestión y desempeño contenidas en el Modelo Integrado de Planeación y Gestión MIPG, deben ser aplicadas acorde con las normas que las regulan, por lo que deben analizar dichas políticas e implementarlas en armonía con el MECI.</t>
  </si>
  <si>
    <t>Orientaciones Generales</t>
  </si>
  <si>
    <r>
      <t xml:space="preserve">El archivo contiene las siguientes hojas:
 -  1 </t>
    </r>
    <r>
      <rPr>
        <b/>
        <sz val="11"/>
        <rFont val="Arial Narrow"/>
        <family val="2"/>
      </rPr>
      <t xml:space="preserve">Pestaña que desarrolla la estructura para evaluar el estado del Sistema de Control Interno: </t>
    </r>
    <r>
      <rPr>
        <sz val="11"/>
        <rFont val="Arial Narrow"/>
        <family val="2"/>
      </rPr>
      <t xml:space="preserve">Se desagrega en </t>
    </r>
    <r>
      <rPr>
        <sz val="10"/>
        <rFont val="Arial Narrow"/>
        <family val="2"/>
      </rPr>
      <t>"Ambiente de Control", "Evaluación de riesgos", "Actividades de control", "Información y Comunicación", y " Actividades de Monitoreo", componentes actuales del Modelo Estándar de Control Interno MECI. La estructura es la siguiente para el diligenciamiento:</t>
    </r>
  </si>
  <si>
    <t>Columna</t>
  </si>
  <si>
    <t>Descripción</t>
  </si>
  <si>
    <t>Componente del MECI asociado</t>
  </si>
  <si>
    <t>Esta columna define los componentes del MECI.</t>
  </si>
  <si>
    <t>Lineamiento General por Componente</t>
  </si>
  <si>
    <t>En esta columna establece el lineamientos general para cada uno de los componentes del MECI</t>
  </si>
  <si>
    <t>Requerimiento Asociado al Componente</t>
  </si>
  <si>
    <t>Se muestran una serie de preguntas con 3 opciones de respuesta así:
1. SI
2.NO
3. EN PROCESO</t>
  </si>
  <si>
    <t>Evidencia de Seguimiento al Control</t>
  </si>
  <si>
    <t>Establezca actividades adelantadas de aplicación del documento o elemento antes identificado (esto cuando se responde SI o bien EN PROCESO)</t>
  </si>
  <si>
    <r>
      <t xml:space="preserve"> -</t>
    </r>
    <r>
      <rPr>
        <sz val="11"/>
        <rFont val="Arial Narrow"/>
        <family val="2"/>
      </rPr>
      <t xml:space="preserve"> </t>
    </r>
    <r>
      <rPr>
        <b/>
        <sz val="11"/>
        <rFont val="Arial Narrow"/>
        <family val="2"/>
      </rPr>
      <t>Análisis de Resultados:</t>
    </r>
    <r>
      <rPr>
        <sz val="10"/>
        <rFont val="Arial Narrow"/>
        <family val="2"/>
      </rPr>
      <t xml:space="preserve"> Esta hoja permite consolidar los resultados para cada componente evaluado.</t>
    </r>
  </si>
  <si>
    <t xml:space="preserve">Clasificación </t>
  </si>
  <si>
    <t>Observaciones del Control</t>
  </si>
  <si>
    <t>Mantenimiento del Control</t>
  </si>
  <si>
    <t>Existe requerimiento pero se requiere actividades  dirigidas a su mantenimiento dentro del marco de las lineas de defensa.</t>
  </si>
  <si>
    <t>Oportunidad de Mejora</t>
  </si>
  <si>
    <t>Se encuentra en proceso, pero requiere continuar con acciones dirigidas a contar con dicho aspecto de control</t>
  </si>
  <si>
    <t xml:space="preserve">Deficiencia del Control 
</t>
  </si>
  <si>
    <t>No se encuentra el aspecto  por lo tanto la entidad debera generar acciones dirigidas a que se cumpla con el requerimiento .</t>
  </si>
  <si>
    <r>
      <t xml:space="preserve"> -</t>
    </r>
    <r>
      <rPr>
        <sz val="11"/>
        <rFont val="Arial Narrow"/>
        <family val="2"/>
      </rPr>
      <t xml:space="preserve"> </t>
    </r>
    <r>
      <rPr>
        <b/>
        <sz val="11"/>
        <rFont val="Arial Narrow"/>
        <family val="2"/>
      </rPr>
      <t>Conclusiones:</t>
    </r>
    <r>
      <rPr>
        <sz val="10"/>
        <rFont val="Arial Narrow"/>
        <family val="2"/>
      </rPr>
      <t xml:space="preserve"> Esta hoja permite establecer el estado del Sistema de Control Interno evaluado, información a partir de la cual se definen las acciones de mejora correspondientes. Esta hoja será el informe para publicación en página web, o bien para ubicar en un lugar visible en la sede de la entidad (esto para aquellas que no cuentan con conectividad o página web en operación).</t>
    </r>
  </si>
  <si>
    <t>MEDICION ESTADO DEL SISTEMA DE CONTROL INTERNO EN LA ENTIDAD</t>
  </si>
  <si>
    <t xml:space="preserve">No. </t>
  </si>
  <si>
    <t>Literal</t>
  </si>
  <si>
    <t>Requerimiento asociado al componente</t>
  </si>
  <si>
    <t>Seguimiento al control (Si, No, En proceso)</t>
  </si>
  <si>
    <t>Evidencia de seguimiento al control
(Establezca actividades adelantadas de aplicación del documento o elemento antes identificado, esto cuando se responde SI o bien EN PROCESO</t>
  </si>
  <si>
    <t>Evaluación</t>
  </si>
  <si>
    <t>1</t>
  </si>
  <si>
    <t>AMBIENTE DE CONTROL</t>
  </si>
  <si>
    <t>El ambiente de control institucional está integrado por todas esas condiciones mínimas que debe garantizar cualquier entidad pública para el ejercicio del control interno. Para el caso de su entidad indique si se cuenta con:</t>
  </si>
  <si>
    <t>a</t>
  </si>
  <si>
    <t>Documento interno o adopción del MECI actualizado</t>
  </si>
  <si>
    <t>No</t>
  </si>
  <si>
    <t>b</t>
  </si>
  <si>
    <t>Un documento tal como un código de ética, integridad u otro que formalice los estándares de conducta, los principios institucionales o los valores del servicio público</t>
  </si>
  <si>
    <t>Si</t>
  </si>
  <si>
    <t>c</t>
  </si>
  <si>
    <t>Planes, programas y proyectos de acuerdo con las normas que rigen y atendiendo con su propósito fundamental institucional (misión)</t>
  </si>
  <si>
    <t>d</t>
  </si>
  <si>
    <t>Una estructura organizacional formalizada (organigrama)</t>
  </si>
  <si>
    <t>e</t>
  </si>
  <si>
    <t>Un manual de funciones que describa los empleos de la entidad</t>
  </si>
  <si>
    <t>f</t>
  </si>
  <si>
    <t>La documentación de sus procesos y procedimientos o bien una lista de actividades principales que permitan conocer el estado de su gestión</t>
  </si>
  <si>
    <t>g</t>
  </si>
  <si>
    <t>Vinculación de los servidores públicos de acuerdo con el marco normativo que les rige (carrera administrativa, libre nombramiento y remoción, entre otros)</t>
  </si>
  <si>
    <t>h</t>
  </si>
  <si>
    <t>Procesos de inducción, capacitación y bienestar social para sus servidores públicos, de manera directa o en asociación con otras entidades municipales</t>
  </si>
  <si>
    <t>i</t>
  </si>
  <si>
    <t>Evaluación a los servidores públicos de acuerdo con el marco normativo que le rige</t>
  </si>
  <si>
    <t>j</t>
  </si>
  <si>
    <t>Procesos de desvinculación de servidores de acuerdo con lo previsto en la Constitución Política y las leyes</t>
  </si>
  <si>
    <t>k</t>
  </si>
  <si>
    <t>Mecanismos de rendición de cuentas a la ciudadanía</t>
  </si>
  <si>
    <t>l</t>
  </si>
  <si>
    <t>Presentación oportuna de sus informes de gestión a las autoridades competentes</t>
  </si>
  <si>
    <t>2</t>
  </si>
  <si>
    <t>EVALUACION DEL RIESGO</t>
  </si>
  <si>
    <t>Toda entidad debe identificar, evaluar y gestionar eventos potenciales, tanto internos como externos, que puedan afectar el logro de los objetivos institucionales. Para el caso de su entidad indique si se cuenta con:</t>
  </si>
  <si>
    <t>Identificación de cambios en su entorno que pueden generar consecuencias negativas en su gestión</t>
  </si>
  <si>
    <t>Identificación de aquellos problemas o aspectos que pueden afectar el cumplimiento de los planes de la entidad y en general su gestión institucional (riesgos)</t>
  </si>
  <si>
    <t>Identificación  de los riesgos relacionados con posibles actos de corrupción en el ejercicio de sus funciones</t>
  </si>
  <si>
    <t>Si su capacidad e infraestructura lo permite, identificación de riesgos asociados a las tecnologías de la información y las comunicaciones</t>
  </si>
  <si>
    <t>3</t>
  </si>
  <si>
    <t>Los líderes de los programas, proyectos, o procesos de la entidad  junto con sus equipos de trabajo:</t>
  </si>
  <si>
    <t>Hacen seguimiento a los problemas (riesgos)  que pueden afectar el cumplimiento de sus procesos, programas o proyectos a cargo</t>
  </si>
  <si>
    <t>Informan de manera periódica a quien corresponda sobre el desempeño de las actividades de gestión de riesgos</t>
  </si>
  <si>
    <t>Identifican deficiencias en las maneras de  controlar los riesgos o problemas en sus procesos, programas o proyectos, y propone los ajustes necesarios</t>
  </si>
  <si>
    <t>4</t>
  </si>
  <si>
    <t>Para el manejo de los problemas que afectan el cumplimiento de las metas u objetivos institucionales (riesgos), el jefe de control interno o quien haga sus veces, ha podido evidenciar si en la entidad:</t>
  </si>
  <si>
    <t>Se definen espacios de reunión para conocerlos y proponer acciones para su solución</t>
  </si>
  <si>
    <t>Cada líder del equipo autónomamente toma las acciones para solucionarlos.</t>
  </si>
  <si>
    <t>En proceso</t>
  </si>
  <si>
    <t>Solamente hasta que un organismo de control actúa se definen acciones de mejora.</t>
  </si>
  <si>
    <t>5</t>
  </si>
  <si>
    <t>ACTIVIDADES DE CONTROL</t>
  </si>
  <si>
    <t>Una vez identificados los problemas que afectan el cumplimiento de los planes de la entidad o su gestión institucional, la entidad debe diseñar los controles o mecanismos para darles tratamiento. Para el caso de su entidad indique si se cuenta con:</t>
  </si>
  <si>
    <t>La definición de acciones o actividades para para dar tratamiento a los problemas identificados (mitigación de riesgos), incluyendo aquellos asociados a posibles actos de corrupción</t>
  </si>
  <si>
    <t>Mecanismos de verificación de si se están o no mitigando los riesgos, o en su defecto, elaboración de planes de contingencia para subsanar sus consecuencias</t>
  </si>
  <si>
    <t>Planes, acciones o estrategias que permitan subsanar las consecuencias de la materialización de los riesgos, cuando se presentan</t>
  </si>
  <si>
    <t>Un documento que consolide  los riesgos  y el tratamiento que se les da, incluyendo aquellos que conllevan posibles actos de corrupción y si la capacidad e infraestructura lo permite, los asociados con las tecnologías de la información y las comunicaciones</t>
  </si>
  <si>
    <t>Un plan anticorrupción y de servicio al ciudadano con los temas que le aplican, publicado en algún medio para conocimiento de la ciudadanía</t>
  </si>
  <si>
    <t>6</t>
  </si>
  <si>
    <t>INFORMACION Y COMUNICACIÓN</t>
  </si>
  <si>
    <t>Las entidades deben procurar, de acuerdo con sus propias capacidades internas, que la información y la comunicación que requiere para su gestión y  control interno fluya de manera clara.  Acorde con lo anterior, indique si se cuenta con:</t>
  </si>
  <si>
    <t>Responsables de la información institucional</t>
  </si>
  <si>
    <t>Canales de comunicación con los ciudadanos</t>
  </si>
  <si>
    <t>Canales de comunicación o mecanismos de reporte de información a otros organismos gubernamentales o de control</t>
  </si>
  <si>
    <t xml:space="preserve">Lineamientos para dar tratamiento a la información de carácter reservado </t>
  </si>
  <si>
    <t>Identificación de información que produce en el marco de su gestión (Para los ciudadanos, organismos de control, organismos gubernamentales, entre otros)</t>
  </si>
  <si>
    <t>Identificación de información necesaria para la operación de la entidad (normograma, presupuesto, talento humano, infraestructura física y tecnológica)</t>
  </si>
  <si>
    <t>Si su capacidad e infraestructura lo permite, tecnologías de la información y las comunicaciones que soporten estos procesos</t>
  </si>
  <si>
    <t>7</t>
  </si>
  <si>
    <t>ACTIVIDADES DE MONITOREO</t>
  </si>
  <si>
    <t>Las entidades deben valorar: la eficiencia y eficacia de su gestión y la efectividad del control interno de la entidad pública con el propósito de detectar desviaciones y generar recomendaciones para la mejora. Para el caso de su entidad indique si se cuenta con:</t>
  </si>
  <si>
    <t>Mecanismos de evaluación de la gestión (cronogramas, indicadores, listas de chequeo u otros)</t>
  </si>
  <si>
    <t>Algún mecanismo para monitorear o supervisar el sistema de control interno institucional, ya sea por parte del representante legal, o del área de control interno (si la entidad cuenta con ella), o bien a través del Comité departamental o municipal de Auditoría.</t>
  </si>
  <si>
    <t>Medidas correctivas en caso de detectarse deficiencias en los ejercicios de evaluación, seguimiento o auditoría</t>
  </si>
  <si>
    <t>Seguimiento a los planes de mejoramiento suscritos con instancias de control internas o externas</t>
  </si>
  <si>
    <t>8</t>
  </si>
  <si>
    <t>¿La entidad ha solicitado hacer parte del Comité Municipal de Auditoría, a efectos de contar con un escenario para compartir buenas prácticas en materia de control interno, así como analizar la viabilidad de contar como mínimo con un proceso auditor en la vigencia?</t>
  </si>
  <si>
    <t>La entidad participa en el  Comité Municipal de Auditoría?</t>
  </si>
  <si>
    <t>9</t>
  </si>
  <si>
    <t>El jefe de control interno o quien haga sus veces, ha podido evidenciar si en la entidad el manejo que se ha hecho a los problemas que afectan el cumplimiento de sus metas y objetivos (riesgos) le ha permitido:</t>
  </si>
  <si>
    <t>Evitar que los problemas (riesgos) obstaculicen el cumplimiento de los objetivos.</t>
  </si>
  <si>
    <t>Controlar los puntos críticos en los procesos.</t>
  </si>
  <si>
    <t>Diseñar acciones adecuadas para controlar los problemas que afectan el cumplimiento de las metas y objetivos institucionales (riesgos).</t>
  </si>
  <si>
    <t>Ejecutar las acciones de acuerdo a como se diseñaron previamente.</t>
  </si>
  <si>
    <t>No se gestionan los problemas que afectan el cumplimiento de las funciones y objetivos institucionales(riesgos).</t>
  </si>
  <si>
    <t>ANÁLISIS DE RESULTADOS PARA LA TOMA DE DECISIONES</t>
  </si>
  <si>
    <t>Se encuentra en proceso, pero requiere continuar con acciones dirigidas a contar con dicho aspecto de control.</t>
  </si>
  <si>
    <t>Se encuentra presente  y funcionando, pero requiere mejoras frente a su diseño, ya que  opera de manera efectiva</t>
  </si>
  <si>
    <t>No se encuentra el aspecto  por lo tanto la entidad debera generar acciones dirigidas a que se cumpla con el requerimiento.</t>
  </si>
  <si>
    <t>RESULTADOS</t>
  </si>
  <si>
    <t>FUENTE DEL ANALISIS</t>
  </si>
  <si>
    <t xml:space="preserve">Seguimiento al control </t>
  </si>
  <si>
    <t>OBSERVACIONES DEL CONTROL</t>
  </si>
  <si>
    <t>NIVEL DE CUMPLIMIENTO-ASPECTOS PARTICULARES POR COMPONENTE</t>
  </si>
  <si>
    <t>NIVEL DE CUMPLIMIENTO COMPONENTE</t>
  </si>
  <si>
    <t>componente</t>
  </si>
  <si>
    <t>Nombre de la Entidad:</t>
  </si>
  <si>
    <t>Periodo Evaluado:</t>
  </si>
  <si>
    <t>Estado del sistema de Control Interno de la entidad</t>
  </si>
  <si>
    <t>Conclusión general sobre la evaluación del Sistema de Control Interno</t>
  </si>
  <si>
    <t>¿Están todos los componentes operando juntos y de manera integrada? (Si / en proceso / No) (Justifique su respuesta):</t>
  </si>
  <si>
    <t>¿Es efectivo el sistema de control interno para los objetivos evaluados? (Si/No) (Justifique su respuesta):</t>
  </si>
  <si>
    <t>La entidad cuenta dentro de su Sistema de Control Interno, con una institucionalidad (Líneas de defensa)  que le permita la toma de decisiones frente al control (Si/No) (Justifique su respuesta):</t>
  </si>
  <si>
    <t>Componente</t>
  </si>
  <si>
    <t>¿se esta cumpliendo los requerimientos ?</t>
  </si>
  <si>
    <t>Nivel de Cumplimiento componente</t>
  </si>
  <si>
    <r>
      <rPr>
        <b/>
        <u/>
        <sz val="20"/>
        <color theme="0"/>
        <rFont val="Arial"/>
        <family val="2"/>
      </rPr>
      <t xml:space="preserve"> Estado actual:</t>
    </r>
    <r>
      <rPr>
        <b/>
        <sz val="20"/>
        <color theme="0"/>
        <rFont val="Arial"/>
        <family val="2"/>
      </rPr>
      <t xml:space="preserve"> Explicacion de las Debilidades y/o Fortalezas encontradas en cada componente</t>
    </r>
  </si>
  <si>
    <t>EVALUCION DEL RIESGO</t>
  </si>
  <si>
    <t>ACTIVIDADES DEL CONTROL</t>
  </si>
  <si>
    <t xml:space="preserve">ACTIVIDADES DE MONITOREO </t>
  </si>
  <si>
    <t xml:space="preserve">Evaluación </t>
  </si>
  <si>
    <t>Puntaje</t>
  </si>
  <si>
    <t xml:space="preserve">Orden </t>
  </si>
  <si>
    <t>Nivel de cumplimiento -Aaspectos particulares por componente</t>
  </si>
  <si>
    <t xml:space="preserve">Promedios </t>
  </si>
  <si>
    <t>1a</t>
  </si>
  <si>
    <t>1b</t>
  </si>
  <si>
    <t>1c</t>
  </si>
  <si>
    <t>1d</t>
  </si>
  <si>
    <t>1e</t>
  </si>
  <si>
    <t>1f</t>
  </si>
  <si>
    <t>1g</t>
  </si>
  <si>
    <t>1h</t>
  </si>
  <si>
    <t>1i</t>
  </si>
  <si>
    <t>1j</t>
  </si>
  <si>
    <t>1k</t>
  </si>
  <si>
    <t>1l</t>
  </si>
  <si>
    <t>2a</t>
  </si>
  <si>
    <t>La identificación de cambios en su entorno que pueden generar consecuencias negativas en su gestión</t>
  </si>
  <si>
    <t>2b</t>
  </si>
  <si>
    <t>La identificación de aquellos problemas o aspectos que pueden afectar el cumplimiento de los planes de la entidad y en general su gestión institucional (riesgos)</t>
  </si>
  <si>
    <t>2c</t>
  </si>
  <si>
    <t>La identificación  de los riesgos relacionados con posibles actos de corrupción en el ejercicio de sus funciones</t>
  </si>
  <si>
    <t>2d</t>
  </si>
  <si>
    <t>3a</t>
  </si>
  <si>
    <t>3b</t>
  </si>
  <si>
    <t>3c</t>
  </si>
  <si>
    <t>4a</t>
  </si>
  <si>
    <t>4b</t>
  </si>
  <si>
    <t>4c</t>
  </si>
  <si>
    <t>5a</t>
  </si>
  <si>
    <t>5b</t>
  </si>
  <si>
    <t>5c</t>
  </si>
  <si>
    <t>5d</t>
  </si>
  <si>
    <t>5e</t>
  </si>
  <si>
    <t>6a</t>
  </si>
  <si>
    <t>6b</t>
  </si>
  <si>
    <t>6c</t>
  </si>
  <si>
    <t>6d</t>
  </si>
  <si>
    <t>6e</t>
  </si>
  <si>
    <t>El jefe de control interno o quien haga sus veces, ha podido evidenciar si en la entidad si el manejo que se ha hecho a los problemas que afectan el cumplimiento de sus metas y objetivos (riesgos) le ha permitido:</t>
  </si>
  <si>
    <t>6f</t>
  </si>
  <si>
    <t>6g</t>
  </si>
  <si>
    <t>7a</t>
  </si>
  <si>
    <t>7d</t>
  </si>
  <si>
    <t>7f</t>
  </si>
  <si>
    <t>7g</t>
  </si>
  <si>
    <t>8h</t>
  </si>
  <si>
    <t>9a</t>
  </si>
  <si>
    <t>9b</t>
  </si>
  <si>
    <t>9c</t>
  </si>
  <si>
    <t>9d</t>
  </si>
  <si>
    <t>9e</t>
  </si>
  <si>
    <t xml:space="preserve">LA ENTIDAD AL SER UN ESTABLECIMIENTO PUBLICO Y AL PERTENECER A LA RAMA EJECUTIVA SE ACOJE A LO ESTABLECIDO EN LA LEY 87 DEL 93 ASI MISMO SE INICIA LA CREACION DE LA INSTITUCIONALIDAD DEL MODELO CON EL COMITÉ COORDINADOR DE CONTROL INTERNO Y EL COMIEDE GESTION Y DESEMPEÑO </t>
  </si>
  <si>
    <t xml:space="preserve">SE EVIDENCIA QUE NO SE CUENTA CON EL DOCUMENTO TAL CUAL Y LO ESTALBECE EL DAFP FRENTE A LA POLITICA DE INTEGRIDAD </t>
  </si>
  <si>
    <t xml:space="preserve">LA ENTIDAD AL INICIAR OPERACIONES EN EL 2021  SE ENCUENTRA EN PROCESO DE IMPLEMENTACION DE DICHO DOCUMENTO </t>
  </si>
  <si>
    <t>SI LA ENTIDAD PRESENTA LA ESRUCTURA ORGANIZACIONAL  MEDIANTE EL Estudio Técnico
para el Rediseño
Institucional
Instituto de Protección y Bienestar
Animal de Cundinamarca
(IPYBAC).</t>
  </si>
  <si>
    <t xml:space="preserve">LA ENTIDAD ENTREGA EL DOCUMENTO </t>
  </si>
  <si>
    <t>LA ENTIDAD SOLO CUENTA CON UN MAPA DE PROCESOS  QUE SE ENCUENTRA EL Estudio Técnico
para el Rediseño
Institucional
Instituto de Protección y Bienestar
Animal de Cundinamarca
(IPYBAC).</t>
  </si>
  <si>
    <t xml:space="preserve">SI LA ENTIDAD PRESENTA MANUAL DE FUNCION ES PLANTAS DE PERSONAL ADOPTADAS POR ACTO ADMINISTRATIVO </t>
  </si>
  <si>
    <t xml:space="preserve">NO SE ENTREGA NINGUN SOPORTE FRENTE AL TEMA </t>
  </si>
  <si>
    <t xml:space="preserve">SE INICIO LA CONSTRUCCION DE PLAN ANTICORRUPCION SIN EMBARGO HAY QUE DAR INICIO A LA CONSTRUCCION DE LA POLITICA DE RIESGOS </t>
  </si>
  <si>
    <t xml:space="preserve">LA ENTIDAD LLEVA POCO TIEMPO DE CREADA </t>
  </si>
  <si>
    <t xml:space="preserve">SE ESTA TRABAJANDO EN LA CONSTRUCCION DEL PLAN ANTIVORRUPCION CUUENTAN CON LA MATRIZ DE RIESGOS DE CORRUPCION </t>
  </si>
  <si>
    <t xml:space="preserve">SE CUENTA CON PLAN DE MANEJO DE RIESGOS DE CORRUPCION HACE FALTA POLITICA DE RIESGOS DE GESTION Y SEGURIDAD DE LA INFORMACION </t>
  </si>
  <si>
    <t xml:space="preserve">LA ENTIDAD PRESENTA LA MATRIZ DE RIESGOS DE  CORRUPCION </t>
  </si>
  <si>
    <t xml:space="preserve">LA ENTIDAD PRERSENTA EL PLAN  ANTICORRUPCION </t>
  </si>
  <si>
    <t xml:space="preserve">LA ENTIDAD CUENTA CON ESTE EQUIPO </t>
  </si>
  <si>
    <t xml:space="preserve">ESTAN GESTIONANDO LA HABILITACIOPN DE ESTA INFORMACION </t>
  </si>
  <si>
    <t xml:space="preserve">SE ESTA DESAROLLANDO POR PRIMERA VEZ EL INFORME SEMESTRAL DE CONTROL IN TERNO </t>
  </si>
  <si>
    <t xml:space="preserve">DESDE CONTROL SE HA GENERADO LA ALERTA FRENTE AL TEMA </t>
  </si>
  <si>
    <t>AL LLEVAR  TAN POCO TIEMPO DE CONSTITUIDA LA ENTIDAD ES CLARO QUE SEPRESNETAN MUCHOS RIESGOS FREENTE AL CUMPLIMIENTO DE LOS COMPONENTES DEL SCI SIN EMBARGO DESDELA ALTA GERENCIA SE HAVENIDO TRABAJANDO EN DAR CUMPLIM IENTOS A LOS LINEAMIENTOS  ESTABLECIDOS EN LA NORMATIVIDAD VIGENTE APARTIR DE ESTE INFORME SE TRABAJARA DE MANERA CONJUNTA EN EL DESARROLLO DE LOS PLANES ESTRATEGICOS DE LA ENTIDAD.</t>
  </si>
  <si>
    <t xml:space="preserve">AL LLEVAR TAN POCO TIEMPO DE CREDA  EL SISTEMA DE CONTROL INTERNO APENAS ESTA CREANDO UNA CULTURA DE AUTO CONTROL  Y SE ESTA DANDO INICIO A LA CREACION DE LA INSTITUCIONALIDAD DEL MIPG CON LA CONFORMACION DE LOS COMITES DEL MODELO SE BUSCARA DESARROLLAR UN PLAN DE ACCION A PARTIR DE SUS PRIMERAS REUINIONES </t>
  </si>
  <si>
    <t xml:space="preserve">AL LLEVAR TAN POCO TIEMPO DE CREADA SE ESTAAPENAS GENERANDO DOCUMENTACION YY CAPACITACION DEL PERSONAL FFRENTE AL ESQUE MA DE LAS LINEAS DE DEFENSA </t>
  </si>
  <si>
    <t xml:space="preserve">Fortaleza: Se han elaborados las herramientas para el establecimiento de un ambiente de control que permita  la implementación eficiente del Control Interno 
Debilidad: Se recomendó reforzar la socialización a todo nivel, seguimiento y evaluación de los resultados del ingreso, permanencia y retiro del personal de la Institucón. </t>
  </si>
  <si>
    <t>Fortaleza:Se han identificado los riesgos por cada uno de los procesos del Instituto y se realiza seguimiento  de forma cuatrimestral 
Debilidad :Generar la cultura de autocontrol  de evaluacion permanente por todos los lideres de proceso con el fin evitar la materialización.</t>
  </si>
  <si>
    <t>Fortalleza: DESDE CONTROL INTERNO SE ESTA BUSCANDO LA CAPACITACION DEL PERSONAL TYANTO DE LA ALTA GERENCIA COMO A NIVEL OPERATICVO EN EL CONONOCIUMEINTO DEL MODELO INTEGRADO DE PLAN EACION  Y GESTION ARTICULADO CONE L MODELO ESTANDAR DE CONTROL INTERNO 
EL EQUIPO DE TRABAJO TIENE LA INTENCION DE FORTALECER EL SISTEMA DE CONTROL INTERNO MEDIANTE LA DOCUMENDACION  PRESENTADA 
Debilidad:  El Instituto NO cuenta con las herramientas del Sistema de Control Interno como : 1-procedimientos , politicas sistemas de evaluacion a través de indicadores, guias, protocolos, planes y su evalaución
1-Socialización, seguimiento y evaluación como cultura de Autocontrol de las herramientas de Control. 2.Socialización y aplicación de las lineas de Defensa.Seguimiento al  plan estratégico de tecnología de la información, el plan de seguridad y privacidad de la información y el plan de tratamiento de riesgos de seguridad y privacidad de la información que no se encuentran publicados los seguimientos en la pagina web.</t>
  </si>
  <si>
    <t>Se cuenta con medios de comunicación tanto internas y externas a través de medios de comunicación adecuados como redes sociales, correos electronicos y comites virtuales .Debilidad:Reforzar la comunicación a nivel interno de la Institución. Actualizar el activo de información del instituto,seguimiento  de los roles y usuarios teniendo en cuenta la segregación de funciones</t>
  </si>
  <si>
    <t>Fortalezas:1-Se cuenta con las herramientas  y se realiza el monitoreo del Control Interno en losdiferentes procesos del Instituto.
Debilidad : 1- Socializacion de los cambios en la documentación del instituto a todo nivel de la Institución.</t>
  </si>
  <si>
    <t>RENDICION DE CUENTAS SEPTIEMBRE CON LA GOBERNACION DE CUNDINAMARCA, PUBLICACIONES, PARTICIPACION ACTIVA EN REDES SOCIALES, INFORME DE RENDICION DE CUENTAS.</t>
  </si>
  <si>
    <t>REPORTE MENSUAL DE CONTRALORIA, REPORTES ANTE LA DIAN, INFORME DE GESTION CONSEJO DIRECTIVO</t>
  </si>
  <si>
    <t>TWITER, CORREO ELECTRONICO</t>
  </si>
  <si>
    <t>PARTICIPACION EN EL COMITÉ DEPARTAMENTAL DE CONTROL INTERNO, COMITÉ DEPARTAMENTAL DE ENTIDADES DECENTRALIZADAS. COMITÉ NACIONAL DE DIRECTORES DE CONTROL INTERNO.</t>
  </si>
  <si>
    <t>INSTITUTO DE PROTECCION Y BIENESTAR ANIMAL DE CUNDINAMARCA</t>
  </si>
  <si>
    <t>PRIMER SEMESTRE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</si>
</sst>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58" x14ac:knownFonts="1">
    <font>
      <sz val="11"/>
      <color theme="1"/>
      <name val="Calibri"/>
      <family val="2"/>
      <scheme val="minor"/>
    </font>
    <font>
      <sz val="11"/>
      <name val="Arial"/>
      <family val="2"/>
    </font>
    <font>
      <b/>
      <sz val="12"/>
      <name val="Arial"/>
      <family val="2"/>
    </font>
    <font>
      <sz val="11"/>
      <color theme="1"/>
      <name val="Calibri"/>
      <family val="2"/>
      <scheme val="minor"/>
    </font>
    <font>
      <sz val="11"/>
      <color theme="0"/>
      <name val="Calibri"/>
      <family val="2"/>
      <scheme val="minor"/>
    </font>
    <font>
      <b/>
      <sz val="12"/>
      <color theme="0"/>
      <name val="Arial"/>
      <family val="2"/>
    </font>
    <font>
      <b/>
      <sz val="20"/>
      <color theme="0"/>
      <name val="Arial Narrow"/>
      <family val="2"/>
    </font>
    <font>
      <sz val="11"/>
      <color theme="1"/>
      <name val="Arial Narrow"/>
      <family val="2"/>
    </font>
    <font>
      <sz val="11"/>
      <color theme="0"/>
      <name val="Arial Narrow"/>
      <family val="2"/>
    </font>
    <font>
      <b/>
      <sz val="18"/>
      <color theme="0"/>
      <name val="Arial"/>
      <family val="2"/>
    </font>
    <font>
      <sz val="20"/>
      <color rgb="FFFF0000"/>
      <name val="Arial"/>
      <family val="2"/>
    </font>
    <font>
      <b/>
      <sz val="12"/>
      <color rgb="FFFF0000"/>
      <name val="Arial"/>
      <family val="2"/>
    </font>
    <font>
      <b/>
      <sz val="10"/>
      <color rgb="FFFF0000"/>
      <name val="Arial"/>
      <family val="2"/>
    </font>
    <font>
      <b/>
      <sz val="10"/>
      <color theme="1"/>
      <name val="Arial"/>
      <family val="2"/>
    </font>
    <font>
      <b/>
      <sz val="16"/>
      <color theme="1"/>
      <name val="Arial"/>
      <family val="2"/>
    </font>
    <font>
      <b/>
      <i/>
      <sz val="10"/>
      <name val="Arial"/>
      <family val="2"/>
    </font>
    <font>
      <b/>
      <i/>
      <sz val="10"/>
      <color theme="1"/>
      <name val="Arial"/>
      <family val="2"/>
    </font>
    <font>
      <b/>
      <sz val="16"/>
      <color theme="0"/>
      <name val="Arial Narrow"/>
      <family val="2"/>
    </font>
    <font>
      <b/>
      <sz val="12"/>
      <color theme="0"/>
      <name val="Arial Narrow"/>
      <family val="2"/>
    </font>
    <font>
      <b/>
      <sz val="10"/>
      <color theme="0"/>
      <name val="Arial Narrow"/>
      <family val="2"/>
    </font>
    <font>
      <sz val="12"/>
      <color theme="1"/>
      <name val="Arial"/>
      <family val="2"/>
    </font>
    <font>
      <sz val="10"/>
      <color theme="1"/>
      <name val="Calibri"/>
      <family val="2"/>
      <scheme val="minor"/>
    </font>
    <font>
      <sz val="10"/>
      <color theme="0"/>
      <name val="Arial Narrow"/>
      <family val="2"/>
    </font>
    <font>
      <sz val="14"/>
      <color theme="0"/>
      <name val="Arial"/>
      <family val="2"/>
    </font>
    <font>
      <sz val="10"/>
      <color theme="1"/>
      <name val="Arial Narrow"/>
      <family val="2"/>
    </font>
    <font>
      <b/>
      <sz val="11"/>
      <name val="Arial Narrow"/>
      <family val="2"/>
    </font>
    <font>
      <sz val="10"/>
      <name val="Arial Narrow"/>
      <family val="2"/>
    </font>
    <font>
      <sz val="16"/>
      <color theme="0"/>
      <name val="Calibri"/>
      <family val="2"/>
      <scheme val="minor"/>
    </font>
    <font>
      <b/>
      <sz val="18"/>
      <name val="Calibri"/>
      <family val="2"/>
      <scheme val="minor"/>
    </font>
    <font>
      <sz val="10"/>
      <name val="Arial"/>
      <family val="2"/>
    </font>
    <font>
      <b/>
      <sz val="14"/>
      <name val="Arial Narrow"/>
      <family val="2"/>
    </font>
    <font>
      <b/>
      <u/>
      <sz val="11"/>
      <name val="Arial Narrow"/>
      <family val="2"/>
    </font>
    <font>
      <b/>
      <sz val="10"/>
      <name val="Arial Narrow"/>
      <family val="2"/>
    </font>
    <font>
      <sz val="12"/>
      <name val="Times New Roman"/>
      <family val="1"/>
    </font>
    <font>
      <b/>
      <sz val="9"/>
      <name val="Arial Narrow"/>
      <family val="2"/>
    </font>
    <font>
      <sz val="9"/>
      <name val="Arial Narrow"/>
      <family val="2"/>
    </font>
    <font>
      <sz val="11"/>
      <name val="Arial Narrow"/>
      <family val="2"/>
    </font>
    <font>
      <b/>
      <sz val="10"/>
      <color theme="1"/>
      <name val="Arial Narrow"/>
      <family val="2"/>
    </font>
    <font>
      <sz val="15"/>
      <name val="Arial Narrow"/>
      <family val="2"/>
    </font>
    <font>
      <sz val="15"/>
      <color theme="1"/>
      <name val="Arial Narrow"/>
      <family val="2"/>
    </font>
    <font>
      <sz val="8"/>
      <name val="Calibri"/>
      <family val="2"/>
      <scheme val="minor"/>
    </font>
    <font>
      <b/>
      <sz val="18"/>
      <color theme="1"/>
      <name val="Calibri"/>
      <family val="2"/>
      <scheme val="minor"/>
    </font>
    <font>
      <b/>
      <sz val="20"/>
      <name val="Arial"/>
      <family val="2"/>
    </font>
    <font>
      <sz val="18"/>
      <name val="Arial Narrow"/>
      <family val="2"/>
    </font>
    <font>
      <sz val="12"/>
      <color theme="0"/>
      <name val="Arial Narrow"/>
      <family val="2"/>
    </font>
    <font>
      <b/>
      <sz val="14"/>
      <color theme="0"/>
      <name val="Arial Narrow"/>
      <family val="2"/>
    </font>
    <font>
      <sz val="12"/>
      <name val="Arial Narrow"/>
      <family val="2"/>
    </font>
    <font>
      <sz val="12"/>
      <color theme="1"/>
      <name val="Arial Narrow"/>
      <family val="2"/>
    </font>
    <font>
      <sz val="14"/>
      <color theme="1"/>
      <name val="Calibri"/>
      <family val="2"/>
      <scheme val="minor"/>
    </font>
    <font>
      <b/>
      <sz val="14"/>
      <name val="Arial"/>
      <family val="2"/>
    </font>
    <font>
      <sz val="18"/>
      <color theme="1"/>
      <name val="Arial"/>
      <family val="2"/>
    </font>
    <font>
      <b/>
      <sz val="24"/>
      <color theme="0"/>
      <name val="Arial Narrow"/>
      <family val="2"/>
    </font>
    <font>
      <b/>
      <sz val="20"/>
      <color theme="0"/>
      <name val="Arial"/>
      <family val="2"/>
    </font>
    <font>
      <sz val="20"/>
      <color theme="1"/>
      <name val="Calibri"/>
      <family val="2"/>
      <scheme val="minor"/>
    </font>
    <font>
      <b/>
      <u/>
      <sz val="20"/>
      <color theme="0"/>
      <name val="Arial"/>
      <family val="2"/>
    </font>
    <font>
      <sz val="25"/>
      <color theme="1"/>
      <name val="Calibri"/>
      <family val="2"/>
      <scheme val="minor"/>
    </font>
    <font>
      <sz val="12"/>
      <name val="Arial"/>
      <family val="2"/>
    </font>
    <font>
      <b/>
      <sz val="25"/>
      <color theme="1"/>
      <name val="Arial Narrow"/>
      <family val="2"/>
    </font>
  </fonts>
  <fills count="17">
    <fill>
      <patternFill patternType="none"/>
    </fill>
    <fill>
      <patternFill patternType="gray125"/>
    </fill>
    <fill>
      <patternFill patternType="solid">
        <fgColor theme="3" tint="0.39997558519241921"/>
        <bgColor indexed="64"/>
      </patternFill>
    </fill>
    <fill>
      <patternFill patternType="solid">
        <fgColor theme="3" tint="0.59999389629810485"/>
        <bgColor indexed="64"/>
      </patternFill>
    </fill>
    <fill>
      <patternFill patternType="solid">
        <fgColor theme="0"/>
        <bgColor indexed="64"/>
      </patternFill>
    </fill>
    <fill>
      <patternFill patternType="solid">
        <fgColor theme="4"/>
        <bgColor indexed="64"/>
      </patternFill>
    </fill>
    <fill>
      <patternFill patternType="solid">
        <fgColor rgb="FFFFC000"/>
        <bgColor indexed="64"/>
      </patternFill>
    </fill>
    <fill>
      <patternFill patternType="solid">
        <fgColor rgb="FFFFFF00"/>
        <bgColor indexed="64"/>
      </patternFill>
    </fill>
    <fill>
      <patternFill patternType="solid">
        <fgColor rgb="FFFF0000"/>
        <bgColor indexed="64"/>
      </patternFill>
    </fill>
    <fill>
      <patternFill patternType="solid">
        <fgColor theme="5" tint="-0.249977111117893"/>
        <bgColor indexed="64"/>
      </patternFill>
    </fill>
    <fill>
      <patternFill patternType="solid">
        <fgColor theme="6" tint="-0.249977111117893"/>
        <bgColor indexed="64"/>
      </patternFill>
    </fill>
    <fill>
      <patternFill patternType="solid">
        <fgColor theme="7" tint="-0.249977111117893"/>
        <bgColor indexed="64"/>
      </patternFill>
    </fill>
    <fill>
      <patternFill patternType="solid">
        <fgColor theme="4" tint="-0.249977111117893"/>
        <bgColor indexed="64"/>
      </patternFill>
    </fill>
    <fill>
      <patternFill patternType="solid">
        <fgColor rgb="FFFFCC00"/>
        <bgColor indexed="64"/>
      </patternFill>
    </fill>
    <fill>
      <patternFill patternType="solid">
        <fgColor rgb="FF00B050"/>
        <bgColor indexed="64"/>
      </patternFill>
    </fill>
    <fill>
      <patternFill patternType="solid">
        <fgColor rgb="FF83A343"/>
        <bgColor indexed="64"/>
      </patternFill>
    </fill>
    <fill>
      <patternFill patternType="solid">
        <fgColor theme="9" tint="0.39997558519241921"/>
        <bgColor indexed="64"/>
      </patternFill>
    </fill>
  </fills>
  <borders count="94">
    <border>
      <left/>
      <right/>
      <top/>
      <bottom/>
      <diagonal/>
    </border>
    <border>
      <left/>
      <right/>
      <top style="medium">
        <color auto="1"/>
      </top>
      <bottom style="medium">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auto="1"/>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medium">
        <color auto="1"/>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rgb="FF81829A"/>
      </left>
      <right/>
      <top style="thin">
        <color rgb="FF81829A"/>
      </top>
      <bottom style="thin">
        <color indexed="64"/>
      </bottom>
      <diagonal/>
    </border>
    <border>
      <left/>
      <right/>
      <top style="thin">
        <color rgb="FF81829A"/>
      </top>
      <bottom style="thin">
        <color indexed="64"/>
      </bottom>
      <diagonal/>
    </border>
    <border>
      <left/>
      <right style="thin">
        <color rgb="FF81829A"/>
      </right>
      <top style="thin">
        <color rgb="FF81829A"/>
      </top>
      <bottom style="thin">
        <color indexed="64"/>
      </bottom>
      <diagonal/>
    </border>
    <border>
      <left/>
      <right/>
      <top style="thin">
        <color auto="1"/>
      </top>
      <bottom/>
      <diagonal/>
    </border>
    <border>
      <left style="thin">
        <color rgb="FF81829A"/>
      </left>
      <right style="thin">
        <color rgb="FF81829A"/>
      </right>
      <top style="thin">
        <color rgb="FF81829A"/>
      </top>
      <bottom style="thin">
        <color rgb="FF81829A"/>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medium">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style="hair">
        <color indexed="64"/>
      </bottom>
      <diagonal/>
    </border>
    <border>
      <left style="hair">
        <color indexed="64"/>
      </left>
      <right style="hair">
        <color indexed="64"/>
      </right>
      <top/>
      <bottom/>
      <diagonal/>
    </border>
    <border>
      <left style="hair">
        <color indexed="64"/>
      </left>
      <right style="medium">
        <color indexed="64"/>
      </right>
      <top style="hair">
        <color indexed="64"/>
      </top>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medium">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medium">
        <color indexed="64"/>
      </right>
      <top/>
      <bottom style="dashed">
        <color indexed="64"/>
      </bottom>
      <diagonal/>
    </border>
    <border>
      <left style="medium">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medium">
        <color indexed="64"/>
      </left>
      <right style="dashed">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style="dashed">
        <color indexed="64"/>
      </left>
      <right style="medium">
        <color indexed="64"/>
      </right>
      <top style="dashed">
        <color indexed="64"/>
      </top>
      <bottom style="medium">
        <color indexed="64"/>
      </bottom>
      <diagonal/>
    </border>
    <border>
      <left/>
      <right/>
      <top style="medium">
        <color indexed="64"/>
      </top>
      <bottom style="thin">
        <color indexed="64"/>
      </bottom>
      <diagonal/>
    </border>
    <border>
      <left style="dashed">
        <color indexed="64"/>
      </left>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right/>
      <top style="dashed">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top style="thin">
        <color indexed="64"/>
      </top>
      <bottom style="hair">
        <color indexed="64"/>
      </bottom>
      <diagonal/>
    </border>
    <border>
      <left/>
      <right style="hair">
        <color indexed="64"/>
      </right>
      <top style="thin">
        <color indexed="64"/>
      </top>
      <bottom style="hair">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bottom/>
      <diagonal/>
    </border>
    <border>
      <left style="hair">
        <color indexed="64"/>
      </left>
      <right style="hair">
        <color indexed="64"/>
      </right>
      <top style="hair">
        <color indexed="64"/>
      </top>
      <bottom/>
      <diagonal/>
    </border>
    <border>
      <left style="medium">
        <color indexed="64"/>
      </left>
      <right style="hair">
        <color indexed="64"/>
      </right>
      <top style="hair">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s>
  <cellStyleXfs count="5">
    <xf numFmtId="0" fontId="0" fillId="0" borderId="0"/>
    <xf numFmtId="9" fontId="3" fillId="0" borderId="0" applyFont="0" applyFill="0" applyBorder="0" applyAlignment="0" applyProtection="0"/>
    <xf numFmtId="0" fontId="21" fillId="0" borderId="0"/>
    <xf numFmtId="0" fontId="29" fillId="0" borderId="0"/>
    <xf numFmtId="0" fontId="33" fillId="0" borderId="0"/>
  </cellStyleXfs>
  <cellXfs count="336">
    <xf numFmtId="0" fontId="0" fillId="0" borderId="0" xfId="0"/>
    <xf numFmtId="0" fontId="0" fillId="4" borderId="0" xfId="0" applyFill="1"/>
    <xf numFmtId="0" fontId="0" fillId="4" borderId="17" xfId="0" applyFill="1" applyBorder="1"/>
    <xf numFmtId="0" fontId="0" fillId="4" borderId="18" xfId="0" applyFill="1" applyBorder="1"/>
    <xf numFmtId="0" fontId="0" fillId="4" borderId="19" xfId="0" applyFill="1" applyBorder="1"/>
    <xf numFmtId="0" fontId="0" fillId="4" borderId="20" xfId="0" applyFill="1" applyBorder="1"/>
    <xf numFmtId="0" fontId="0" fillId="4" borderId="0" xfId="0" applyFill="1" applyBorder="1"/>
    <xf numFmtId="0" fontId="7" fillId="4" borderId="0" xfId="0" applyFont="1" applyFill="1" applyBorder="1" applyAlignment="1">
      <alignment horizontal="center"/>
    </xf>
    <xf numFmtId="0" fontId="0" fillId="4" borderId="21" xfId="0" applyFill="1" applyBorder="1"/>
    <xf numFmtId="164" fontId="7" fillId="4" borderId="0" xfId="0" applyNumberFormat="1" applyFont="1" applyFill="1" applyBorder="1" applyAlignment="1">
      <alignment horizontal="center"/>
    </xf>
    <xf numFmtId="0" fontId="8" fillId="4" borderId="0" xfId="0" applyFont="1" applyFill="1" applyBorder="1" applyAlignment="1">
      <alignment vertical="center"/>
    </xf>
    <xf numFmtId="0" fontId="10" fillId="4" borderId="0" xfId="0" applyFont="1" applyFill="1" applyBorder="1" applyAlignment="1">
      <alignment horizontal="center" vertical="center"/>
    </xf>
    <xf numFmtId="0" fontId="11" fillId="4" borderId="0" xfId="0" applyFont="1" applyFill="1" applyBorder="1"/>
    <xf numFmtId="0" fontId="9" fillId="4" borderId="0" xfId="0" applyFont="1" applyFill="1" applyBorder="1" applyAlignment="1">
      <alignment horizontal="center" vertical="center"/>
    </xf>
    <xf numFmtId="0" fontId="2" fillId="4" borderId="30" xfId="0" applyFont="1" applyFill="1" applyBorder="1" applyAlignment="1">
      <alignment horizontal="center" vertical="center"/>
    </xf>
    <xf numFmtId="0" fontId="2" fillId="4" borderId="0" xfId="0" applyFont="1" applyFill="1" applyBorder="1" applyAlignment="1">
      <alignment horizontal="center" vertical="center"/>
    </xf>
    <xf numFmtId="0" fontId="12" fillId="4" borderId="0" xfId="0" applyFont="1" applyFill="1" applyBorder="1" applyAlignment="1">
      <alignment wrapText="1"/>
    </xf>
    <xf numFmtId="0" fontId="13" fillId="4" borderId="0" xfId="0" applyFont="1" applyFill="1" applyAlignment="1">
      <alignment wrapText="1"/>
    </xf>
    <xf numFmtId="0" fontId="0" fillId="0" borderId="0" xfId="0" applyBorder="1"/>
    <xf numFmtId="0" fontId="5" fillId="0" borderId="0" xfId="0" applyFont="1" applyFill="1" applyBorder="1" applyAlignment="1">
      <alignment vertical="center"/>
    </xf>
    <xf numFmtId="9" fontId="2" fillId="0" borderId="0" xfId="0" applyNumberFormat="1" applyFont="1" applyFill="1" applyBorder="1" applyAlignment="1">
      <alignment vertical="center"/>
    </xf>
    <xf numFmtId="0" fontId="2" fillId="4" borderId="21" xfId="0" applyFont="1" applyFill="1" applyBorder="1" applyAlignment="1">
      <alignment vertical="center"/>
    </xf>
    <xf numFmtId="0" fontId="2" fillId="4" borderId="0" xfId="0" applyFont="1" applyFill="1" applyBorder="1" applyAlignment="1">
      <alignment vertical="center"/>
    </xf>
    <xf numFmtId="0" fontId="0" fillId="0" borderId="0" xfId="0" applyFill="1" applyBorder="1"/>
    <xf numFmtId="0" fontId="0" fillId="0" borderId="3" xfId="0" applyBorder="1"/>
    <xf numFmtId="0" fontId="5" fillId="4" borderId="0" xfId="0" applyFont="1" applyFill="1" applyBorder="1" applyAlignment="1">
      <alignment vertical="center"/>
    </xf>
    <xf numFmtId="0" fontId="2" fillId="4" borderId="0" xfId="0" applyFont="1" applyFill="1" applyBorder="1" applyAlignment="1">
      <alignment horizontal="left" vertical="center"/>
    </xf>
    <xf numFmtId="0" fontId="15" fillId="4" borderId="0" xfId="0" applyFont="1" applyFill="1" applyBorder="1" applyAlignment="1">
      <alignment vertical="center"/>
    </xf>
    <xf numFmtId="0" fontId="16" fillId="4" borderId="0" xfId="0" applyFont="1" applyFill="1" applyBorder="1"/>
    <xf numFmtId="0" fontId="0" fillId="4" borderId="34" xfId="0" applyFill="1" applyBorder="1"/>
    <xf numFmtId="0" fontId="0" fillId="4" borderId="35" xfId="0" applyFill="1" applyBorder="1"/>
    <xf numFmtId="0" fontId="0" fillId="4" borderId="36" xfId="0" applyFill="1" applyBorder="1"/>
    <xf numFmtId="0" fontId="20" fillId="0" borderId="0" xfId="0" applyFont="1" applyBorder="1" applyAlignment="1">
      <alignment horizontal="center" wrapText="1"/>
    </xf>
    <xf numFmtId="0" fontId="5" fillId="4" borderId="0" xfId="0" applyFont="1" applyFill="1" applyBorder="1" applyAlignment="1">
      <alignment horizontal="center" vertical="center" wrapText="1"/>
    </xf>
    <xf numFmtId="0" fontId="4" fillId="4" borderId="0" xfId="0" applyFont="1" applyFill="1" applyBorder="1"/>
    <xf numFmtId="0" fontId="5" fillId="4" borderId="0" xfId="0" applyFont="1" applyFill="1" applyBorder="1" applyAlignment="1">
      <alignment horizontal="left" vertical="center"/>
    </xf>
    <xf numFmtId="9" fontId="5" fillId="4" borderId="0" xfId="0" applyNumberFormat="1" applyFont="1" applyFill="1" applyBorder="1" applyAlignment="1">
      <alignment horizontal="center" vertical="center"/>
    </xf>
    <xf numFmtId="0" fontId="4" fillId="4" borderId="0" xfId="0" applyFont="1" applyFill="1" applyBorder="1" applyAlignment="1">
      <alignment horizontal="left"/>
    </xf>
    <xf numFmtId="0" fontId="22" fillId="0" borderId="0" xfId="2" applyFont="1" applyFill="1" applyAlignment="1" applyProtection="1">
      <alignment vertical="center"/>
      <protection locked="0"/>
    </xf>
    <xf numFmtId="49" fontId="24" fillId="4" borderId="0" xfId="2" applyNumberFormat="1" applyFont="1" applyFill="1" applyAlignment="1" applyProtection="1">
      <alignment vertical="center"/>
      <protection locked="0"/>
    </xf>
    <xf numFmtId="0" fontId="24" fillId="4" borderId="0" xfId="2" applyFont="1" applyFill="1" applyAlignment="1" applyProtection="1">
      <alignment vertical="center"/>
      <protection locked="0"/>
    </xf>
    <xf numFmtId="9" fontId="26" fillId="4" borderId="0" xfId="2" applyNumberFormat="1" applyFont="1" applyFill="1" applyAlignment="1" applyProtection="1">
      <alignment vertical="center"/>
      <protection locked="0"/>
    </xf>
    <xf numFmtId="9" fontId="22" fillId="4" borderId="0" xfId="1" applyFont="1" applyFill="1" applyAlignment="1" applyProtection="1">
      <alignment vertical="center"/>
      <protection locked="0"/>
    </xf>
    <xf numFmtId="9" fontId="22" fillId="4" borderId="0" xfId="2" applyNumberFormat="1" applyFont="1" applyFill="1" applyAlignment="1" applyProtection="1">
      <alignment vertical="center"/>
      <protection locked="0"/>
    </xf>
    <xf numFmtId="0" fontId="26" fillId="4" borderId="0" xfId="2" applyFont="1" applyFill="1" applyAlignment="1" applyProtection="1">
      <alignment vertical="center"/>
      <protection locked="0"/>
    </xf>
    <xf numFmtId="0" fontId="26" fillId="0" borderId="0" xfId="3" applyFont="1" applyProtection="1"/>
    <xf numFmtId="0" fontId="7" fillId="4" borderId="0" xfId="0" applyFont="1" applyFill="1"/>
    <xf numFmtId="0" fontId="7" fillId="0" borderId="0" xfId="0" applyFont="1"/>
    <xf numFmtId="0" fontId="36" fillId="0" borderId="0" xfId="0" applyFont="1" applyAlignment="1">
      <alignment vertical="top"/>
    </xf>
    <xf numFmtId="49" fontId="36" fillId="0" borderId="0" xfId="0" applyNumberFormat="1" applyFont="1" applyAlignment="1">
      <alignment horizontal="center" vertical="top"/>
    </xf>
    <xf numFmtId="0" fontId="22" fillId="4" borderId="0" xfId="2" applyFont="1" applyFill="1" applyAlignment="1" applyProtection="1">
      <alignment vertical="center"/>
      <protection locked="0"/>
    </xf>
    <xf numFmtId="0" fontId="26" fillId="4" borderId="0" xfId="3" applyFont="1" applyFill="1" applyBorder="1" applyProtection="1"/>
    <xf numFmtId="0" fontId="26" fillId="4" borderId="59" xfId="3" applyFont="1" applyFill="1" applyBorder="1" applyAlignment="1" applyProtection="1">
      <alignment vertical="top" wrapText="1"/>
    </xf>
    <xf numFmtId="0" fontId="26" fillId="4" borderId="0" xfId="3" applyFont="1" applyFill="1" applyBorder="1" applyAlignment="1" applyProtection="1">
      <alignment vertical="top" wrapText="1"/>
    </xf>
    <xf numFmtId="0" fontId="26" fillId="4" borderId="60" xfId="3" applyFont="1" applyFill="1" applyBorder="1" applyAlignment="1" applyProtection="1">
      <alignment vertical="top" wrapText="1"/>
    </xf>
    <xf numFmtId="0" fontId="26" fillId="4" borderId="59" xfId="3" applyFont="1" applyFill="1" applyBorder="1" applyAlignment="1" applyProtection="1">
      <alignment horizontal="left" vertical="top"/>
    </xf>
    <xf numFmtId="0" fontId="26" fillId="4" borderId="60" xfId="3" applyFont="1" applyFill="1" applyBorder="1" applyAlignment="1" applyProtection="1">
      <alignment horizontal="left" vertical="top"/>
    </xf>
    <xf numFmtId="0" fontId="26" fillId="4" borderId="59" xfId="3" applyFont="1" applyFill="1" applyBorder="1" applyProtection="1"/>
    <xf numFmtId="0" fontId="34" fillId="4" borderId="0" xfId="4" applyFont="1" applyFill="1" applyBorder="1" applyAlignment="1" applyProtection="1">
      <alignment horizontal="left" vertical="top" wrapText="1" readingOrder="1"/>
    </xf>
    <xf numFmtId="0" fontId="26" fillId="4" borderId="60" xfId="3" applyFont="1" applyFill="1" applyBorder="1" applyProtection="1"/>
    <xf numFmtId="0" fontId="26" fillId="4" borderId="72" xfId="3" applyFont="1" applyFill="1" applyBorder="1" applyProtection="1"/>
    <xf numFmtId="0" fontId="26" fillId="4" borderId="73" xfId="3" applyFont="1" applyFill="1" applyBorder="1" applyProtection="1"/>
    <xf numFmtId="0" fontId="26" fillId="4" borderId="74" xfId="3" applyFont="1" applyFill="1" applyBorder="1" applyProtection="1"/>
    <xf numFmtId="0" fontId="34" fillId="4" borderId="0" xfId="0" applyFont="1" applyFill="1" applyBorder="1" applyAlignment="1" applyProtection="1">
      <alignment horizontal="left" vertical="center" wrapText="1"/>
    </xf>
    <xf numFmtId="0" fontId="35" fillId="4" borderId="0" xfId="0" applyFont="1" applyFill="1" applyBorder="1" applyAlignment="1" applyProtection="1">
      <alignment horizontal="left" vertical="top" wrapText="1"/>
    </xf>
    <xf numFmtId="0" fontId="26" fillId="4" borderId="0" xfId="3" quotePrefix="1" applyFont="1" applyFill="1" applyBorder="1" applyAlignment="1" applyProtection="1">
      <alignment horizontal="left" vertical="center" wrapText="1"/>
    </xf>
    <xf numFmtId="0" fontId="26" fillId="4" borderId="60" xfId="3" applyFont="1" applyFill="1" applyBorder="1" applyAlignment="1" applyProtection="1"/>
    <xf numFmtId="0" fontId="32" fillId="4" borderId="0" xfId="3" applyFont="1" applyFill="1" applyBorder="1" applyAlignment="1" applyProtection="1">
      <alignment horizontal="left" vertical="center" wrapText="1"/>
    </xf>
    <xf numFmtId="0" fontId="26" fillId="4" borderId="0" xfId="3" applyFont="1" applyFill="1" applyBorder="1" applyAlignment="1" applyProtection="1">
      <alignment horizontal="left" vertical="center" wrapText="1"/>
    </xf>
    <xf numFmtId="0" fontId="7" fillId="4" borderId="0" xfId="0" applyFont="1" applyFill="1" applyAlignment="1">
      <alignment vertical="center"/>
    </xf>
    <xf numFmtId="0" fontId="7" fillId="0" borderId="0" xfId="0" applyFont="1" applyAlignment="1">
      <alignment vertical="center"/>
    </xf>
    <xf numFmtId="0" fontId="8" fillId="4" borderId="0" xfId="0" applyFont="1" applyFill="1"/>
    <xf numFmtId="0" fontId="8" fillId="4" borderId="0" xfId="0" applyNumberFormat="1" applyFont="1" applyFill="1"/>
    <xf numFmtId="0" fontId="8" fillId="0" borderId="0" xfId="0" applyFont="1" applyAlignment="1">
      <alignment vertical="top"/>
    </xf>
    <xf numFmtId="0" fontId="8" fillId="0" borderId="0" xfId="0" applyNumberFormat="1" applyFont="1" applyAlignment="1">
      <alignment vertical="top"/>
    </xf>
    <xf numFmtId="0" fontId="8" fillId="0" borderId="0" xfId="0" applyNumberFormat="1" applyFont="1"/>
    <xf numFmtId="0" fontId="44" fillId="9" borderId="11" xfId="0" applyFont="1" applyFill="1" applyBorder="1" applyAlignment="1">
      <alignment horizontal="center" vertical="top" wrapText="1"/>
    </xf>
    <xf numFmtId="49" fontId="45" fillId="5" borderId="7" xfId="0" applyNumberFormat="1" applyFont="1" applyFill="1" applyBorder="1" applyAlignment="1">
      <alignment horizontal="center" vertical="center" wrapText="1"/>
    </xf>
    <xf numFmtId="0" fontId="45" fillId="5" borderId="7" xfId="0" applyFont="1" applyFill="1" applyBorder="1" applyAlignment="1">
      <alignment horizontal="center" vertical="center" wrapText="1"/>
    </xf>
    <xf numFmtId="0" fontId="45" fillId="5" borderId="10" xfId="0" applyFont="1" applyFill="1" applyBorder="1" applyAlignment="1">
      <alignment horizontal="center" vertical="center" wrapText="1"/>
    </xf>
    <xf numFmtId="0" fontId="45" fillId="5" borderId="5" xfId="0" applyFont="1" applyFill="1" applyBorder="1" applyAlignment="1">
      <alignment horizontal="center" vertical="center" wrapText="1"/>
    </xf>
    <xf numFmtId="0" fontId="46" fillId="0" borderId="2" xfId="0" applyFont="1" applyBorder="1" applyAlignment="1">
      <alignment horizontal="center" vertical="center" wrapText="1"/>
    </xf>
    <xf numFmtId="0" fontId="46" fillId="0" borderId="2" xfId="0" applyFont="1" applyBorder="1" applyAlignment="1">
      <alignment horizontal="left" vertical="center" wrapText="1"/>
    </xf>
    <xf numFmtId="0" fontId="46" fillId="0" borderId="3" xfId="0" applyFont="1" applyBorder="1" applyAlignment="1">
      <alignment horizontal="center" vertical="center" wrapText="1"/>
    </xf>
    <xf numFmtId="0" fontId="47" fillId="0" borderId="3" xfId="0" applyFont="1" applyFill="1" applyBorder="1" applyAlignment="1">
      <alignment horizontal="left" vertical="center" wrapText="1"/>
    </xf>
    <xf numFmtId="0" fontId="46" fillId="0" borderId="3" xfId="0" applyFont="1" applyBorder="1" applyAlignment="1">
      <alignment horizontal="left" vertical="center" wrapText="1"/>
    </xf>
    <xf numFmtId="0" fontId="46" fillId="0" borderId="4" xfId="0" applyFont="1" applyBorder="1" applyAlignment="1">
      <alignment horizontal="center" vertical="center" wrapText="1"/>
    </xf>
    <xf numFmtId="0" fontId="46" fillId="0" borderId="4" xfId="0" applyFont="1" applyBorder="1" applyAlignment="1">
      <alignment horizontal="left" vertical="center" wrapText="1"/>
    </xf>
    <xf numFmtId="0" fontId="46" fillId="0" borderId="3" xfId="0" applyFont="1" applyFill="1" applyBorder="1" applyAlignment="1">
      <alignment horizontal="center" vertical="center" wrapText="1"/>
    </xf>
    <xf numFmtId="0" fontId="46" fillId="0" borderId="2" xfId="0" applyFont="1" applyFill="1" applyBorder="1" applyAlignment="1">
      <alignment horizontal="left" vertical="center" wrapText="1"/>
    </xf>
    <xf numFmtId="0" fontId="9" fillId="13" borderId="3" xfId="0" applyFont="1" applyFill="1" applyBorder="1" applyAlignment="1">
      <alignment horizontal="center" vertical="center" wrapText="1"/>
    </xf>
    <xf numFmtId="0" fontId="50" fillId="0" borderId="0" xfId="0" applyFont="1" applyBorder="1" applyAlignment="1">
      <alignment horizontal="center" wrapText="1"/>
    </xf>
    <xf numFmtId="0" fontId="9" fillId="15" borderId="3"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11" borderId="3" xfId="0" applyFont="1" applyFill="1" applyBorder="1" applyAlignment="1">
      <alignment horizontal="center" vertical="center" wrapText="1"/>
    </xf>
    <xf numFmtId="0" fontId="9" fillId="9" borderId="3" xfId="0" applyFont="1" applyFill="1" applyBorder="1" applyAlignment="1">
      <alignment horizontal="center" vertical="center" wrapText="1"/>
    </xf>
    <xf numFmtId="0" fontId="51" fillId="2" borderId="3" xfId="0" applyFont="1" applyFill="1" applyBorder="1" applyAlignment="1">
      <alignment horizontal="center" vertical="center"/>
    </xf>
    <xf numFmtId="0" fontId="42" fillId="0" borderId="3" xfId="0" applyFont="1" applyFill="1" applyBorder="1" applyAlignment="1">
      <alignment horizontal="center" vertical="center"/>
    </xf>
    <xf numFmtId="0" fontId="53" fillId="0" borderId="0" xfId="0" applyFont="1" applyBorder="1" applyAlignment="1">
      <alignment horizontal="center"/>
    </xf>
    <xf numFmtId="0" fontId="52" fillId="12" borderId="31" xfId="0" applyFont="1" applyFill="1" applyBorder="1" applyAlignment="1">
      <alignment horizontal="center" vertical="center" wrapText="1"/>
    </xf>
    <xf numFmtId="0" fontId="42" fillId="0" borderId="0" xfId="0" applyFont="1" applyFill="1" applyBorder="1" applyAlignment="1">
      <alignment horizontal="center" vertical="center" wrapText="1"/>
    </xf>
    <xf numFmtId="0" fontId="25" fillId="4" borderId="0" xfId="2" applyNumberFormat="1" applyFont="1" applyFill="1" applyBorder="1" applyAlignment="1" applyProtection="1">
      <alignment vertical="center" wrapText="1"/>
    </xf>
    <xf numFmtId="0" fontId="35" fillId="4" borderId="0" xfId="2" applyFont="1" applyFill="1" applyBorder="1" applyAlignment="1" applyProtection="1">
      <alignment vertical="center" wrapText="1"/>
    </xf>
    <xf numFmtId="0" fontId="36" fillId="0" borderId="0" xfId="0" applyNumberFormat="1" applyFont="1" applyAlignment="1" applyProtection="1">
      <alignment horizontal="center" vertical="top"/>
      <protection hidden="1"/>
    </xf>
    <xf numFmtId="0" fontId="38" fillId="0" borderId="79" xfId="0" applyFont="1" applyBorder="1" applyAlignment="1" applyProtection="1">
      <alignment horizontal="center" vertical="center" wrapText="1"/>
      <protection hidden="1"/>
    </xf>
    <xf numFmtId="0" fontId="8" fillId="0" borderId="0" xfId="0" applyNumberFormat="1" applyFont="1" applyAlignment="1" applyProtection="1">
      <alignment horizontal="center" vertical="top"/>
      <protection hidden="1"/>
    </xf>
    <xf numFmtId="0" fontId="39" fillId="0" borderId="9" xfId="0" applyFont="1" applyFill="1" applyBorder="1" applyAlignment="1" applyProtection="1">
      <alignment horizontal="center" vertical="center" wrapText="1"/>
      <protection hidden="1"/>
    </xf>
    <xf numFmtId="49" fontId="8" fillId="0" borderId="0" xfId="0" applyNumberFormat="1" applyFont="1" applyAlignment="1" applyProtection="1">
      <alignment horizontal="center" vertical="top"/>
      <protection hidden="1"/>
    </xf>
    <xf numFmtId="0" fontId="38" fillId="0" borderId="9" xfId="0" applyFont="1" applyBorder="1" applyAlignment="1" applyProtection="1">
      <alignment horizontal="center" vertical="center" wrapText="1"/>
      <protection hidden="1"/>
    </xf>
    <xf numFmtId="0" fontId="38" fillId="0" borderId="80" xfId="0" applyFont="1" applyBorder="1" applyAlignment="1" applyProtection="1">
      <alignment horizontal="center" vertical="center" wrapText="1"/>
      <protection hidden="1"/>
    </xf>
    <xf numFmtId="0" fontId="8" fillId="0" borderId="0" xfId="0" applyNumberFormat="1" applyFont="1" applyAlignment="1" applyProtection="1">
      <alignment vertical="top"/>
      <protection hidden="1"/>
    </xf>
    <xf numFmtId="0" fontId="38" fillId="0" borderId="79" xfId="0" applyFont="1" applyFill="1" applyBorder="1" applyAlignment="1" applyProtection="1">
      <alignment horizontal="center" vertical="center" wrapText="1"/>
      <protection hidden="1"/>
    </xf>
    <xf numFmtId="0" fontId="43" fillId="0" borderId="2" xfId="0" applyFont="1" applyBorder="1" applyAlignment="1" applyProtection="1">
      <alignment horizontal="center" vertical="center" wrapText="1"/>
      <protection locked="0"/>
    </xf>
    <xf numFmtId="0" fontId="36" fillId="0" borderId="79" xfId="0" applyFont="1" applyBorder="1" applyAlignment="1" applyProtection="1">
      <alignment horizontal="left" vertical="center" wrapText="1"/>
      <protection locked="0"/>
    </xf>
    <xf numFmtId="0" fontId="43" fillId="0" borderId="3" xfId="0" applyFont="1" applyFill="1" applyBorder="1" applyAlignment="1" applyProtection="1">
      <alignment horizontal="center" vertical="center" wrapText="1"/>
      <protection locked="0"/>
    </xf>
    <xf numFmtId="0" fontId="7" fillId="0" borderId="9" xfId="0" applyFont="1" applyFill="1" applyBorder="1" applyAlignment="1" applyProtection="1">
      <alignment horizontal="left" vertical="center" wrapText="1"/>
      <protection locked="0"/>
    </xf>
    <xf numFmtId="0" fontId="43" fillId="0" borderId="3" xfId="0" applyFont="1" applyBorder="1" applyAlignment="1" applyProtection="1">
      <alignment horizontal="center" vertical="center" wrapText="1"/>
      <protection locked="0"/>
    </xf>
    <xf numFmtId="0" fontId="36" fillId="0" borderId="9" xfId="0" applyFont="1" applyBorder="1" applyAlignment="1" applyProtection="1">
      <alignment horizontal="left" vertical="center" wrapText="1"/>
      <protection locked="0"/>
    </xf>
    <xf numFmtId="0" fontId="43" fillId="0" borderId="4" xfId="0" applyFont="1" applyBorder="1" applyAlignment="1" applyProtection="1">
      <alignment horizontal="center" vertical="center" wrapText="1"/>
      <protection locked="0"/>
    </xf>
    <xf numFmtId="0" fontId="36" fillId="0" borderId="80" xfId="0" applyFont="1" applyBorder="1" applyAlignment="1" applyProtection="1">
      <alignment horizontal="left" vertical="center" wrapText="1"/>
      <protection locked="0"/>
    </xf>
    <xf numFmtId="0" fontId="43" fillId="0" borderId="2" xfId="0" applyFont="1" applyFill="1" applyBorder="1" applyAlignment="1" applyProtection="1">
      <alignment horizontal="center" vertical="center" wrapText="1"/>
      <protection locked="0"/>
    </xf>
    <xf numFmtId="0" fontId="36" fillId="0" borderId="79" xfId="0" applyFont="1" applyFill="1" applyBorder="1" applyAlignment="1" applyProtection="1">
      <alignment horizontal="left" vertical="center" wrapText="1"/>
      <protection locked="0"/>
    </xf>
    <xf numFmtId="0" fontId="19" fillId="2" borderId="82" xfId="2" applyFont="1" applyFill="1" applyBorder="1" applyAlignment="1" applyProtection="1">
      <alignment horizontal="center" vertical="center"/>
    </xf>
    <xf numFmtId="0" fontId="19" fillId="2" borderId="82" xfId="2" applyFont="1" applyFill="1" applyBorder="1" applyAlignment="1" applyProtection="1">
      <alignment horizontal="center" vertical="center" wrapText="1"/>
    </xf>
    <xf numFmtId="0" fontId="1" fillId="0" borderId="2" xfId="0" applyFont="1" applyBorder="1" applyAlignment="1" applyProtection="1">
      <alignment horizontal="left" vertical="center" wrapText="1"/>
      <protection hidden="1"/>
    </xf>
    <xf numFmtId="0" fontId="0" fillId="0" borderId="2" xfId="0" applyBorder="1" applyAlignment="1" applyProtection="1">
      <alignment horizontal="center" vertical="center"/>
      <protection hidden="1"/>
    </xf>
    <xf numFmtId="0" fontId="40" fillId="0" borderId="84" xfId="0" applyFont="1" applyFill="1" applyBorder="1" applyAlignment="1" applyProtection="1">
      <alignment vertical="center" wrapText="1"/>
      <protection hidden="1"/>
    </xf>
    <xf numFmtId="0" fontId="1" fillId="0" borderId="3" xfId="0" applyFont="1" applyBorder="1" applyAlignment="1" applyProtection="1">
      <alignment horizontal="left" vertical="center" wrapText="1"/>
      <protection hidden="1"/>
    </xf>
    <xf numFmtId="0" fontId="0" fillId="0" borderId="3" xfId="0" applyBorder="1" applyAlignment="1" applyProtection="1">
      <alignment horizontal="center" vertical="center"/>
      <protection hidden="1"/>
    </xf>
    <xf numFmtId="0" fontId="40" fillId="0" borderId="85" xfId="0" applyFont="1" applyFill="1" applyBorder="1" applyAlignment="1" applyProtection="1">
      <alignment vertical="center" wrapText="1"/>
      <protection hidden="1"/>
    </xf>
    <xf numFmtId="0" fontId="1" fillId="0" borderId="4" xfId="0" applyFont="1" applyBorder="1" applyAlignment="1" applyProtection="1">
      <alignment horizontal="left" vertical="center" wrapText="1"/>
      <protection hidden="1"/>
    </xf>
    <xf numFmtId="0" fontId="0" fillId="0" borderId="4" xfId="0" applyBorder="1" applyAlignment="1" applyProtection="1">
      <alignment horizontal="center" vertical="center"/>
      <protection hidden="1"/>
    </xf>
    <xf numFmtId="0" fontId="40" fillId="0" borderId="86" xfId="0" applyFont="1" applyFill="1" applyBorder="1" applyAlignment="1" applyProtection="1">
      <alignment vertical="center" wrapText="1"/>
      <protection hidden="1"/>
    </xf>
    <xf numFmtId="0" fontId="1" fillId="0" borderId="7" xfId="0" applyFont="1" applyBorder="1" applyAlignment="1" applyProtection="1">
      <alignment horizontal="left" vertical="center" wrapText="1"/>
      <protection hidden="1"/>
    </xf>
    <xf numFmtId="0" fontId="0" fillId="0" borderId="7" xfId="0" applyBorder="1" applyAlignment="1" applyProtection="1">
      <alignment horizontal="center" vertical="center"/>
      <protection hidden="1"/>
    </xf>
    <xf numFmtId="0" fontId="40" fillId="0" borderId="5" xfId="0" applyFont="1" applyFill="1" applyBorder="1" applyAlignment="1" applyProtection="1">
      <alignment vertical="center" wrapText="1"/>
      <protection hidden="1"/>
    </xf>
    <xf numFmtId="0" fontId="1" fillId="0" borderId="6" xfId="0" applyFont="1" applyBorder="1" applyAlignment="1" applyProtection="1">
      <alignment horizontal="left" vertical="center" wrapText="1"/>
      <protection hidden="1"/>
    </xf>
    <xf numFmtId="0" fontId="0" fillId="0" borderId="6" xfId="0" applyBorder="1" applyAlignment="1" applyProtection="1">
      <alignment horizontal="center" vertical="center"/>
      <protection hidden="1"/>
    </xf>
    <xf numFmtId="0" fontId="40" fillId="0" borderId="6" xfId="0" applyFont="1" applyFill="1" applyBorder="1" applyAlignment="1" applyProtection="1">
      <alignment vertical="center" wrapText="1"/>
      <protection hidden="1"/>
    </xf>
    <xf numFmtId="0" fontId="40" fillId="0" borderId="3" xfId="0" applyFont="1" applyFill="1" applyBorder="1" applyAlignment="1" applyProtection="1">
      <alignment vertical="center" wrapText="1"/>
      <protection hidden="1"/>
    </xf>
    <xf numFmtId="0" fontId="40" fillId="0" borderId="7" xfId="0" applyFont="1" applyFill="1" applyBorder="1" applyAlignment="1" applyProtection="1">
      <alignment vertical="center" wrapText="1"/>
      <protection hidden="1"/>
    </xf>
    <xf numFmtId="0" fontId="48" fillId="0" borderId="22" xfId="0" applyFont="1" applyBorder="1" applyAlignment="1" applyProtection="1">
      <alignment horizontal="center" vertical="center"/>
      <protection hidden="1"/>
    </xf>
    <xf numFmtId="9" fontId="0" fillId="0" borderId="90" xfId="0" applyNumberFormat="1" applyBorder="1" applyAlignment="1" applyProtection="1">
      <alignment horizontal="center" vertical="center"/>
      <protection hidden="1"/>
    </xf>
    <xf numFmtId="9" fontId="0" fillId="0" borderId="91" xfId="0" applyNumberFormat="1" applyBorder="1" applyAlignment="1" applyProtection="1">
      <alignment horizontal="center" vertical="center"/>
      <protection hidden="1"/>
    </xf>
    <xf numFmtId="9" fontId="0" fillId="0" borderId="92" xfId="0" applyNumberFormat="1" applyBorder="1" applyAlignment="1" applyProtection="1">
      <alignment horizontal="center" vertical="center"/>
      <protection hidden="1"/>
    </xf>
    <xf numFmtId="9" fontId="0" fillId="0" borderId="93" xfId="0" applyNumberFormat="1" applyBorder="1" applyAlignment="1" applyProtection="1">
      <alignment horizontal="center" vertical="center"/>
      <protection hidden="1"/>
    </xf>
    <xf numFmtId="9" fontId="0" fillId="0" borderId="6" xfId="0" applyNumberFormat="1" applyBorder="1" applyAlignment="1" applyProtection="1">
      <alignment horizontal="center" vertical="center"/>
      <protection hidden="1"/>
    </xf>
    <xf numFmtId="9" fontId="0" fillId="0" borderId="3" xfId="0" applyNumberFormat="1" applyBorder="1" applyAlignment="1" applyProtection="1">
      <alignment horizontal="center" vertical="center"/>
      <protection hidden="1"/>
    </xf>
    <xf numFmtId="9" fontId="0" fillId="0" borderId="7" xfId="0" applyNumberFormat="1" applyBorder="1" applyAlignment="1" applyProtection="1">
      <alignment horizontal="center" vertical="center"/>
      <protection hidden="1"/>
    </xf>
    <xf numFmtId="9" fontId="42" fillId="2" borderId="26" xfId="0" applyNumberFormat="1" applyFont="1" applyFill="1" applyBorder="1" applyAlignment="1" applyProtection="1">
      <alignment horizontal="center" vertical="center"/>
      <protection hidden="1"/>
    </xf>
    <xf numFmtId="0" fontId="42" fillId="0" borderId="3" xfId="0" applyFont="1" applyFill="1" applyBorder="1" applyAlignment="1" applyProtection="1">
      <alignment horizontal="center" vertical="center"/>
      <protection hidden="1"/>
    </xf>
    <xf numFmtId="9" fontId="14" fillId="14" borderId="3" xfId="0" applyNumberFormat="1" applyFont="1" applyFill="1" applyBorder="1" applyAlignment="1" applyProtection="1">
      <alignment horizontal="center" vertical="center"/>
      <protection hidden="1"/>
    </xf>
    <xf numFmtId="49" fontId="55" fillId="4" borderId="2" xfId="0" applyNumberFormat="1" applyFont="1" applyFill="1" applyBorder="1" applyAlignment="1" applyProtection="1">
      <alignment horizontal="center" vertical="center" wrapText="1"/>
      <protection locked="0"/>
    </xf>
    <xf numFmtId="49" fontId="55" fillId="4" borderId="3" xfId="0" applyNumberFormat="1" applyFont="1" applyFill="1" applyBorder="1" applyAlignment="1" applyProtection="1">
      <alignment horizontal="center" vertical="center" wrapText="1"/>
      <protection locked="0"/>
    </xf>
    <xf numFmtId="49" fontId="55" fillId="4" borderId="4" xfId="0" applyNumberFormat="1" applyFont="1" applyFill="1" applyBorder="1" applyAlignment="1" applyProtection="1">
      <alignment horizontal="center" vertical="center" wrapText="1"/>
      <protection locked="0"/>
    </xf>
    <xf numFmtId="49" fontId="18" fillId="5" borderId="7" xfId="0" applyNumberFormat="1" applyFont="1" applyFill="1" applyBorder="1" applyAlignment="1" applyProtection="1">
      <alignment horizontal="center" vertical="center" wrapText="1"/>
      <protection hidden="1"/>
    </xf>
    <xf numFmtId="0" fontId="18" fillId="5" borderId="7" xfId="0" applyFont="1" applyFill="1" applyBorder="1" applyAlignment="1" applyProtection="1">
      <alignment horizontal="center" vertical="center" wrapText="1"/>
      <protection hidden="1"/>
    </xf>
    <xf numFmtId="0" fontId="18" fillId="5" borderId="10" xfId="0" applyFont="1" applyFill="1" applyBorder="1" applyAlignment="1" applyProtection="1">
      <alignment horizontal="center" vertical="center" wrapText="1"/>
      <protection hidden="1"/>
    </xf>
    <xf numFmtId="0" fontId="18" fillId="5" borderId="81" xfId="0" applyFont="1" applyFill="1" applyBorder="1" applyAlignment="1" applyProtection="1">
      <alignment horizontal="center" vertical="center" wrapText="1"/>
      <protection hidden="1"/>
    </xf>
    <xf numFmtId="0" fontId="0" fillId="0" borderId="0" xfId="0" applyProtection="1">
      <protection hidden="1"/>
    </xf>
    <xf numFmtId="9" fontId="0" fillId="0" borderId="0" xfId="1" applyFont="1" applyProtection="1">
      <protection hidden="1"/>
    </xf>
    <xf numFmtId="10" fontId="0" fillId="0" borderId="0" xfId="1" applyNumberFormat="1" applyFont="1" applyProtection="1">
      <protection hidden="1"/>
    </xf>
    <xf numFmtId="49" fontId="44" fillId="9" borderId="14" xfId="0" applyNumberFormat="1" applyFont="1" applyFill="1" applyBorder="1" applyAlignment="1">
      <alignment horizontal="center" vertical="center" wrapText="1"/>
    </xf>
    <xf numFmtId="49" fontId="44" fillId="9" borderId="11" xfId="0" applyNumberFormat="1" applyFont="1" applyFill="1" applyBorder="1" applyAlignment="1">
      <alignment horizontal="center" vertical="center" wrapText="1"/>
    </xf>
    <xf numFmtId="0" fontId="30" fillId="0" borderId="58" xfId="3" applyFont="1" applyBorder="1" applyAlignment="1" applyProtection="1">
      <alignment horizontal="center" vertical="center" wrapText="1"/>
    </xf>
    <xf numFmtId="0" fontId="30" fillId="0" borderId="55" xfId="3" applyFont="1" applyBorder="1" applyAlignment="1" applyProtection="1">
      <alignment horizontal="center" vertical="center" wrapText="1"/>
    </xf>
    <xf numFmtId="0" fontId="30" fillId="0" borderId="8" xfId="3" applyFont="1" applyBorder="1" applyAlignment="1" applyProtection="1">
      <alignment horizontal="center" vertical="center" wrapText="1"/>
    </xf>
    <xf numFmtId="0" fontId="26" fillId="0" borderId="59" xfId="3" quotePrefix="1" applyFont="1" applyBorder="1" applyAlignment="1" applyProtection="1">
      <alignment horizontal="left" vertical="center" wrapText="1"/>
    </xf>
    <xf numFmtId="0" fontId="26" fillId="0" borderId="0" xfId="3" quotePrefix="1" applyFont="1" applyBorder="1" applyAlignment="1" applyProtection="1">
      <alignment horizontal="left" vertical="center" wrapText="1"/>
    </xf>
    <xf numFmtId="0" fontId="26" fillId="0" borderId="60" xfId="3" quotePrefix="1" applyFont="1" applyBorder="1" applyAlignment="1" applyProtection="1">
      <alignment horizontal="left" vertical="center" wrapText="1"/>
    </xf>
    <xf numFmtId="0" fontId="31" fillId="4" borderId="59" xfId="3" quotePrefix="1" applyFont="1" applyFill="1" applyBorder="1" applyAlignment="1" applyProtection="1">
      <alignment horizontal="left" vertical="top" wrapText="1"/>
    </xf>
    <xf numFmtId="0" fontId="25" fillId="4" borderId="0" xfId="3" quotePrefix="1" applyFont="1" applyFill="1" applyBorder="1" applyAlignment="1" applyProtection="1">
      <alignment horizontal="left" vertical="top" wrapText="1"/>
    </xf>
    <xf numFmtId="0" fontId="25" fillId="4" borderId="60" xfId="3" quotePrefix="1" applyFont="1" applyFill="1" applyBorder="1" applyAlignment="1" applyProtection="1">
      <alignment horizontal="left" vertical="top" wrapText="1"/>
    </xf>
    <xf numFmtId="0" fontId="26" fillId="4" borderId="59" xfId="3" quotePrefix="1" applyFont="1" applyFill="1" applyBorder="1" applyAlignment="1" applyProtection="1">
      <alignment horizontal="left" vertical="top" wrapText="1"/>
    </xf>
    <xf numFmtId="0" fontId="26" fillId="4" borderId="0" xfId="3" quotePrefix="1" applyFont="1" applyFill="1" applyBorder="1" applyAlignment="1" applyProtection="1">
      <alignment horizontal="left" vertical="top" wrapText="1"/>
    </xf>
    <xf numFmtId="0" fontId="26" fillId="4" borderId="60" xfId="3" quotePrefix="1" applyFont="1" applyFill="1" applyBorder="1" applyAlignment="1" applyProtection="1">
      <alignment horizontal="left" vertical="top" wrapText="1"/>
    </xf>
    <xf numFmtId="0" fontId="34" fillId="16" borderId="61" xfId="4" applyFont="1" applyFill="1" applyBorder="1" applyAlignment="1" applyProtection="1">
      <alignment horizontal="center" vertical="center" wrapText="1"/>
    </xf>
    <xf numFmtId="0" fontId="34" fillId="16" borderId="62" xfId="4" applyFont="1" applyFill="1" applyBorder="1" applyAlignment="1" applyProtection="1">
      <alignment horizontal="center" vertical="center" wrapText="1"/>
    </xf>
    <xf numFmtId="0" fontId="34" fillId="16" borderId="63" xfId="3" applyFont="1" applyFill="1" applyBorder="1" applyAlignment="1" applyProtection="1">
      <alignment horizontal="center" vertical="center"/>
    </xf>
    <xf numFmtId="0" fontId="34" fillId="16" borderId="64" xfId="3" applyFont="1" applyFill="1" applyBorder="1" applyAlignment="1" applyProtection="1">
      <alignment horizontal="center" vertical="center"/>
    </xf>
    <xf numFmtId="0" fontId="34" fillId="4" borderId="75" xfId="4" applyFont="1" applyFill="1" applyBorder="1" applyAlignment="1" applyProtection="1">
      <alignment horizontal="left" vertical="center" wrapText="1" readingOrder="1"/>
    </xf>
    <xf numFmtId="0" fontId="34" fillId="4" borderId="76" xfId="4" applyFont="1" applyFill="1" applyBorder="1" applyAlignment="1" applyProtection="1">
      <alignment horizontal="left" vertical="center" wrapText="1" readingOrder="1"/>
    </xf>
    <xf numFmtId="0" fontId="35" fillId="0" borderId="65" xfId="3" applyFont="1" applyFill="1" applyBorder="1" applyAlignment="1" applyProtection="1">
      <alignment horizontal="left" vertical="center" wrapText="1"/>
    </xf>
    <xf numFmtId="0" fontId="35" fillId="0" borderId="66" xfId="3" applyFont="1" applyFill="1" applyBorder="1" applyAlignment="1" applyProtection="1">
      <alignment horizontal="left" vertical="center" wrapText="1"/>
    </xf>
    <xf numFmtId="0" fontId="34" fillId="4" borderId="67" xfId="0" applyFont="1" applyFill="1" applyBorder="1" applyAlignment="1" applyProtection="1">
      <alignment horizontal="left" vertical="center" wrapText="1"/>
    </xf>
    <xf numFmtId="0" fontId="34" fillId="4" borderId="68" xfId="0" applyFont="1" applyFill="1" applyBorder="1" applyAlignment="1" applyProtection="1">
      <alignment horizontal="left" vertical="center" wrapText="1"/>
    </xf>
    <xf numFmtId="0" fontId="35" fillId="0" borderId="69" xfId="3" applyFont="1" applyFill="1" applyBorder="1" applyAlignment="1" applyProtection="1">
      <alignment horizontal="left" vertical="center" wrapText="1"/>
    </xf>
    <xf numFmtId="0" fontId="35" fillId="0" borderId="70" xfId="3" applyFont="1" applyFill="1" applyBorder="1" applyAlignment="1" applyProtection="1">
      <alignment horizontal="left" vertical="center" wrapText="1"/>
    </xf>
    <xf numFmtId="0" fontId="35" fillId="0" borderId="69" xfId="3" applyFont="1" applyFill="1" applyBorder="1" applyAlignment="1" applyProtection="1">
      <alignment horizontal="left" vertical="top" wrapText="1"/>
    </xf>
    <xf numFmtId="0" fontId="35" fillId="0" borderId="70" xfId="3" applyFont="1" applyFill="1" applyBorder="1" applyAlignment="1" applyProtection="1">
      <alignment horizontal="left" vertical="top" wrapText="1"/>
    </xf>
    <xf numFmtId="0" fontId="26" fillId="4" borderId="59" xfId="3" applyFont="1" applyFill="1" applyBorder="1" applyAlignment="1" applyProtection="1">
      <alignment horizontal="left" vertical="top" wrapText="1"/>
    </xf>
    <xf numFmtId="0" fontId="26" fillId="4" borderId="0" xfId="3" applyFont="1" applyFill="1" applyBorder="1" applyAlignment="1" applyProtection="1">
      <alignment horizontal="left" vertical="top" wrapText="1"/>
    </xf>
    <xf numFmtId="0" fontId="26" fillId="4" borderId="60" xfId="3" applyFont="1" applyFill="1" applyBorder="1" applyAlignment="1" applyProtection="1">
      <alignment horizontal="left" vertical="top" wrapText="1"/>
    </xf>
    <xf numFmtId="0" fontId="26" fillId="4" borderId="0" xfId="3" applyFont="1" applyFill="1" applyBorder="1" applyAlignment="1" applyProtection="1"/>
    <xf numFmtId="0" fontId="34" fillId="4" borderId="77" xfId="0" applyFont="1" applyFill="1" applyBorder="1" applyAlignment="1" applyProtection="1">
      <alignment horizontal="left" vertical="center" wrapText="1"/>
    </xf>
    <xf numFmtId="0" fontId="34" fillId="4" borderId="78" xfId="0" applyFont="1" applyFill="1" applyBorder="1" applyAlignment="1" applyProtection="1">
      <alignment horizontal="left" vertical="center" wrapText="1"/>
    </xf>
    <xf numFmtId="0" fontId="17" fillId="2" borderId="44" xfId="2" applyNumberFormat="1" applyFont="1" applyFill="1" applyBorder="1" applyAlignment="1" applyProtection="1">
      <alignment horizontal="center" vertical="center" wrapText="1"/>
    </xf>
    <xf numFmtId="0" fontId="17" fillId="2" borderId="45" xfId="2" applyNumberFormat="1" applyFont="1" applyFill="1" applyBorder="1" applyAlignment="1" applyProtection="1">
      <alignment horizontal="center" vertical="center" wrapText="1"/>
    </xf>
    <xf numFmtId="0" fontId="25" fillId="7" borderId="50" xfId="2" applyNumberFormat="1" applyFont="1" applyFill="1" applyBorder="1" applyAlignment="1" applyProtection="1">
      <alignment horizontal="center" vertical="center"/>
    </xf>
    <xf numFmtId="0" fontId="25" fillId="7" borderId="51" xfId="2" applyNumberFormat="1" applyFont="1" applyFill="1" applyBorder="1" applyAlignment="1" applyProtection="1">
      <alignment horizontal="center" vertical="center"/>
    </xf>
    <xf numFmtId="0" fontId="26" fillId="0" borderId="56" xfId="2" applyFont="1" applyFill="1" applyBorder="1" applyAlignment="1" applyProtection="1">
      <alignment horizontal="justify" vertical="center" wrapText="1"/>
    </xf>
    <xf numFmtId="0" fontId="26" fillId="0" borderId="57" xfId="2" applyFont="1" applyFill="1" applyBorder="1" applyAlignment="1" applyProtection="1">
      <alignment horizontal="justify" vertical="center" wrapText="1"/>
    </xf>
    <xf numFmtId="0" fontId="25" fillId="8" borderId="52" xfId="2" applyNumberFormat="1" applyFont="1" applyFill="1" applyBorder="1" applyAlignment="1" applyProtection="1">
      <alignment horizontal="center" vertical="center" wrapText="1"/>
    </xf>
    <xf numFmtId="0" fontId="25" fillId="8" borderId="53" xfId="2" applyNumberFormat="1" applyFont="1" applyFill="1" applyBorder="1" applyAlignment="1" applyProtection="1">
      <alignment horizontal="center" vertical="center"/>
    </xf>
    <xf numFmtId="0" fontId="26" fillId="0" borderId="53" xfId="2" applyFont="1" applyFill="1" applyBorder="1" applyAlignment="1" applyProtection="1">
      <alignment horizontal="justify" vertical="center" wrapText="1"/>
    </xf>
    <xf numFmtId="0" fontId="26" fillId="0" borderId="54" xfId="2" applyFont="1" applyFill="1" applyBorder="1" applyAlignment="1" applyProtection="1">
      <alignment horizontal="justify" vertical="center" wrapText="1"/>
    </xf>
    <xf numFmtId="0" fontId="37" fillId="4" borderId="71" xfId="2" applyNumberFormat="1" applyFont="1" applyFill="1" applyBorder="1" applyAlignment="1" applyProtection="1">
      <alignment horizontal="center" vertical="center" wrapText="1"/>
    </xf>
    <xf numFmtId="0" fontId="24" fillId="4" borderId="71" xfId="2" applyFont="1" applyFill="1" applyBorder="1" applyAlignment="1" applyProtection="1">
      <alignment horizontal="center" vertical="center" wrapText="1"/>
    </xf>
    <xf numFmtId="0" fontId="17" fillId="2" borderId="46" xfId="2" applyNumberFormat="1" applyFont="1" applyFill="1" applyBorder="1" applyAlignment="1" applyProtection="1">
      <alignment horizontal="center" vertical="center" wrapText="1"/>
    </xf>
    <xf numFmtId="0" fontId="25" fillId="14" borderId="47" xfId="2" applyNumberFormat="1" applyFont="1" applyFill="1" applyBorder="1" applyAlignment="1" applyProtection="1">
      <alignment horizontal="center" vertical="center"/>
    </xf>
    <xf numFmtId="0" fontId="25" fillId="14" borderId="48" xfId="2" applyNumberFormat="1" applyFont="1" applyFill="1" applyBorder="1" applyAlignment="1" applyProtection="1">
      <alignment horizontal="center" vertical="center"/>
    </xf>
    <xf numFmtId="0" fontId="26" fillId="0" borderId="48" xfId="2" applyFont="1" applyFill="1" applyBorder="1" applyAlignment="1" applyProtection="1">
      <alignment horizontal="justify" vertical="center" wrapText="1"/>
    </xf>
    <xf numFmtId="0" fontId="26" fillId="0" borderId="49" xfId="2" applyFont="1" applyFill="1" applyBorder="1" applyAlignment="1" applyProtection="1">
      <alignment horizontal="justify" vertical="center" wrapText="1"/>
    </xf>
    <xf numFmtId="0" fontId="44" fillId="9" borderId="11" xfId="0" applyFont="1" applyFill="1" applyBorder="1" applyAlignment="1">
      <alignment horizontal="center" vertical="center" wrapText="1"/>
    </xf>
    <xf numFmtId="0" fontId="44" fillId="9" borderId="12" xfId="0" applyFont="1" applyFill="1" applyBorder="1" applyAlignment="1">
      <alignment horizontal="center" vertical="center" wrapText="1"/>
    </xf>
    <xf numFmtId="0" fontId="44" fillId="9" borderId="6" xfId="0" applyFont="1" applyFill="1" applyBorder="1" applyAlignment="1">
      <alignment horizontal="center" vertical="center" wrapText="1"/>
    </xf>
    <xf numFmtId="49" fontId="44" fillId="9" borderId="14" xfId="0" applyNumberFormat="1" applyFont="1" applyFill="1" applyBorder="1" applyAlignment="1">
      <alignment horizontal="center" vertical="center" wrapText="1"/>
    </xf>
    <xf numFmtId="49" fontId="44" fillId="9" borderId="15" xfId="0" applyNumberFormat="1" applyFont="1" applyFill="1" applyBorder="1" applyAlignment="1">
      <alignment horizontal="center" vertical="center" wrapText="1"/>
    </xf>
    <xf numFmtId="49" fontId="44" fillId="9" borderId="16" xfId="0" applyNumberFormat="1" applyFont="1" applyFill="1" applyBorder="1" applyAlignment="1">
      <alignment horizontal="center" vertical="center" wrapText="1"/>
    </xf>
    <xf numFmtId="49" fontId="44" fillId="6" borderId="11" xfId="0" applyNumberFormat="1" applyFont="1" applyFill="1" applyBorder="1" applyAlignment="1">
      <alignment horizontal="center" vertical="center" wrapText="1"/>
    </xf>
    <xf numFmtId="49" fontId="44" fillId="6" borderId="12" xfId="0" applyNumberFormat="1" applyFont="1" applyFill="1" applyBorder="1" applyAlignment="1">
      <alignment horizontal="center" vertical="center" wrapText="1"/>
    </xf>
    <xf numFmtId="49" fontId="44" fillId="6" borderId="13" xfId="0" applyNumberFormat="1" applyFont="1" applyFill="1" applyBorder="1" applyAlignment="1">
      <alignment horizontal="center" vertical="center" wrapText="1"/>
    </xf>
    <xf numFmtId="49" fontId="44" fillId="10" borderId="11" xfId="0" applyNumberFormat="1" applyFont="1" applyFill="1" applyBorder="1" applyAlignment="1">
      <alignment horizontal="center" vertical="center" wrapText="1"/>
    </xf>
    <xf numFmtId="49" fontId="44" fillId="10" borderId="12" xfId="0" applyNumberFormat="1" applyFont="1" applyFill="1" applyBorder="1" applyAlignment="1">
      <alignment horizontal="center" vertical="center" wrapText="1"/>
    </xf>
    <xf numFmtId="49" fontId="44" fillId="10" borderId="13" xfId="0" applyNumberFormat="1" applyFont="1" applyFill="1" applyBorder="1" applyAlignment="1">
      <alignment horizontal="center" vertical="center" wrapText="1"/>
    </xf>
    <xf numFmtId="49" fontId="44" fillId="2" borderId="11" xfId="0" applyNumberFormat="1" applyFont="1" applyFill="1" applyBorder="1" applyAlignment="1">
      <alignment horizontal="center" vertical="center" wrapText="1"/>
    </xf>
    <xf numFmtId="49" fontId="44" fillId="2" borderId="12" xfId="0" applyNumberFormat="1" applyFont="1" applyFill="1" applyBorder="1" applyAlignment="1">
      <alignment horizontal="center" vertical="center" wrapText="1"/>
    </xf>
    <xf numFmtId="49" fontId="44" fillId="2" borderId="13" xfId="0" applyNumberFormat="1" applyFont="1" applyFill="1" applyBorder="1" applyAlignment="1">
      <alignment horizontal="center" vertical="center" wrapText="1"/>
    </xf>
    <xf numFmtId="49" fontId="44" fillId="11" borderId="11" xfId="0" applyNumberFormat="1" applyFont="1" applyFill="1" applyBorder="1" applyAlignment="1">
      <alignment horizontal="center" vertical="center" wrapText="1"/>
    </xf>
    <xf numFmtId="49" fontId="44" fillId="11" borderId="12" xfId="0" applyNumberFormat="1" applyFont="1" applyFill="1" applyBorder="1" applyAlignment="1">
      <alignment horizontal="center" vertical="center" wrapText="1"/>
    </xf>
    <xf numFmtId="49" fontId="44" fillId="11" borderId="13" xfId="0" applyNumberFormat="1" applyFont="1" applyFill="1" applyBorder="1" applyAlignment="1">
      <alignment horizontal="center" vertical="center" wrapText="1"/>
    </xf>
    <xf numFmtId="49" fontId="44" fillId="9" borderId="11" xfId="0" applyNumberFormat="1" applyFont="1" applyFill="1" applyBorder="1" applyAlignment="1">
      <alignment horizontal="center" vertical="center" wrapText="1"/>
    </xf>
    <xf numFmtId="49" fontId="44" fillId="9" borderId="12" xfId="0" applyNumberFormat="1" applyFont="1" applyFill="1" applyBorder="1" applyAlignment="1">
      <alignment horizontal="center" vertical="center" wrapText="1"/>
    </xf>
    <xf numFmtId="49" fontId="44" fillId="9" borderId="13" xfId="0" applyNumberFormat="1" applyFont="1" applyFill="1" applyBorder="1" applyAlignment="1">
      <alignment horizontal="center" vertical="center" wrapText="1"/>
    </xf>
    <xf numFmtId="49" fontId="44" fillId="10" borderId="3" xfId="0" applyNumberFormat="1" applyFont="1" applyFill="1" applyBorder="1" applyAlignment="1">
      <alignment horizontal="center" vertical="center" wrapText="1"/>
    </xf>
    <xf numFmtId="0" fontId="44" fillId="10" borderId="3" xfId="0" applyFont="1" applyFill="1" applyBorder="1" applyAlignment="1">
      <alignment horizontal="center" vertical="center" wrapText="1"/>
    </xf>
    <xf numFmtId="49" fontId="44" fillId="10" borderId="15" xfId="0" applyNumberFormat="1" applyFont="1" applyFill="1" applyBorder="1" applyAlignment="1">
      <alignment horizontal="center" vertical="center" wrapText="1"/>
    </xf>
    <xf numFmtId="0" fontId="44" fillId="10" borderId="12" xfId="0" applyFont="1" applyFill="1" applyBorder="1" applyAlignment="1">
      <alignment horizontal="center" vertical="center" wrapText="1"/>
    </xf>
    <xf numFmtId="49" fontId="44" fillId="2" borderId="14" xfId="0" applyNumberFormat="1" applyFont="1" applyFill="1" applyBorder="1" applyAlignment="1">
      <alignment horizontal="center" vertical="center" wrapText="1"/>
    </xf>
    <xf numFmtId="49" fontId="44" fillId="2" borderId="15" xfId="0" applyNumberFormat="1" applyFont="1" applyFill="1" applyBorder="1" applyAlignment="1">
      <alignment horizontal="center" vertical="center" wrapText="1"/>
    </xf>
    <xf numFmtId="49" fontId="44" fillId="2" borderId="16" xfId="0" applyNumberFormat="1" applyFont="1" applyFill="1" applyBorder="1" applyAlignment="1">
      <alignment horizontal="center" vertical="center" wrapText="1"/>
    </xf>
    <xf numFmtId="0" fontId="44" fillId="2" borderId="11" xfId="0" applyFont="1" applyFill="1" applyBorder="1" applyAlignment="1">
      <alignment horizontal="center" vertical="center" wrapText="1"/>
    </xf>
    <xf numFmtId="0" fontId="44" fillId="2" borderId="12" xfId="0" applyFont="1" applyFill="1" applyBorder="1" applyAlignment="1">
      <alignment horizontal="center" vertical="center" wrapText="1"/>
    </xf>
    <xf numFmtId="0" fontId="44" fillId="2" borderId="13" xfId="0" applyFont="1" applyFill="1" applyBorder="1" applyAlignment="1">
      <alignment horizontal="center" vertical="center" wrapText="1"/>
    </xf>
    <xf numFmtId="49" fontId="45" fillId="5" borderId="0" xfId="0" applyNumberFormat="1" applyFont="1" applyFill="1" applyBorder="1" applyAlignment="1">
      <alignment horizontal="center" vertical="center"/>
    </xf>
    <xf numFmtId="0" fontId="44" fillId="11" borderId="11" xfId="0" applyFont="1" applyFill="1" applyBorder="1" applyAlignment="1">
      <alignment horizontal="center" vertical="center" wrapText="1"/>
    </xf>
    <xf numFmtId="0" fontId="44" fillId="11" borderId="12" xfId="0" applyFont="1" applyFill="1" applyBorder="1" applyAlignment="1">
      <alignment horizontal="center" vertical="center" wrapText="1"/>
    </xf>
    <xf numFmtId="0" fontId="44" fillId="11" borderId="13" xfId="0" applyFont="1" applyFill="1" applyBorder="1" applyAlignment="1">
      <alignment horizontal="center" vertical="center" wrapText="1"/>
    </xf>
    <xf numFmtId="49" fontId="44" fillId="11" borderId="14" xfId="0" applyNumberFormat="1" applyFont="1" applyFill="1" applyBorder="1" applyAlignment="1">
      <alignment horizontal="center" vertical="center" wrapText="1"/>
    </xf>
    <xf numFmtId="49" fontId="44" fillId="11" borderId="15" xfId="0" applyNumberFormat="1" applyFont="1" applyFill="1" applyBorder="1" applyAlignment="1">
      <alignment horizontal="center" vertical="center" wrapText="1"/>
    </xf>
    <xf numFmtId="49" fontId="44" fillId="11" borderId="16" xfId="0" applyNumberFormat="1" applyFont="1" applyFill="1" applyBorder="1" applyAlignment="1">
      <alignment horizontal="center" vertical="center" wrapText="1"/>
    </xf>
    <xf numFmtId="0" fontId="44" fillId="9" borderId="13" xfId="0" applyFont="1" applyFill="1" applyBorder="1" applyAlignment="1">
      <alignment horizontal="center" vertical="center" wrapText="1"/>
    </xf>
    <xf numFmtId="0" fontId="44" fillId="6" borderId="11" xfId="0" applyFont="1" applyFill="1" applyBorder="1" applyAlignment="1">
      <alignment horizontal="center" vertical="center" wrapText="1"/>
    </xf>
    <xf numFmtId="0" fontId="44" fillId="6" borderId="12" xfId="0" applyFont="1" applyFill="1" applyBorder="1" applyAlignment="1">
      <alignment horizontal="center" vertical="center" wrapText="1"/>
    </xf>
    <xf numFmtId="0" fontId="44" fillId="6" borderId="13" xfId="0" applyFont="1" applyFill="1" applyBorder="1" applyAlignment="1">
      <alignment horizontal="center" vertical="center" wrapText="1"/>
    </xf>
    <xf numFmtId="49" fontId="8" fillId="6" borderId="14" xfId="0" applyNumberFormat="1" applyFont="1" applyFill="1" applyBorder="1" applyAlignment="1">
      <alignment horizontal="center" vertical="center" wrapText="1"/>
    </xf>
    <xf numFmtId="49" fontId="8" fillId="6" borderId="15" xfId="0" applyNumberFormat="1" applyFont="1" applyFill="1" applyBorder="1" applyAlignment="1">
      <alignment horizontal="center" vertical="center" wrapText="1"/>
    </xf>
    <xf numFmtId="49" fontId="8" fillId="6" borderId="16" xfId="0" applyNumberFormat="1" applyFont="1" applyFill="1" applyBorder="1" applyAlignment="1">
      <alignment horizontal="center" vertical="center" wrapText="1"/>
    </xf>
    <xf numFmtId="49" fontId="8" fillId="10" borderId="14" xfId="0" applyNumberFormat="1" applyFont="1" applyFill="1" applyBorder="1" applyAlignment="1">
      <alignment horizontal="center" vertical="center" wrapText="1"/>
    </xf>
    <xf numFmtId="49" fontId="8" fillId="10" borderId="15" xfId="0" applyNumberFormat="1" applyFont="1" applyFill="1" applyBorder="1" applyAlignment="1">
      <alignment horizontal="center" vertical="center" wrapText="1"/>
    </xf>
    <xf numFmtId="49" fontId="8" fillId="10" borderId="16" xfId="0" applyNumberFormat="1" applyFont="1" applyFill="1" applyBorder="1" applyAlignment="1">
      <alignment horizontal="center" vertical="center" wrapText="1"/>
    </xf>
    <xf numFmtId="0" fontId="44" fillId="10" borderId="11" xfId="0" applyFont="1" applyFill="1" applyBorder="1" applyAlignment="1">
      <alignment horizontal="center" vertical="center" wrapText="1"/>
    </xf>
    <xf numFmtId="0" fontId="44" fillId="10" borderId="13" xfId="0" applyFont="1" applyFill="1" applyBorder="1" applyAlignment="1">
      <alignment horizontal="center" vertical="center" wrapText="1"/>
    </xf>
    <xf numFmtId="9" fontId="41" fillId="0" borderId="87" xfId="0" applyNumberFormat="1" applyFont="1" applyBorder="1" applyAlignment="1" applyProtection="1">
      <alignment horizontal="center" vertical="center"/>
      <protection hidden="1"/>
    </xf>
    <xf numFmtId="9" fontId="41" fillId="0" borderId="88" xfId="0" applyNumberFormat="1" applyFont="1" applyBorder="1" applyAlignment="1" applyProtection="1">
      <alignment horizontal="center" vertical="center"/>
      <protection hidden="1"/>
    </xf>
    <xf numFmtId="9" fontId="28" fillId="7" borderId="84" xfId="1" applyFont="1" applyFill="1" applyBorder="1" applyAlignment="1" applyProtection="1">
      <alignment horizontal="center" vertical="center"/>
      <protection hidden="1"/>
    </xf>
    <xf numFmtId="9" fontId="28" fillId="7" borderId="85" xfId="1" applyFont="1" applyFill="1" applyBorder="1" applyAlignment="1" applyProtection="1">
      <alignment horizontal="center" vertical="center"/>
      <protection hidden="1"/>
    </xf>
    <xf numFmtId="9" fontId="28" fillId="7" borderId="86" xfId="1" applyFont="1" applyFill="1" applyBorder="1" applyAlignment="1" applyProtection="1">
      <alignment horizontal="center" vertical="center"/>
      <protection hidden="1"/>
    </xf>
    <xf numFmtId="0" fontId="27" fillId="9" borderId="14" xfId="0" applyFont="1" applyFill="1" applyBorder="1" applyAlignment="1">
      <alignment horizontal="center" vertical="center" textRotation="90"/>
    </xf>
    <xf numFmtId="0" fontId="27" fillId="9" borderId="15" xfId="0" applyFont="1" applyFill="1" applyBorder="1" applyAlignment="1">
      <alignment horizontal="center" vertical="center" textRotation="90"/>
    </xf>
    <xf numFmtId="0" fontId="27" fillId="9" borderId="16" xfId="0" applyFont="1" applyFill="1" applyBorder="1" applyAlignment="1">
      <alignment horizontal="center" vertical="center" textRotation="90"/>
    </xf>
    <xf numFmtId="9" fontId="41" fillId="4" borderId="87" xfId="0" applyNumberFormat="1" applyFont="1" applyFill="1" applyBorder="1" applyAlignment="1" applyProtection="1">
      <alignment horizontal="center" vertical="center"/>
      <protection hidden="1"/>
    </xf>
    <xf numFmtId="9" fontId="41" fillId="4" borderId="88" xfId="0" applyNumberFormat="1" applyFont="1" applyFill="1" applyBorder="1" applyAlignment="1" applyProtection="1">
      <alignment horizontal="center" vertical="center"/>
      <protection hidden="1"/>
    </xf>
    <xf numFmtId="9" fontId="41" fillId="4" borderId="89" xfId="0" applyNumberFormat="1" applyFont="1" applyFill="1" applyBorder="1" applyAlignment="1" applyProtection="1">
      <alignment horizontal="center" vertical="center"/>
      <protection hidden="1"/>
    </xf>
    <xf numFmtId="0" fontId="27" fillId="11" borderId="15" xfId="0" applyFont="1" applyFill="1" applyBorder="1" applyAlignment="1">
      <alignment horizontal="center" vertical="center" textRotation="90"/>
    </xf>
    <xf numFmtId="0" fontId="27" fillId="2" borderId="14" xfId="0" applyFont="1" applyFill="1" applyBorder="1" applyAlignment="1">
      <alignment horizontal="center" vertical="center" textRotation="90"/>
    </xf>
    <xf numFmtId="0" fontId="27" fillId="2" borderId="15" xfId="0" applyFont="1" applyFill="1" applyBorder="1" applyAlignment="1">
      <alignment horizontal="center" vertical="center" textRotation="90"/>
    </xf>
    <xf numFmtId="0" fontId="27" fillId="2" borderId="16" xfId="0" applyFont="1" applyFill="1" applyBorder="1" applyAlignment="1">
      <alignment horizontal="center" vertical="center" textRotation="90"/>
    </xf>
    <xf numFmtId="9" fontId="41" fillId="0" borderId="89" xfId="0" applyNumberFormat="1" applyFont="1" applyBorder="1" applyAlignment="1" applyProtection="1">
      <alignment horizontal="center" vertical="center"/>
      <protection hidden="1"/>
    </xf>
    <xf numFmtId="0" fontId="27" fillId="10" borderId="14" xfId="0" applyFont="1" applyFill="1" applyBorder="1" applyAlignment="1">
      <alignment horizontal="center" vertical="center" textRotation="90"/>
    </xf>
    <xf numFmtId="0" fontId="27" fillId="10" borderId="15" xfId="0" applyFont="1" applyFill="1" applyBorder="1" applyAlignment="1">
      <alignment horizontal="center" vertical="center" textRotation="90"/>
    </xf>
    <xf numFmtId="0" fontId="19" fillId="3" borderId="32" xfId="2" applyFont="1" applyFill="1" applyBorder="1" applyAlignment="1" applyProtection="1">
      <alignment horizontal="center" vertical="center" wrapText="1"/>
    </xf>
    <xf numFmtId="0" fontId="19" fillId="3" borderId="33" xfId="2" applyFont="1" applyFill="1" applyBorder="1" applyAlignment="1" applyProtection="1">
      <alignment horizontal="center" vertical="center" wrapText="1"/>
    </xf>
    <xf numFmtId="0" fontId="23" fillId="6" borderId="14" xfId="0" applyFont="1" applyFill="1" applyBorder="1" applyAlignment="1">
      <alignment horizontal="center" vertical="center" textRotation="90" wrapText="1"/>
    </xf>
    <xf numFmtId="0" fontId="23" fillId="6" borderId="15" xfId="0" applyFont="1" applyFill="1" applyBorder="1" applyAlignment="1">
      <alignment horizontal="center" vertical="center" textRotation="90" wrapText="1"/>
    </xf>
    <xf numFmtId="0" fontId="23" fillId="6" borderId="16" xfId="0" applyFont="1" applyFill="1" applyBorder="1" applyAlignment="1">
      <alignment horizontal="center" vertical="center" textRotation="90" wrapText="1"/>
    </xf>
    <xf numFmtId="0" fontId="19" fillId="2" borderId="37" xfId="2" applyFont="1" applyFill="1" applyBorder="1" applyAlignment="1" applyProtection="1">
      <alignment horizontal="center" vertical="center" wrapText="1"/>
    </xf>
    <xf numFmtId="0" fontId="19" fillId="2" borderId="83" xfId="2" applyFont="1" applyFill="1" applyBorder="1" applyAlignment="1" applyProtection="1">
      <alignment horizontal="center" vertical="center" wrapText="1"/>
    </xf>
    <xf numFmtId="0" fontId="19" fillId="2" borderId="38" xfId="2" applyFont="1" applyFill="1" applyBorder="1" applyAlignment="1" applyProtection="1">
      <alignment horizontal="center" vertical="center" wrapText="1"/>
    </xf>
    <xf numFmtId="0" fontId="19" fillId="2" borderId="39" xfId="2" applyFont="1" applyFill="1" applyBorder="1" applyAlignment="1" applyProtection="1">
      <alignment horizontal="center" vertical="center" wrapText="1"/>
    </xf>
    <xf numFmtId="0" fontId="19" fillId="2" borderId="40" xfId="2" applyFont="1" applyFill="1" applyBorder="1" applyAlignment="1" applyProtection="1">
      <alignment horizontal="center" vertical="center" wrapText="1"/>
    </xf>
    <xf numFmtId="0" fontId="19" fillId="2" borderId="42" xfId="2" applyFont="1" applyFill="1" applyBorder="1" applyAlignment="1" applyProtection="1">
      <alignment horizontal="center" vertical="center" wrapText="1"/>
    </xf>
    <xf numFmtId="0" fontId="19" fillId="2" borderId="41" xfId="2" applyFont="1" applyFill="1" applyBorder="1" applyAlignment="1" applyProtection="1">
      <alignment horizontal="center" vertical="center" wrapText="1"/>
    </xf>
    <xf numFmtId="0" fontId="19" fillId="2" borderId="43" xfId="2" applyFont="1" applyFill="1" applyBorder="1" applyAlignment="1" applyProtection="1">
      <alignment horizontal="center" vertical="center" wrapText="1"/>
    </xf>
    <xf numFmtId="0" fontId="6" fillId="2" borderId="24"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25" xfId="0" applyFont="1" applyFill="1" applyBorder="1" applyAlignment="1">
      <alignment horizontal="center" vertical="center"/>
    </xf>
    <xf numFmtId="49" fontId="49" fillId="4" borderId="91" xfId="0" applyNumberFormat="1" applyFont="1" applyFill="1" applyBorder="1" applyAlignment="1">
      <alignment horizontal="left" vertical="center" wrapText="1"/>
    </xf>
    <xf numFmtId="49" fontId="49" fillId="4" borderId="3" xfId="0" applyNumberFormat="1" applyFont="1" applyFill="1" applyBorder="1" applyAlignment="1">
      <alignment horizontal="left" vertical="center" wrapText="1"/>
    </xf>
    <xf numFmtId="49" fontId="49" fillId="4" borderId="92" xfId="0" applyNumberFormat="1" applyFont="1" applyFill="1" applyBorder="1" applyAlignment="1">
      <alignment horizontal="left" vertical="center" wrapText="1"/>
    </xf>
    <xf numFmtId="49" fontId="49" fillId="4" borderId="4" xfId="0" applyNumberFormat="1" applyFont="1" applyFill="1" applyBorder="1" applyAlignment="1">
      <alignment horizontal="left" vertical="center" wrapText="1"/>
    </xf>
    <xf numFmtId="0" fontId="51" fillId="2" borderId="7" xfId="0" applyFont="1" applyFill="1" applyBorder="1" applyAlignment="1">
      <alignment horizontal="center" vertical="center" wrapText="1"/>
    </xf>
    <xf numFmtId="0" fontId="51" fillId="2" borderId="6" xfId="0" applyFont="1" applyFill="1" applyBorder="1" applyAlignment="1">
      <alignment horizontal="center" vertical="center" wrapText="1"/>
    </xf>
    <xf numFmtId="0" fontId="52" fillId="2" borderId="24" xfId="0" applyFont="1" applyFill="1" applyBorder="1" applyAlignment="1">
      <alignment horizontal="center" vertical="center" wrapText="1"/>
    </xf>
    <xf numFmtId="0" fontId="52" fillId="2" borderId="1" xfId="0" applyFont="1" applyFill="1" applyBorder="1" applyAlignment="1">
      <alignment horizontal="center" vertical="center" wrapText="1"/>
    </xf>
    <xf numFmtId="0" fontId="52" fillId="2" borderId="25" xfId="0" applyFont="1" applyFill="1" applyBorder="1" applyAlignment="1">
      <alignment horizontal="center" vertical="center" wrapText="1"/>
    </xf>
    <xf numFmtId="0" fontId="9" fillId="2" borderId="27" xfId="0" applyFont="1" applyFill="1" applyBorder="1" applyAlignment="1">
      <alignment horizontal="center" vertical="center"/>
    </xf>
    <xf numFmtId="0" fontId="9" fillId="2" borderId="28" xfId="0" applyFont="1" applyFill="1" applyBorder="1" applyAlignment="1">
      <alignment horizontal="center" vertical="center"/>
    </xf>
    <xf numFmtId="0" fontId="9" fillId="2" borderId="29" xfId="0" applyFont="1" applyFill="1" applyBorder="1" applyAlignment="1">
      <alignment horizontal="center" vertical="center"/>
    </xf>
    <xf numFmtId="49" fontId="49" fillId="4" borderId="90" xfId="0" applyNumberFormat="1" applyFont="1" applyFill="1" applyBorder="1" applyAlignment="1">
      <alignment horizontal="left" vertical="center" wrapText="1"/>
    </xf>
    <xf numFmtId="49" fontId="49" fillId="4" borderId="2" xfId="0" applyNumberFormat="1" applyFont="1" applyFill="1" applyBorder="1" applyAlignment="1">
      <alignment horizontal="left" vertical="center" wrapText="1"/>
    </xf>
    <xf numFmtId="49" fontId="0" fillId="4" borderId="2" xfId="0" applyNumberFormat="1" applyFill="1" applyBorder="1" applyAlignment="1" applyProtection="1">
      <alignment horizontal="center" vertical="top" wrapText="1"/>
      <protection locked="0"/>
    </xf>
    <xf numFmtId="49" fontId="0" fillId="4" borderId="84" xfId="0" applyNumberFormat="1" applyFill="1" applyBorder="1" applyAlignment="1" applyProtection="1">
      <alignment horizontal="center" vertical="top" wrapText="1"/>
      <protection locked="0"/>
    </xf>
    <xf numFmtId="49" fontId="0" fillId="4" borderId="3" xfId="0" applyNumberFormat="1" applyFill="1" applyBorder="1" applyAlignment="1" applyProtection="1">
      <alignment horizontal="center" vertical="top" wrapText="1"/>
      <protection locked="0"/>
    </xf>
    <xf numFmtId="49" fontId="0" fillId="4" borderId="85" xfId="0" applyNumberFormat="1" applyFill="1" applyBorder="1" applyAlignment="1" applyProtection="1">
      <alignment horizontal="center" vertical="top" wrapText="1"/>
      <protection locked="0"/>
    </xf>
    <xf numFmtId="49" fontId="0" fillId="4" borderId="4" xfId="0" applyNumberFormat="1" applyFill="1" applyBorder="1" applyAlignment="1" applyProtection="1">
      <alignment horizontal="center" vertical="top" wrapText="1"/>
      <protection locked="0"/>
    </xf>
    <xf numFmtId="49" fontId="0" fillId="4" borderId="86" xfId="0" applyNumberFormat="1" applyFill="1" applyBorder="1" applyAlignment="1" applyProtection="1">
      <alignment horizontal="center" vertical="top" wrapText="1"/>
      <protection locked="0"/>
    </xf>
    <xf numFmtId="0" fontId="0" fillId="0" borderId="24" xfId="0" applyBorder="1" applyAlignment="1" applyProtection="1">
      <alignment horizontal="center" wrapText="1"/>
      <protection locked="0"/>
    </xf>
    <xf numFmtId="0" fontId="0" fillId="0" borderId="1" xfId="0" applyBorder="1" applyAlignment="1" applyProtection="1">
      <alignment horizontal="center"/>
      <protection locked="0"/>
    </xf>
    <xf numFmtId="0" fontId="0" fillId="0" borderId="25" xfId="0" applyBorder="1" applyAlignment="1" applyProtection="1">
      <alignment horizontal="center"/>
      <protection locked="0"/>
    </xf>
    <xf numFmtId="0" fontId="0" fillId="0" borderId="24" xfId="0" applyBorder="1" applyAlignment="1" applyProtection="1">
      <alignment horizontal="left" wrapText="1"/>
      <protection locked="0"/>
    </xf>
    <xf numFmtId="0" fontId="0" fillId="0" borderId="1" xfId="0" applyBorder="1" applyAlignment="1" applyProtection="1">
      <alignment horizontal="left"/>
      <protection locked="0"/>
    </xf>
    <xf numFmtId="0" fontId="0" fillId="0" borderId="25" xfId="0" applyBorder="1" applyAlignment="1" applyProtection="1">
      <alignment horizontal="left"/>
      <protection locked="0"/>
    </xf>
    <xf numFmtId="0" fontId="0" fillId="0" borderId="1" xfId="0" applyBorder="1" applyAlignment="1" applyProtection="1">
      <alignment horizontal="center" wrapText="1"/>
      <protection locked="0"/>
    </xf>
    <xf numFmtId="0" fontId="0" fillId="0" borderId="25" xfId="0" applyBorder="1" applyAlignment="1" applyProtection="1">
      <alignment horizontal="center" wrapText="1"/>
      <protection locked="0"/>
    </xf>
    <xf numFmtId="0" fontId="52" fillId="12" borderId="0" xfId="0" applyFont="1" applyFill="1" applyBorder="1" applyAlignment="1">
      <alignment horizontal="center" vertical="center" wrapText="1"/>
    </xf>
    <xf numFmtId="0" fontId="56" fillId="0" borderId="24" xfId="0" applyFont="1" applyFill="1" applyBorder="1" applyAlignment="1" applyProtection="1">
      <alignment horizontal="center" vertical="center" wrapText="1"/>
      <protection locked="0"/>
    </xf>
    <xf numFmtId="0" fontId="56" fillId="0" borderId="1" xfId="0" applyFont="1" applyFill="1" applyBorder="1" applyAlignment="1" applyProtection="1">
      <alignment horizontal="center" vertical="center" wrapText="1"/>
      <protection locked="0"/>
    </xf>
    <xf numFmtId="0" fontId="56" fillId="0" borderId="25" xfId="0" applyFont="1" applyFill="1" applyBorder="1" applyAlignment="1" applyProtection="1">
      <alignment horizontal="center" vertical="center" wrapText="1"/>
      <protection locked="0"/>
    </xf>
    <xf numFmtId="0" fontId="0" fillId="0" borderId="73" xfId="0" applyBorder="1" applyAlignment="1">
      <alignment horizontal="center"/>
    </xf>
    <xf numFmtId="0" fontId="0" fillId="0" borderId="1" xfId="0" applyBorder="1" applyAlignment="1">
      <alignment horizontal="center"/>
    </xf>
    <xf numFmtId="0" fontId="57" fillId="4" borderId="3" xfId="0" applyFont="1" applyFill="1" applyBorder="1" applyAlignment="1" applyProtection="1">
      <alignment horizontal="center" vertical="center"/>
      <protection locked="0"/>
    </xf>
    <xf numFmtId="164" fontId="57" fillId="4" borderId="22" xfId="0" applyNumberFormat="1" applyFont="1" applyFill="1" applyBorder="1" applyAlignment="1" applyProtection="1">
      <alignment horizontal="center" vertical="center"/>
      <protection locked="0"/>
    </xf>
    <xf numFmtId="164" fontId="57" fillId="4" borderId="23" xfId="0" applyNumberFormat="1" applyFont="1" applyFill="1" applyBorder="1" applyAlignment="1" applyProtection="1">
      <alignment horizontal="center" vertical="center"/>
      <protection locked="0"/>
    </xf>
    <xf numFmtId="164" fontId="57" fillId="4" borderId="9" xfId="0" applyNumberFormat="1" applyFont="1" applyFill="1" applyBorder="1" applyAlignment="1" applyProtection="1">
      <alignment horizontal="center" vertical="center"/>
      <protection locked="0"/>
    </xf>
    <xf numFmtId="0" fontId="0" fillId="0" borderId="0" xfId="0" applyFill="1" applyProtection="1">
      <protection locked="0"/>
    </xf>
  </cellXfs>
  <cellStyles count="5">
    <cellStyle name="Normal" xfId="0" builtinId="0"/>
    <cellStyle name="Normal - Style1 2" xfId="3" xr:uid="{00000000-0005-0000-0000-000001000000}"/>
    <cellStyle name="Normal 2" xfId="2" xr:uid="{00000000-0005-0000-0000-000002000000}"/>
    <cellStyle name="Normal 2 2" xfId="4" xr:uid="{00000000-0005-0000-0000-000003000000}"/>
    <cellStyle name="Porcentaje" xfId="1" builtinId="5"/>
  </cellStyles>
  <dxfs count="20">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1050132</xdr:colOff>
      <xdr:row>0</xdr:row>
      <xdr:rowOff>66818</xdr:rowOff>
    </xdr:from>
    <xdr:to>
      <xdr:col>7</xdr:col>
      <xdr:colOff>726282</xdr:colOff>
      <xdr:row>11</xdr:row>
      <xdr:rowOff>47624</xdr:rowOff>
    </xdr:to>
    <xdr:pic>
      <xdr:nvPicPr>
        <xdr:cNvPr id="2" name="Imagen 1">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a:stretch>
          <a:fillRect/>
        </a:stretch>
      </xdr:blipFill>
      <xdr:spPr>
        <a:xfrm>
          <a:off x="7169945" y="66818"/>
          <a:ext cx="3676650" cy="23382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281667</xdr:colOff>
      <xdr:row>7</xdr:row>
      <xdr:rowOff>102768</xdr:rowOff>
    </xdr:from>
    <xdr:to>
      <xdr:col>6</xdr:col>
      <xdr:colOff>595313</xdr:colOff>
      <xdr:row>14</xdr:row>
      <xdr:rowOff>55289</xdr:rowOff>
    </xdr:to>
    <xdr:pic>
      <xdr:nvPicPr>
        <xdr:cNvPr id="4" name="Imagen 3">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a:stretch>
          <a:fillRect/>
        </a:stretch>
      </xdr:blipFill>
      <xdr:spPr>
        <a:xfrm>
          <a:off x="4567917" y="2037534"/>
          <a:ext cx="3959935" cy="234865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ell/Desktop/cesar/HISTORICOS/2020-04-22_Formato_informe_sci_parametrizado_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Definiciones"/>
      <sheetName val="Ambiente de Control"/>
      <sheetName val="Evaluación de riesgos"/>
      <sheetName val="Actividades de control"/>
      <sheetName val="Info y Comunicación"/>
      <sheetName val="Actividades de Monitoreo"/>
      <sheetName val="Analisis de Resultados"/>
      <sheetName val="Conclusiones"/>
      <sheetName val="Hoja1"/>
      <sheetName val="Hoja4"/>
      <sheetName val="Hoja2"/>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4"/>
  <sheetViews>
    <sheetView topLeftCell="A3" zoomScale="90" zoomScaleNormal="90" workbookViewId="0">
      <selection activeCell="B6" sqref="B6:H7"/>
    </sheetView>
  </sheetViews>
  <sheetFormatPr baseColWidth="10" defaultColWidth="0" defaultRowHeight="12.75" zeroHeight="1" x14ac:dyDescent="0.2"/>
  <cols>
    <col min="1" max="1" width="3.85546875" style="45" customWidth="1"/>
    <col min="2" max="2" width="15.28515625" style="45" customWidth="1"/>
    <col min="3" max="3" width="17.28515625" style="45" customWidth="1"/>
    <col min="4" max="4" width="28.5703125" style="45" customWidth="1"/>
    <col min="5" max="5" width="12.85546875" style="45" customWidth="1"/>
    <col min="6" max="6" width="47.140625" style="45" customWidth="1"/>
    <col min="7" max="7" width="21.42578125" style="45" customWidth="1"/>
    <col min="8" max="8" width="6.5703125" style="45" customWidth="1"/>
    <col min="9" max="9" width="2.5703125" style="45" customWidth="1"/>
    <col min="10" max="16384" width="11.42578125" style="45" hidden="1"/>
  </cols>
  <sheetData>
    <row r="1" spans="2:8" ht="13.5" thickBot="1" x14ac:dyDescent="0.25"/>
    <row r="2" spans="2:8" ht="73.5" customHeight="1" x14ac:dyDescent="0.2">
      <c r="B2" s="164" t="s">
        <v>0</v>
      </c>
      <c r="C2" s="165"/>
      <c r="D2" s="165"/>
      <c r="E2" s="165"/>
      <c r="F2" s="165"/>
      <c r="G2" s="165"/>
      <c r="H2" s="166"/>
    </row>
    <row r="3" spans="2:8" ht="65.25" customHeight="1" x14ac:dyDescent="0.2">
      <c r="B3" s="167" t="s">
        <v>1</v>
      </c>
      <c r="C3" s="168"/>
      <c r="D3" s="168"/>
      <c r="E3" s="168"/>
      <c r="F3" s="168"/>
      <c r="G3" s="168"/>
      <c r="H3" s="169"/>
    </row>
    <row r="4" spans="2:8" ht="82.5" customHeight="1" x14ac:dyDescent="0.2">
      <c r="B4" s="167"/>
      <c r="C4" s="168"/>
      <c r="D4" s="168"/>
      <c r="E4" s="168"/>
      <c r="F4" s="168"/>
      <c r="G4" s="168"/>
      <c r="H4" s="169"/>
    </row>
    <row r="5" spans="2:8" ht="21.75" customHeight="1" x14ac:dyDescent="0.2">
      <c r="B5" s="170" t="s">
        <v>2</v>
      </c>
      <c r="C5" s="171"/>
      <c r="D5" s="171"/>
      <c r="E5" s="171"/>
      <c r="F5" s="171"/>
      <c r="G5" s="171"/>
      <c r="H5" s="172"/>
    </row>
    <row r="6" spans="2:8" ht="42" customHeight="1" x14ac:dyDescent="0.2">
      <c r="B6" s="173" t="s">
        <v>3</v>
      </c>
      <c r="C6" s="174"/>
      <c r="D6" s="174"/>
      <c r="E6" s="174"/>
      <c r="F6" s="174"/>
      <c r="G6" s="174"/>
      <c r="H6" s="175"/>
    </row>
    <row r="7" spans="2:8" ht="14.25" customHeight="1" x14ac:dyDescent="0.2">
      <c r="B7" s="173"/>
      <c r="C7" s="174"/>
      <c r="D7" s="174"/>
      <c r="E7" s="174"/>
      <c r="F7" s="174"/>
      <c r="G7" s="174"/>
      <c r="H7" s="175"/>
    </row>
    <row r="8" spans="2:8" ht="12.75" customHeight="1" thickBot="1" x14ac:dyDescent="0.25">
      <c r="B8" s="57"/>
      <c r="C8" s="51"/>
      <c r="D8" s="67"/>
      <c r="E8" s="68"/>
      <c r="F8" s="68"/>
      <c r="G8" s="65"/>
      <c r="H8" s="66"/>
    </row>
    <row r="9" spans="2:8" ht="21" customHeight="1" thickTop="1" x14ac:dyDescent="0.2">
      <c r="B9" s="57"/>
      <c r="C9" s="176" t="s">
        <v>4</v>
      </c>
      <c r="D9" s="177"/>
      <c r="E9" s="178" t="s">
        <v>5</v>
      </c>
      <c r="F9" s="179"/>
      <c r="G9" s="51"/>
      <c r="H9" s="59"/>
    </row>
    <row r="10" spans="2:8" ht="37.5" customHeight="1" x14ac:dyDescent="0.2">
      <c r="B10" s="57"/>
      <c r="C10" s="180" t="s">
        <v>6</v>
      </c>
      <c r="D10" s="181"/>
      <c r="E10" s="182" t="s">
        <v>7</v>
      </c>
      <c r="F10" s="183"/>
      <c r="G10" s="51"/>
      <c r="H10" s="59"/>
    </row>
    <row r="11" spans="2:8" ht="39.75" customHeight="1" x14ac:dyDescent="0.2">
      <c r="B11" s="57"/>
      <c r="C11" s="184" t="s">
        <v>8</v>
      </c>
      <c r="D11" s="185"/>
      <c r="E11" s="186" t="s">
        <v>9</v>
      </c>
      <c r="F11" s="187"/>
      <c r="G11" s="51"/>
      <c r="H11" s="59"/>
    </row>
    <row r="12" spans="2:8" ht="59.25" customHeight="1" x14ac:dyDescent="0.2">
      <c r="B12" s="57"/>
      <c r="C12" s="184" t="s">
        <v>10</v>
      </c>
      <c r="D12" s="185"/>
      <c r="E12" s="188" t="s">
        <v>11</v>
      </c>
      <c r="F12" s="189"/>
      <c r="G12" s="51"/>
      <c r="H12" s="59"/>
    </row>
    <row r="13" spans="2:8" ht="33.75" customHeight="1" x14ac:dyDescent="0.2">
      <c r="B13" s="57"/>
      <c r="C13" s="194" t="s">
        <v>12</v>
      </c>
      <c r="D13" s="195"/>
      <c r="E13" s="186" t="s">
        <v>13</v>
      </c>
      <c r="F13" s="187"/>
      <c r="G13" s="51"/>
      <c r="H13" s="59"/>
    </row>
    <row r="14" spans="2:8" ht="19.5" customHeight="1" x14ac:dyDescent="0.2">
      <c r="B14" s="57"/>
      <c r="C14" s="63"/>
      <c r="D14" s="63"/>
      <c r="E14" s="64"/>
      <c r="F14" s="64"/>
      <c r="G14" s="51"/>
      <c r="H14" s="59"/>
    </row>
    <row r="15" spans="2:8" ht="37.5" customHeight="1" thickBot="1" x14ac:dyDescent="0.25">
      <c r="B15" s="190" t="s">
        <v>14</v>
      </c>
      <c r="C15" s="191"/>
      <c r="D15" s="191"/>
      <c r="E15" s="191"/>
      <c r="F15" s="191"/>
      <c r="G15" s="191"/>
      <c r="H15" s="192"/>
    </row>
    <row r="16" spans="2:8" ht="27.75" customHeight="1" thickBot="1" x14ac:dyDescent="0.25">
      <c r="B16" s="57"/>
      <c r="C16" s="196" t="s">
        <v>15</v>
      </c>
      <c r="D16" s="197"/>
      <c r="E16" s="197" t="s">
        <v>16</v>
      </c>
      <c r="F16" s="208"/>
      <c r="G16" s="51"/>
      <c r="H16" s="59"/>
    </row>
    <row r="17" spans="2:8" ht="27.75" customHeight="1" x14ac:dyDescent="0.2">
      <c r="B17" s="57"/>
      <c r="C17" s="209" t="s">
        <v>17</v>
      </c>
      <c r="D17" s="210"/>
      <c r="E17" s="211" t="s">
        <v>18</v>
      </c>
      <c r="F17" s="212"/>
      <c r="G17" s="101"/>
      <c r="H17" s="59"/>
    </row>
    <row r="18" spans="2:8" ht="41.25" customHeight="1" x14ac:dyDescent="0.2">
      <c r="B18" s="57"/>
      <c r="C18" s="198" t="s">
        <v>19</v>
      </c>
      <c r="D18" s="199"/>
      <c r="E18" s="200" t="s">
        <v>20</v>
      </c>
      <c r="F18" s="201"/>
      <c r="G18" s="102"/>
      <c r="H18" s="59"/>
    </row>
    <row r="19" spans="2:8" ht="37.5" customHeight="1" thickBot="1" x14ac:dyDescent="0.25">
      <c r="B19" s="57"/>
      <c r="C19" s="202" t="s">
        <v>21</v>
      </c>
      <c r="D19" s="203"/>
      <c r="E19" s="204" t="s">
        <v>22</v>
      </c>
      <c r="F19" s="205"/>
      <c r="G19" s="102"/>
      <c r="H19" s="59"/>
    </row>
    <row r="20" spans="2:8" ht="11.25" customHeight="1" x14ac:dyDescent="0.2">
      <c r="B20" s="52"/>
      <c r="C20" s="53"/>
      <c r="D20" s="53"/>
      <c r="E20" s="53"/>
      <c r="F20" s="53"/>
      <c r="G20" s="53"/>
      <c r="H20" s="54"/>
    </row>
    <row r="21" spans="2:8" ht="14.25" customHeight="1" x14ac:dyDescent="0.2">
      <c r="B21" s="55"/>
      <c r="C21" s="206"/>
      <c r="D21" s="206"/>
      <c r="E21" s="207"/>
      <c r="F21" s="207"/>
      <c r="G21" s="207"/>
      <c r="H21" s="56"/>
    </row>
    <row r="22" spans="2:8" ht="36" customHeight="1" x14ac:dyDescent="0.2">
      <c r="B22" s="190" t="s">
        <v>23</v>
      </c>
      <c r="C22" s="191"/>
      <c r="D22" s="191"/>
      <c r="E22" s="191"/>
      <c r="F22" s="191"/>
      <c r="G22" s="191"/>
      <c r="H22" s="192"/>
    </row>
    <row r="23" spans="2:8" ht="13.5" x14ac:dyDescent="0.2">
      <c r="B23" s="57"/>
      <c r="C23" s="58"/>
      <c r="D23" s="58"/>
      <c r="E23" s="193"/>
      <c r="F23" s="193"/>
      <c r="G23" s="51"/>
      <c r="H23" s="59"/>
    </row>
    <row r="24" spans="2:8" ht="13.5" thickBot="1" x14ac:dyDescent="0.25">
      <c r="B24" s="60"/>
      <c r="C24" s="61"/>
      <c r="D24" s="61"/>
      <c r="E24" s="61"/>
      <c r="F24" s="61"/>
      <c r="G24" s="61"/>
      <c r="H24" s="62"/>
    </row>
    <row r="25" spans="2:8" x14ac:dyDescent="0.2"/>
    <row r="26" spans="2:8" ht="29.25" customHeight="1" x14ac:dyDescent="0.2"/>
    <row r="27" spans="2:8" ht="26.25" customHeight="1" x14ac:dyDescent="0.2"/>
    <row r="28" spans="2:8" ht="43.5" customHeight="1" x14ac:dyDescent="0.2"/>
    <row r="29" spans="2:8" ht="53.25" customHeight="1" x14ac:dyDescent="0.2"/>
    <row r="30" spans="2:8" x14ac:dyDescent="0.2"/>
    <row r="31" spans="2:8" x14ac:dyDescent="0.2"/>
    <row r="32" spans="2:8" x14ac:dyDescent="0.2"/>
    <row r="33" x14ac:dyDescent="0.2"/>
    <row r="34" x14ac:dyDescent="0.2"/>
    <row r="35"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x14ac:dyDescent="0.2"/>
    <row r="52" x14ac:dyDescent="0.2"/>
    <row r="54" x14ac:dyDescent="0.2"/>
  </sheetData>
  <sheetProtection algorithmName="SHA-512" hashValue="t7sIeOvFa2bhukBsHVcHmO5gG9cifT20ZR8W/o5PL1FLs7w8K+KkEm6wLVbMVfYFM8W9luBRuNKu+qdhAWPM7w==" saltValue="H/shNuEdnFDauevCofk8Sw==" spinCount="100000" sheet="1" objects="1" scenarios="1"/>
  <mergeCells count="27">
    <mergeCell ref="B22:H22"/>
    <mergeCell ref="E23:F23"/>
    <mergeCell ref="C13:D13"/>
    <mergeCell ref="E13:F13"/>
    <mergeCell ref="C16:D16"/>
    <mergeCell ref="C18:D18"/>
    <mergeCell ref="E18:F18"/>
    <mergeCell ref="C19:D19"/>
    <mergeCell ref="E19:F19"/>
    <mergeCell ref="C21:D21"/>
    <mergeCell ref="E21:G21"/>
    <mergeCell ref="B15:H15"/>
    <mergeCell ref="E16:F16"/>
    <mergeCell ref="C17:D17"/>
    <mergeCell ref="E17:F17"/>
    <mergeCell ref="C10:D10"/>
    <mergeCell ref="E10:F10"/>
    <mergeCell ref="C11:D11"/>
    <mergeCell ref="E11:F11"/>
    <mergeCell ref="C12:D12"/>
    <mergeCell ref="E12:F12"/>
    <mergeCell ref="B2:H2"/>
    <mergeCell ref="B3:H4"/>
    <mergeCell ref="B5:H5"/>
    <mergeCell ref="B6:H7"/>
    <mergeCell ref="C9:D9"/>
    <mergeCell ref="E9:F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59"/>
  <sheetViews>
    <sheetView showGridLines="0" topLeftCell="B1" zoomScale="70" zoomScaleNormal="70" workbookViewId="0">
      <selection activeCell="I6" sqref="I6"/>
    </sheetView>
  </sheetViews>
  <sheetFormatPr baseColWidth="10" defaultColWidth="11.42578125" defaultRowHeight="16.5" x14ac:dyDescent="0.3"/>
  <cols>
    <col min="1" max="1" width="3" style="47" hidden="1" customWidth="1"/>
    <col min="2" max="2" width="9.42578125" style="47" customWidth="1"/>
    <col min="3" max="3" width="25.5703125" style="47" customWidth="1"/>
    <col min="4" max="4" width="46.5703125" style="47" customWidth="1"/>
    <col min="5" max="5" width="10.140625" style="70" customWidth="1"/>
    <col min="6" max="6" width="44.5703125" style="70" customWidth="1"/>
    <col min="7" max="7" width="15.42578125" style="47" customWidth="1"/>
    <col min="8" max="9" width="43" style="47" customWidth="1"/>
    <col min="10" max="12" width="11.42578125" style="75" customWidth="1"/>
    <col min="13" max="24" width="11.42578125" style="47" customWidth="1"/>
    <col min="25" max="16384" width="11.42578125" style="47"/>
  </cols>
  <sheetData>
    <row r="1" spans="1:32" x14ac:dyDescent="0.3">
      <c r="B1" s="46"/>
      <c r="C1" s="46"/>
      <c r="D1" s="46"/>
      <c r="E1" s="69"/>
      <c r="F1" s="69"/>
      <c r="G1" s="46"/>
      <c r="H1" s="46"/>
      <c r="I1" s="46"/>
      <c r="J1" s="71"/>
      <c r="K1" s="71"/>
      <c r="L1" s="72"/>
      <c r="M1" s="46"/>
      <c r="N1" s="46"/>
      <c r="O1" s="46"/>
      <c r="P1" s="46"/>
      <c r="Q1" s="46"/>
      <c r="R1" s="46"/>
      <c r="S1" s="46"/>
      <c r="T1" s="46"/>
      <c r="U1" s="46"/>
      <c r="V1" s="46"/>
      <c r="W1" s="46"/>
      <c r="X1" s="46"/>
    </row>
    <row r="2" spans="1:32" x14ac:dyDescent="0.3">
      <c r="B2" s="46"/>
      <c r="C2" s="46"/>
      <c r="D2" s="46"/>
      <c r="E2" s="69"/>
      <c r="F2" s="69"/>
      <c r="G2" s="46"/>
      <c r="H2" s="46"/>
      <c r="I2" s="46"/>
      <c r="J2" s="71"/>
      <c r="K2" s="71"/>
      <c r="L2" s="72"/>
      <c r="M2" s="46"/>
      <c r="N2" s="46"/>
      <c r="O2" s="46"/>
      <c r="P2" s="46"/>
      <c r="Q2" s="46"/>
      <c r="R2" s="46"/>
      <c r="S2" s="46"/>
      <c r="T2" s="46"/>
      <c r="U2" s="46"/>
      <c r="V2" s="46"/>
      <c r="W2" s="46"/>
      <c r="X2" s="46"/>
    </row>
    <row r="3" spans="1:32" x14ac:dyDescent="0.3">
      <c r="B3" s="46"/>
      <c r="C3" s="46"/>
      <c r="D3" s="46"/>
      <c r="E3" s="69"/>
      <c r="F3" s="69"/>
      <c r="G3" s="46"/>
      <c r="H3" s="46"/>
      <c r="I3" s="46"/>
      <c r="J3" s="71"/>
      <c r="K3" s="71"/>
      <c r="L3" s="72"/>
      <c r="M3" s="46"/>
      <c r="N3" s="46"/>
      <c r="O3" s="46"/>
      <c r="P3" s="46"/>
      <c r="Q3" s="46"/>
      <c r="R3" s="46"/>
      <c r="S3" s="46"/>
      <c r="T3" s="46"/>
      <c r="U3" s="46"/>
      <c r="V3" s="46"/>
      <c r="W3" s="46"/>
      <c r="X3" s="46"/>
    </row>
    <row r="4" spans="1:32" x14ac:dyDescent="0.3">
      <c r="B4" s="46"/>
      <c r="C4" s="46"/>
      <c r="D4" s="46"/>
      <c r="E4" s="69"/>
      <c r="F4" s="69"/>
      <c r="G4" s="46"/>
      <c r="H4" s="46"/>
      <c r="I4" s="46"/>
      <c r="J4" s="71"/>
      <c r="K4" s="71"/>
      <c r="L4" s="72"/>
      <c r="M4" s="46"/>
      <c r="N4" s="46"/>
      <c r="O4" s="46"/>
      <c r="P4" s="46"/>
      <c r="Q4" s="46"/>
      <c r="R4" s="46"/>
      <c r="S4" s="46"/>
      <c r="T4" s="46"/>
      <c r="U4" s="46"/>
      <c r="V4" s="46"/>
      <c r="W4" s="46"/>
      <c r="X4" s="46"/>
    </row>
    <row r="5" spans="1:32" x14ac:dyDescent="0.3">
      <c r="B5" s="46"/>
      <c r="C5" s="46"/>
      <c r="D5" s="46"/>
      <c r="E5" s="69"/>
      <c r="F5" s="69"/>
      <c r="G5" s="46"/>
      <c r="H5" s="46"/>
      <c r="I5" s="46"/>
      <c r="J5" s="71"/>
      <c r="K5" s="71"/>
      <c r="L5" s="72"/>
      <c r="M5" s="46"/>
      <c r="N5" s="46"/>
      <c r="O5" s="46"/>
      <c r="P5" s="46"/>
      <c r="Q5" s="46"/>
      <c r="R5" s="46"/>
      <c r="S5" s="46"/>
      <c r="T5" s="46"/>
      <c r="U5" s="46"/>
      <c r="V5" s="46"/>
      <c r="W5" s="46"/>
      <c r="X5" s="46"/>
    </row>
    <row r="6" spans="1:32" x14ac:dyDescent="0.3">
      <c r="B6" s="46"/>
      <c r="C6" s="46"/>
      <c r="D6" s="46"/>
      <c r="E6" s="69"/>
      <c r="F6" s="69"/>
      <c r="G6" s="46"/>
      <c r="H6" s="46"/>
      <c r="I6" s="46"/>
      <c r="J6" s="71"/>
      <c r="K6" s="71"/>
      <c r="L6" s="72"/>
      <c r="M6" s="46"/>
      <c r="N6" s="46"/>
      <c r="O6" s="46"/>
      <c r="P6" s="46"/>
      <c r="Q6" s="46"/>
      <c r="R6" s="46"/>
      <c r="S6" s="46"/>
      <c r="T6" s="46"/>
      <c r="U6" s="46"/>
      <c r="V6" s="46"/>
      <c r="W6" s="46"/>
      <c r="X6" s="46"/>
    </row>
    <row r="7" spans="1:32" x14ac:dyDescent="0.3">
      <c r="B7" s="46"/>
      <c r="C7" s="46"/>
      <c r="D7" s="46"/>
      <c r="E7" s="69"/>
      <c r="F7" s="69"/>
      <c r="G7" s="46"/>
      <c r="H7" s="46"/>
      <c r="I7" s="46"/>
      <c r="J7" s="71"/>
      <c r="K7" s="71"/>
      <c r="L7" s="72"/>
      <c r="M7" s="46"/>
      <c r="N7" s="46"/>
      <c r="O7" s="46"/>
      <c r="P7" s="46"/>
      <c r="Q7" s="46"/>
      <c r="R7" s="46"/>
      <c r="S7" s="46"/>
      <c r="T7" s="46"/>
      <c r="U7" s="46"/>
      <c r="V7" s="46"/>
      <c r="W7" s="46"/>
      <c r="X7" s="46"/>
    </row>
    <row r="8" spans="1:32" x14ac:dyDescent="0.3">
      <c r="B8" s="46"/>
      <c r="C8" s="46"/>
      <c r="D8" s="46"/>
      <c r="E8" s="69"/>
      <c r="F8" s="69"/>
      <c r="G8" s="46"/>
      <c r="H8" s="46"/>
      <c r="I8" s="46"/>
      <c r="J8" s="71"/>
      <c r="K8" s="71"/>
      <c r="L8" s="72"/>
      <c r="M8" s="46"/>
      <c r="N8" s="46"/>
      <c r="O8" s="46"/>
      <c r="P8" s="46"/>
      <c r="Q8" s="46"/>
      <c r="R8" s="46"/>
      <c r="S8" s="46"/>
      <c r="T8" s="46"/>
      <c r="U8" s="46"/>
      <c r="V8" s="46"/>
      <c r="W8" s="46"/>
      <c r="X8" s="46"/>
    </row>
    <row r="9" spans="1:32" x14ac:dyDescent="0.3">
      <c r="B9" s="46"/>
      <c r="C9" s="46"/>
      <c r="D9" s="46"/>
      <c r="E9" s="69"/>
      <c r="F9" s="69"/>
      <c r="G9" s="46"/>
      <c r="H9" s="46"/>
      <c r="I9" s="46"/>
      <c r="J9" s="71"/>
      <c r="K9" s="71"/>
      <c r="L9" s="72"/>
      <c r="M9" s="46"/>
      <c r="N9" s="46"/>
      <c r="O9" s="46"/>
      <c r="P9" s="46"/>
      <c r="Q9" s="46"/>
      <c r="R9" s="46"/>
      <c r="S9" s="46"/>
      <c r="T9" s="46"/>
      <c r="U9" s="46"/>
      <c r="V9" s="46"/>
      <c r="W9" s="46"/>
      <c r="X9" s="46"/>
    </row>
    <row r="10" spans="1:32" x14ac:dyDescent="0.3">
      <c r="B10" s="46"/>
      <c r="C10" s="46"/>
      <c r="D10" s="46"/>
      <c r="E10" s="69"/>
      <c r="F10" s="69"/>
      <c r="G10" s="46"/>
      <c r="H10" s="46"/>
      <c r="I10" s="46"/>
      <c r="J10" s="71"/>
      <c r="K10" s="71"/>
      <c r="L10" s="72"/>
      <c r="M10" s="46"/>
      <c r="N10" s="46"/>
      <c r="O10" s="46"/>
      <c r="P10" s="46"/>
      <c r="Q10" s="46"/>
      <c r="R10" s="46"/>
      <c r="S10" s="46"/>
      <c r="T10" s="46"/>
      <c r="U10" s="46"/>
      <c r="V10" s="46"/>
      <c r="W10" s="46"/>
      <c r="X10" s="46"/>
    </row>
    <row r="11" spans="1:32" x14ac:dyDescent="0.3">
      <c r="B11" s="46"/>
      <c r="C11" s="46"/>
      <c r="D11" s="46"/>
      <c r="E11" s="69"/>
      <c r="F11" s="69"/>
      <c r="G11" s="46"/>
      <c r="H11" s="46"/>
      <c r="I11" s="46"/>
      <c r="J11" s="71"/>
      <c r="K11" s="71"/>
      <c r="L11" s="72"/>
      <c r="M11" s="46"/>
      <c r="N11" s="46"/>
      <c r="O11" s="46"/>
      <c r="P11" s="46"/>
      <c r="Q11" s="46"/>
      <c r="R11" s="46"/>
      <c r="S11" s="46"/>
      <c r="T11" s="46"/>
      <c r="U11" s="46"/>
      <c r="V11" s="46"/>
      <c r="W11" s="46"/>
      <c r="X11" s="46"/>
    </row>
    <row r="12" spans="1:32" x14ac:dyDescent="0.3">
      <c r="B12" s="46"/>
      <c r="C12" s="46"/>
      <c r="D12" s="46"/>
      <c r="E12" s="69"/>
      <c r="F12" s="69"/>
      <c r="G12" s="46"/>
      <c r="H12" s="46"/>
      <c r="I12" s="46"/>
      <c r="J12" s="71"/>
      <c r="K12" s="71"/>
      <c r="L12" s="72"/>
      <c r="M12" s="46"/>
      <c r="N12" s="46"/>
      <c r="O12" s="46"/>
      <c r="P12" s="46"/>
      <c r="Q12" s="46"/>
      <c r="R12" s="46"/>
      <c r="S12" s="46"/>
      <c r="T12" s="46"/>
      <c r="U12" s="46"/>
      <c r="V12" s="46"/>
      <c r="W12" s="46"/>
      <c r="X12" s="46"/>
    </row>
    <row r="13" spans="1:32" x14ac:dyDescent="0.3">
      <c r="B13" s="46"/>
      <c r="C13" s="46"/>
      <c r="D13" s="46"/>
      <c r="E13" s="69"/>
      <c r="F13" s="69"/>
      <c r="G13" s="46"/>
      <c r="H13" s="46"/>
      <c r="I13" s="46"/>
      <c r="J13" s="71"/>
      <c r="K13" s="71"/>
      <c r="L13" s="72"/>
      <c r="M13" s="46"/>
      <c r="N13" s="46"/>
      <c r="O13" s="46"/>
      <c r="P13" s="46"/>
      <c r="Q13" s="46"/>
      <c r="R13" s="46"/>
      <c r="S13" s="46"/>
      <c r="T13" s="46"/>
      <c r="U13" s="46"/>
      <c r="V13" s="46"/>
      <c r="W13" s="46"/>
      <c r="X13" s="46"/>
    </row>
    <row r="14" spans="1:32" s="49" customFormat="1" ht="49.5" customHeight="1" x14ac:dyDescent="0.25">
      <c r="B14" s="244" t="s">
        <v>24</v>
      </c>
      <c r="C14" s="244"/>
      <c r="D14" s="244"/>
      <c r="E14" s="244"/>
      <c r="F14" s="244"/>
      <c r="G14" s="244"/>
      <c r="H14" s="244"/>
      <c r="I14" s="244"/>
      <c r="J14" s="73"/>
      <c r="K14" s="73"/>
      <c r="L14" s="74"/>
      <c r="M14" s="48"/>
      <c r="N14" s="48"/>
      <c r="O14" s="48"/>
      <c r="P14" s="48"/>
      <c r="Q14" s="48"/>
      <c r="R14" s="48"/>
      <c r="S14" s="48"/>
      <c r="T14" s="48"/>
      <c r="U14" s="48"/>
      <c r="V14" s="48"/>
      <c r="W14" s="48"/>
      <c r="X14" s="48"/>
      <c r="Y14" s="48"/>
      <c r="Z14" s="48"/>
      <c r="AA14" s="48"/>
      <c r="AB14" s="48"/>
      <c r="AC14" s="48"/>
      <c r="AD14" s="48"/>
      <c r="AE14" s="48"/>
      <c r="AF14" s="48"/>
    </row>
    <row r="15" spans="1:32" s="49" customFormat="1" ht="123.75" customHeight="1" thickBot="1" x14ac:dyDescent="0.3">
      <c r="B15" s="77" t="s">
        <v>25</v>
      </c>
      <c r="C15" s="77" t="s">
        <v>6</v>
      </c>
      <c r="D15" s="78" t="s">
        <v>8</v>
      </c>
      <c r="E15" s="79" t="s">
        <v>26</v>
      </c>
      <c r="F15" s="79" t="s">
        <v>27</v>
      </c>
      <c r="G15" s="79" t="s">
        <v>28</v>
      </c>
      <c r="H15" s="80" t="s">
        <v>29</v>
      </c>
      <c r="I15" s="79" t="s">
        <v>30</v>
      </c>
      <c r="J15" s="73"/>
      <c r="K15" s="73"/>
      <c r="L15" s="74"/>
      <c r="M15" s="48"/>
      <c r="N15" s="48"/>
      <c r="O15" s="48"/>
      <c r="P15" s="48"/>
      <c r="Q15" s="48"/>
      <c r="R15" s="48"/>
      <c r="S15" s="48"/>
      <c r="T15" s="48"/>
      <c r="U15" s="48"/>
      <c r="V15" s="48"/>
      <c r="W15" s="48"/>
      <c r="X15" s="48"/>
      <c r="Y15" s="48"/>
      <c r="Z15" s="48"/>
      <c r="AA15" s="48"/>
      <c r="AB15" s="48"/>
      <c r="AC15" s="48"/>
      <c r="AD15" s="48"/>
      <c r="AE15" s="48"/>
      <c r="AF15" s="48"/>
    </row>
    <row r="16" spans="1:32" s="49" customFormat="1" ht="71.25" customHeight="1" x14ac:dyDescent="0.25">
      <c r="A16" s="103" t="str">
        <f>1&amp;E16</f>
        <v>1a</v>
      </c>
      <c r="B16" s="255" t="s">
        <v>31</v>
      </c>
      <c r="C16" s="219" t="s">
        <v>32</v>
      </c>
      <c r="D16" s="252" t="s">
        <v>33</v>
      </c>
      <c r="E16" s="81" t="s">
        <v>34</v>
      </c>
      <c r="F16" s="82" t="s">
        <v>35</v>
      </c>
      <c r="G16" s="112" t="s">
        <v>76</v>
      </c>
      <c r="H16" s="113" t="s">
        <v>191</v>
      </c>
      <c r="I16" s="104" t="str">
        <f>+IF(G16="Si","Mantenimiento del control",IF(G16="En proceso","Oportunidad de mejora","Deficiencia de control"))</f>
        <v>Oportunidad de mejora</v>
      </c>
      <c r="J16" s="105">
        <f t="shared" ref="J16:J27" si="0">+IF(G16="Si",20,IF(G16="En proceso",10,0))</f>
        <v>10</v>
      </c>
      <c r="K16" s="105">
        <v>0.123</v>
      </c>
      <c r="L16" s="105">
        <f>+J16+K16</f>
        <v>10.122999999999999</v>
      </c>
    </row>
    <row r="17" spans="1:32" s="49" customFormat="1" ht="63" x14ac:dyDescent="0.25">
      <c r="A17" s="103" t="str">
        <f t="shared" ref="A17:A27" si="1">1&amp;E17</f>
        <v>1b</v>
      </c>
      <c r="B17" s="256"/>
      <c r="C17" s="220"/>
      <c r="D17" s="253"/>
      <c r="E17" s="83" t="s">
        <v>37</v>
      </c>
      <c r="F17" s="84" t="s">
        <v>38</v>
      </c>
      <c r="G17" s="114" t="s">
        <v>36</v>
      </c>
      <c r="H17" s="115" t="s">
        <v>192</v>
      </c>
      <c r="I17" s="106" t="str">
        <f t="shared" ref="I17:I59" si="2">+IF(G17="Si","Mantenimiento del control",IF(G17="En proceso","Oportunidad de mejora","Deficiencia de control"))</f>
        <v>Deficiencia de control</v>
      </c>
      <c r="J17" s="107">
        <f t="shared" si="0"/>
        <v>0</v>
      </c>
      <c r="K17" s="105">
        <v>0.1234</v>
      </c>
      <c r="L17" s="105">
        <f t="shared" ref="L17:L59" si="3">+J17+K17</f>
        <v>0.1234</v>
      </c>
    </row>
    <row r="18" spans="1:32" s="49" customFormat="1" ht="64.5" customHeight="1" x14ac:dyDescent="0.25">
      <c r="A18" s="103" t="str">
        <f t="shared" si="1"/>
        <v>1c</v>
      </c>
      <c r="B18" s="256"/>
      <c r="C18" s="220"/>
      <c r="D18" s="253"/>
      <c r="E18" s="83" t="s">
        <v>40</v>
      </c>
      <c r="F18" s="85" t="s">
        <v>41</v>
      </c>
      <c r="G18" s="116" t="s">
        <v>76</v>
      </c>
      <c r="H18" s="117" t="s">
        <v>193</v>
      </c>
      <c r="I18" s="108" t="str">
        <f t="shared" si="2"/>
        <v>Oportunidad de mejora</v>
      </c>
      <c r="J18" s="107">
        <f t="shared" si="0"/>
        <v>10</v>
      </c>
      <c r="K18" s="105">
        <v>0.12345</v>
      </c>
      <c r="L18" s="105">
        <f t="shared" si="3"/>
        <v>10.12345</v>
      </c>
    </row>
    <row r="19" spans="1:32" s="49" customFormat="1" ht="132" x14ac:dyDescent="0.25">
      <c r="A19" s="103" t="str">
        <f t="shared" si="1"/>
        <v>1d</v>
      </c>
      <c r="B19" s="256"/>
      <c r="C19" s="220"/>
      <c r="D19" s="253"/>
      <c r="E19" s="83" t="s">
        <v>42</v>
      </c>
      <c r="F19" s="85" t="s">
        <v>43</v>
      </c>
      <c r="G19" s="116" t="s">
        <v>39</v>
      </c>
      <c r="H19" s="117" t="s">
        <v>194</v>
      </c>
      <c r="I19" s="108" t="str">
        <f t="shared" si="2"/>
        <v>Mantenimiento del control</v>
      </c>
      <c r="J19" s="107">
        <f t="shared" si="0"/>
        <v>20</v>
      </c>
      <c r="K19" s="105">
        <v>0.123456</v>
      </c>
      <c r="L19" s="105">
        <f t="shared" si="3"/>
        <v>20.123456000000001</v>
      </c>
    </row>
    <row r="20" spans="1:32" s="49" customFormat="1" ht="37.5" customHeight="1" x14ac:dyDescent="0.25">
      <c r="A20" s="103" t="str">
        <f t="shared" si="1"/>
        <v>1e</v>
      </c>
      <c r="B20" s="256"/>
      <c r="C20" s="220"/>
      <c r="D20" s="253"/>
      <c r="E20" s="83" t="s">
        <v>44</v>
      </c>
      <c r="F20" s="85" t="s">
        <v>45</v>
      </c>
      <c r="G20" s="116" t="s">
        <v>39</v>
      </c>
      <c r="H20" s="117" t="s">
        <v>195</v>
      </c>
      <c r="I20" s="108" t="str">
        <f t="shared" si="2"/>
        <v>Mantenimiento del control</v>
      </c>
      <c r="J20" s="107">
        <f t="shared" si="0"/>
        <v>20</v>
      </c>
      <c r="K20" s="105">
        <v>0.12345678</v>
      </c>
      <c r="L20" s="105">
        <f t="shared" si="3"/>
        <v>20.123456780000001</v>
      </c>
    </row>
    <row r="21" spans="1:32" s="49" customFormat="1" ht="123" customHeight="1" x14ac:dyDescent="0.25">
      <c r="A21" s="103" t="str">
        <f t="shared" si="1"/>
        <v>1f</v>
      </c>
      <c r="B21" s="256"/>
      <c r="C21" s="220"/>
      <c r="D21" s="253"/>
      <c r="E21" s="83" t="s">
        <v>46</v>
      </c>
      <c r="F21" s="85" t="s">
        <v>47</v>
      </c>
      <c r="G21" s="116" t="s">
        <v>76</v>
      </c>
      <c r="H21" s="117" t="s">
        <v>196</v>
      </c>
      <c r="I21" s="108" t="str">
        <f t="shared" si="2"/>
        <v>Oportunidad de mejora</v>
      </c>
      <c r="J21" s="107">
        <f t="shared" si="0"/>
        <v>10</v>
      </c>
      <c r="K21" s="105">
        <v>0.123456789</v>
      </c>
      <c r="L21" s="105">
        <f t="shared" si="3"/>
        <v>10.123456789</v>
      </c>
    </row>
    <row r="22" spans="1:32" s="49" customFormat="1" ht="148.5" customHeight="1" x14ac:dyDescent="0.25">
      <c r="A22" s="103" t="str">
        <f t="shared" si="1"/>
        <v>1g</v>
      </c>
      <c r="B22" s="256"/>
      <c r="C22" s="220"/>
      <c r="D22" s="253"/>
      <c r="E22" s="83" t="s">
        <v>48</v>
      </c>
      <c r="F22" s="85" t="s">
        <v>49</v>
      </c>
      <c r="G22" s="116" t="s">
        <v>39</v>
      </c>
      <c r="H22" s="117" t="s">
        <v>197</v>
      </c>
      <c r="I22" s="108" t="str">
        <f t="shared" si="2"/>
        <v>Mantenimiento del control</v>
      </c>
      <c r="J22" s="107">
        <f t="shared" si="0"/>
        <v>20</v>
      </c>
      <c r="K22" s="105">
        <v>0.12345678910000001</v>
      </c>
      <c r="L22" s="105">
        <f t="shared" si="3"/>
        <v>20.1234567891</v>
      </c>
    </row>
    <row r="23" spans="1:32" s="49" customFormat="1" ht="62.25" customHeight="1" x14ac:dyDescent="0.25">
      <c r="A23" s="103" t="str">
        <f t="shared" si="1"/>
        <v>1h</v>
      </c>
      <c r="B23" s="256"/>
      <c r="C23" s="220"/>
      <c r="D23" s="253"/>
      <c r="E23" s="83" t="s">
        <v>50</v>
      </c>
      <c r="F23" s="85" t="s">
        <v>51</v>
      </c>
      <c r="G23" s="116" t="s">
        <v>36</v>
      </c>
      <c r="H23" s="117" t="s">
        <v>198</v>
      </c>
      <c r="I23" s="108" t="str">
        <f t="shared" si="2"/>
        <v>Deficiencia de control</v>
      </c>
      <c r="J23" s="107">
        <f t="shared" si="0"/>
        <v>0</v>
      </c>
      <c r="K23" s="105">
        <v>0.12345678911999999</v>
      </c>
      <c r="L23" s="105">
        <f t="shared" si="3"/>
        <v>0.12345678911999999</v>
      </c>
    </row>
    <row r="24" spans="1:32" s="49" customFormat="1" ht="57.75" customHeight="1" x14ac:dyDescent="0.25">
      <c r="A24" s="103" t="str">
        <f t="shared" si="1"/>
        <v>1i</v>
      </c>
      <c r="B24" s="256"/>
      <c r="C24" s="220"/>
      <c r="D24" s="253"/>
      <c r="E24" s="83" t="s">
        <v>52</v>
      </c>
      <c r="F24" s="85" t="s">
        <v>53</v>
      </c>
      <c r="G24" s="116" t="s">
        <v>36</v>
      </c>
      <c r="H24" s="117" t="s">
        <v>198</v>
      </c>
      <c r="I24" s="108" t="str">
        <f t="shared" si="2"/>
        <v>Deficiencia de control</v>
      </c>
      <c r="J24" s="107">
        <f t="shared" si="0"/>
        <v>0</v>
      </c>
      <c r="K24" s="105">
        <v>0.123456789123</v>
      </c>
      <c r="L24" s="105">
        <f t="shared" si="3"/>
        <v>0.123456789123</v>
      </c>
    </row>
    <row r="25" spans="1:32" s="49" customFormat="1" ht="52.5" customHeight="1" x14ac:dyDescent="0.25">
      <c r="A25" s="103" t="str">
        <f t="shared" si="1"/>
        <v>1j</v>
      </c>
      <c r="B25" s="256"/>
      <c r="C25" s="220"/>
      <c r="D25" s="253"/>
      <c r="E25" s="83" t="s">
        <v>54</v>
      </c>
      <c r="F25" s="85" t="s">
        <v>55</v>
      </c>
      <c r="G25" s="116" t="s">
        <v>39</v>
      </c>
      <c r="H25" s="117" t="s">
        <v>197</v>
      </c>
      <c r="I25" s="108" t="str">
        <f t="shared" si="2"/>
        <v>Mantenimiento del control</v>
      </c>
      <c r="J25" s="107">
        <f t="shared" si="0"/>
        <v>20</v>
      </c>
      <c r="K25" s="105">
        <v>0.1234567891234</v>
      </c>
      <c r="L25" s="105">
        <f t="shared" si="3"/>
        <v>20.123456789123399</v>
      </c>
    </row>
    <row r="26" spans="1:32" s="49" customFormat="1" ht="42" customHeight="1" x14ac:dyDescent="0.25">
      <c r="A26" s="103" t="str">
        <f t="shared" si="1"/>
        <v>1k</v>
      </c>
      <c r="B26" s="256"/>
      <c r="C26" s="220"/>
      <c r="D26" s="253"/>
      <c r="E26" s="83" t="s">
        <v>56</v>
      </c>
      <c r="F26" s="85" t="s">
        <v>57</v>
      </c>
      <c r="G26" s="116" t="s">
        <v>39</v>
      </c>
      <c r="H26" s="117" t="s">
        <v>217</v>
      </c>
      <c r="I26" s="108" t="str">
        <f t="shared" si="2"/>
        <v>Mantenimiento del control</v>
      </c>
      <c r="J26" s="107">
        <f t="shared" si="0"/>
        <v>20</v>
      </c>
      <c r="K26" s="105">
        <v>0.12345678912345</v>
      </c>
      <c r="L26" s="105">
        <f t="shared" si="3"/>
        <v>20.123456789123448</v>
      </c>
    </row>
    <row r="27" spans="1:32" s="49" customFormat="1" ht="50.25" thickBot="1" x14ac:dyDescent="0.3">
      <c r="A27" s="103" t="str">
        <f t="shared" si="1"/>
        <v>1l</v>
      </c>
      <c r="B27" s="257"/>
      <c r="C27" s="221"/>
      <c r="D27" s="254"/>
      <c r="E27" s="86" t="s">
        <v>58</v>
      </c>
      <c r="F27" s="87" t="s">
        <v>59</v>
      </c>
      <c r="G27" s="118" t="s">
        <v>39</v>
      </c>
      <c r="H27" s="117" t="s">
        <v>218</v>
      </c>
      <c r="I27" s="109" t="str">
        <f t="shared" si="2"/>
        <v>Mantenimiento del control</v>
      </c>
      <c r="J27" s="107">
        <f t="shared" si="0"/>
        <v>20</v>
      </c>
      <c r="K27" s="105">
        <v>0.12345678912345601</v>
      </c>
      <c r="L27" s="105">
        <f t="shared" si="3"/>
        <v>20.123456789123455</v>
      </c>
    </row>
    <row r="28" spans="1:32" s="49" customFormat="1" ht="44.25" customHeight="1" x14ac:dyDescent="0.25">
      <c r="A28" s="103" t="str">
        <f>2&amp;E28</f>
        <v>2a</v>
      </c>
      <c r="B28" s="258" t="s">
        <v>60</v>
      </c>
      <c r="C28" s="222" t="s">
        <v>61</v>
      </c>
      <c r="D28" s="261" t="s">
        <v>62</v>
      </c>
      <c r="E28" s="81" t="s">
        <v>34</v>
      </c>
      <c r="F28" s="82" t="s">
        <v>63</v>
      </c>
      <c r="G28" s="112" t="s">
        <v>36</v>
      </c>
      <c r="H28" s="117" t="s">
        <v>198</v>
      </c>
      <c r="I28" s="104" t="str">
        <f t="shared" si="2"/>
        <v>Deficiencia de control</v>
      </c>
      <c r="J28" s="105">
        <f>+IF(G28="Si",40,IF(G28="En proceso",30,20))</f>
        <v>20</v>
      </c>
      <c r="K28" s="105">
        <v>0.23</v>
      </c>
      <c r="L28" s="105">
        <f t="shared" si="3"/>
        <v>20.23</v>
      </c>
    </row>
    <row r="29" spans="1:32" s="49" customFormat="1" ht="63" x14ac:dyDescent="0.25">
      <c r="A29" s="103" t="str">
        <f t="shared" ref="A29:A31" si="4">2&amp;E29</f>
        <v>2b</v>
      </c>
      <c r="B29" s="259"/>
      <c r="C29" s="223"/>
      <c r="D29" s="237"/>
      <c r="E29" s="83" t="s">
        <v>37</v>
      </c>
      <c r="F29" s="85" t="s">
        <v>64</v>
      </c>
      <c r="G29" s="116" t="s">
        <v>36</v>
      </c>
      <c r="H29" s="117" t="s">
        <v>198</v>
      </c>
      <c r="I29" s="108" t="str">
        <f t="shared" si="2"/>
        <v>Deficiencia de control</v>
      </c>
      <c r="J29" s="105">
        <f>+IF(G29="Si",40,IF(G29="En proceso",30,20))</f>
        <v>20</v>
      </c>
      <c r="K29" s="105">
        <v>0.23400000000000001</v>
      </c>
      <c r="L29" s="105">
        <f t="shared" si="3"/>
        <v>20.234000000000002</v>
      </c>
    </row>
    <row r="30" spans="1:32" s="49" customFormat="1" ht="47.25" x14ac:dyDescent="0.25">
      <c r="A30" s="103" t="str">
        <f t="shared" si="4"/>
        <v>2c</v>
      </c>
      <c r="B30" s="259"/>
      <c r="C30" s="223"/>
      <c r="D30" s="237"/>
      <c r="E30" s="83" t="s">
        <v>40</v>
      </c>
      <c r="F30" s="85" t="s">
        <v>65</v>
      </c>
      <c r="G30" s="116" t="s">
        <v>36</v>
      </c>
      <c r="H30" s="117" t="s">
        <v>198</v>
      </c>
      <c r="I30" s="108" t="str">
        <f t="shared" si="2"/>
        <v>Deficiencia de control</v>
      </c>
      <c r="J30" s="105">
        <f>+IF(G30="Si",40,IF(G30="En proceso",30,20))</f>
        <v>20</v>
      </c>
      <c r="K30" s="105">
        <v>0.23449999999999999</v>
      </c>
      <c r="L30" s="105">
        <f t="shared" si="3"/>
        <v>20.234500000000001</v>
      </c>
    </row>
    <row r="31" spans="1:32" s="49" customFormat="1" ht="63.75" thickBot="1" x14ac:dyDescent="0.3">
      <c r="A31" s="103" t="str">
        <f t="shared" si="4"/>
        <v>2d</v>
      </c>
      <c r="B31" s="260"/>
      <c r="C31" s="224"/>
      <c r="D31" s="262"/>
      <c r="E31" s="86" t="s">
        <v>42</v>
      </c>
      <c r="F31" s="87" t="s">
        <v>66</v>
      </c>
      <c r="G31" s="118" t="s">
        <v>36</v>
      </c>
      <c r="H31" s="117" t="s">
        <v>198</v>
      </c>
      <c r="I31" s="109" t="str">
        <f t="shared" si="2"/>
        <v>Deficiencia de control</v>
      </c>
      <c r="J31" s="105">
        <f>+IF(G31="Si",40,IF(G31="En proceso",30,20))</f>
        <v>20</v>
      </c>
      <c r="K31" s="105">
        <v>0.23455999999999999</v>
      </c>
      <c r="L31" s="105">
        <f t="shared" si="3"/>
        <v>20.234559999999998</v>
      </c>
    </row>
    <row r="32" spans="1:32" s="49" customFormat="1" ht="49.5" customHeight="1" x14ac:dyDescent="0.25">
      <c r="A32" s="103" t="str">
        <f>3&amp;E32</f>
        <v>3a</v>
      </c>
      <c r="B32" s="234" t="s">
        <v>67</v>
      </c>
      <c r="C32" s="234" t="s">
        <v>61</v>
      </c>
      <c r="D32" s="235" t="s">
        <v>68</v>
      </c>
      <c r="E32" s="88" t="s">
        <v>34</v>
      </c>
      <c r="F32" s="85" t="s">
        <v>69</v>
      </c>
      <c r="G32" s="116" t="s">
        <v>36</v>
      </c>
      <c r="H32" s="117" t="s">
        <v>198</v>
      </c>
      <c r="I32" s="108" t="str">
        <f t="shared" si="2"/>
        <v>Deficiencia de control</v>
      </c>
      <c r="J32" s="105">
        <f t="shared" ref="J32:J37" si="5">+IF(G32="Si",40,IF(G32="En proceso",30,20))</f>
        <v>20</v>
      </c>
      <c r="K32" s="110">
        <v>0.234567</v>
      </c>
      <c r="L32" s="105">
        <f t="shared" ref="L32:L37" si="6">+J32+K32</f>
        <v>20.234566999999998</v>
      </c>
      <c r="M32" s="48"/>
      <c r="N32" s="48"/>
      <c r="O32" s="48"/>
      <c r="P32" s="48"/>
      <c r="Q32" s="48"/>
      <c r="R32" s="48"/>
      <c r="S32" s="48"/>
      <c r="T32" s="48"/>
      <c r="U32" s="48"/>
      <c r="V32" s="48"/>
      <c r="W32" s="48"/>
      <c r="X32" s="48"/>
      <c r="Y32" s="48"/>
      <c r="Z32" s="48"/>
      <c r="AA32" s="48"/>
      <c r="AB32" s="48"/>
      <c r="AC32" s="48"/>
      <c r="AD32" s="48"/>
      <c r="AE32" s="48"/>
      <c r="AF32" s="48"/>
    </row>
    <row r="33" spans="1:32" s="49" customFormat="1" ht="49.5" customHeight="1" x14ac:dyDescent="0.25">
      <c r="A33" s="103" t="str">
        <f t="shared" ref="A33:A34" si="7">3&amp;E33</f>
        <v>3b</v>
      </c>
      <c r="B33" s="234"/>
      <c r="C33" s="234"/>
      <c r="D33" s="235"/>
      <c r="E33" s="88" t="s">
        <v>37</v>
      </c>
      <c r="F33" s="85" t="s">
        <v>70</v>
      </c>
      <c r="G33" s="116" t="s">
        <v>36</v>
      </c>
      <c r="H33" s="117" t="s">
        <v>198</v>
      </c>
      <c r="I33" s="108" t="str">
        <f t="shared" si="2"/>
        <v>Deficiencia de control</v>
      </c>
      <c r="J33" s="105">
        <f t="shared" si="5"/>
        <v>20</v>
      </c>
      <c r="K33" s="110">
        <v>0.23456779999999999</v>
      </c>
      <c r="L33" s="105">
        <f t="shared" si="6"/>
        <v>20.234567800000001</v>
      </c>
      <c r="M33" s="48"/>
      <c r="N33" s="48"/>
      <c r="O33" s="48"/>
      <c r="P33" s="48"/>
      <c r="Q33" s="48"/>
      <c r="R33" s="48"/>
      <c r="S33" s="48"/>
      <c r="T33" s="48"/>
      <c r="U33" s="48"/>
      <c r="V33" s="48"/>
      <c r="W33" s="48"/>
      <c r="X33" s="48"/>
      <c r="Y33" s="48"/>
      <c r="Z33" s="48"/>
      <c r="AA33" s="48"/>
      <c r="AB33" s="48"/>
      <c r="AC33" s="48"/>
      <c r="AD33" s="48"/>
      <c r="AE33" s="48"/>
      <c r="AF33" s="48"/>
    </row>
    <row r="34" spans="1:32" s="49" customFormat="1" ht="66" customHeight="1" thickBot="1" x14ac:dyDescent="0.3">
      <c r="A34" s="103" t="str">
        <f t="shared" si="7"/>
        <v>3c</v>
      </c>
      <c r="B34" s="234"/>
      <c r="C34" s="234"/>
      <c r="D34" s="235"/>
      <c r="E34" s="88" t="s">
        <v>40</v>
      </c>
      <c r="F34" s="85" t="s">
        <v>71</v>
      </c>
      <c r="G34" s="116" t="s">
        <v>36</v>
      </c>
      <c r="H34" s="117" t="s">
        <v>198</v>
      </c>
      <c r="I34" s="108" t="str">
        <f t="shared" si="2"/>
        <v>Deficiencia de control</v>
      </c>
      <c r="J34" s="105">
        <f t="shared" si="5"/>
        <v>20</v>
      </c>
      <c r="K34" s="110">
        <v>0.23456789</v>
      </c>
      <c r="L34" s="105">
        <f t="shared" si="6"/>
        <v>20.234567890000001</v>
      </c>
      <c r="M34" s="48"/>
      <c r="N34" s="48"/>
      <c r="O34" s="48"/>
      <c r="P34" s="48"/>
      <c r="Q34" s="48"/>
      <c r="R34" s="48"/>
      <c r="S34" s="48"/>
      <c r="T34" s="48"/>
      <c r="U34" s="48"/>
      <c r="V34" s="48"/>
      <c r="W34" s="48"/>
      <c r="X34" s="48"/>
      <c r="Y34" s="48"/>
      <c r="Z34" s="48"/>
      <c r="AA34" s="48"/>
      <c r="AB34" s="48"/>
      <c r="AC34" s="48"/>
      <c r="AD34" s="48"/>
      <c r="AE34" s="48"/>
      <c r="AF34" s="48"/>
    </row>
    <row r="35" spans="1:32" s="49" customFormat="1" ht="60.75" customHeight="1" x14ac:dyDescent="0.25">
      <c r="A35" s="103" t="str">
        <f>4&amp;E35</f>
        <v>4a</v>
      </c>
      <c r="B35" s="236" t="s">
        <v>72</v>
      </c>
      <c r="C35" s="223" t="s">
        <v>61</v>
      </c>
      <c r="D35" s="237" t="s">
        <v>73</v>
      </c>
      <c r="E35" s="81" t="s">
        <v>34</v>
      </c>
      <c r="F35" s="82" t="s">
        <v>74</v>
      </c>
      <c r="G35" s="112" t="s">
        <v>36</v>
      </c>
      <c r="H35" s="117" t="s">
        <v>198</v>
      </c>
      <c r="I35" s="104" t="str">
        <f t="shared" si="2"/>
        <v>Deficiencia de control</v>
      </c>
      <c r="J35" s="105">
        <f t="shared" si="5"/>
        <v>20</v>
      </c>
      <c r="K35" s="110">
        <v>0.23456789119999999</v>
      </c>
      <c r="L35" s="105">
        <f t="shared" si="6"/>
        <v>20.234567891200001</v>
      </c>
      <c r="M35" s="48"/>
      <c r="N35" s="48"/>
      <c r="O35" s="48"/>
      <c r="P35" s="48"/>
      <c r="Q35" s="48"/>
    </row>
    <row r="36" spans="1:32" s="49" customFormat="1" ht="57.75" customHeight="1" x14ac:dyDescent="0.25">
      <c r="A36" s="103" t="str">
        <f t="shared" ref="A36:A37" si="8">4&amp;E36</f>
        <v>4b</v>
      </c>
      <c r="B36" s="236"/>
      <c r="C36" s="223"/>
      <c r="D36" s="237"/>
      <c r="E36" s="83" t="s">
        <v>37</v>
      </c>
      <c r="F36" s="85" t="s">
        <v>75</v>
      </c>
      <c r="G36" s="116" t="s">
        <v>76</v>
      </c>
      <c r="H36" s="117" t="s">
        <v>199</v>
      </c>
      <c r="I36" s="108" t="str">
        <f t="shared" si="2"/>
        <v>Oportunidad de mejora</v>
      </c>
      <c r="J36" s="105">
        <f t="shared" si="5"/>
        <v>30</v>
      </c>
      <c r="K36" s="110">
        <v>0.23456789122999999</v>
      </c>
      <c r="L36" s="105">
        <f t="shared" si="6"/>
        <v>30.23456789123</v>
      </c>
      <c r="M36" s="48"/>
      <c r="N36" s="48"/>
      <c r="O36" s="48"/>
      <c r="P36" s="48"/>
      <c r="Q36" s="48"/>
    </row>
    <row r="37" spans="1:32" s="49" customFormat="1" ht="49.5" customHeight="1" thickBot="1" x14ac:dyDescent="0.3">
      <c r="A37" s="103" t="str">
        <f t="shared" si="8"/>
        <v>4c</v>
      </c>
      <c r="B37" s="236"/>
      <c r="C37" s="223"/>
      <c r="D37" s="237"/>
      <c r="E37" s="83" t="s">
        <v>40</v>
      </c>
      <c r="F37" s="85" t="s">
        <v>77</v>
      </c>
      <c r="G37" s="116" t="s">
        <v>76</v>
      </c>
      <c r="H37" s="117" t="s">
        <v>200</v>
      </c>
      <c r="I37" s="108" t="str">
        <f t="shared" si="2"/>
        <v>Oportunidad de mejora</v>
      </c>
      <c r="J37" s="105">
        <f t="shared" si="5"/>
        <v>30</v>
      </c>
      <c r="K37" s="110">
        <v>0.23456789123399999</v>
      </c>
      <c r="L37" s="105">
        <f t="shared" si="6"/>
        <v>30.234567891234001</v>
      </c>
      <c r="M37" s="48"/>
      <c r="N37" s="48"/>
      <c r="O37" s="48"/>
      <c r="P37" s="48"/>
      <c r="Q37" s="48"/>
    </row>
    <row r="38" spans="1:32" s="49" customFormat="1" ht="85.5" customHeight="1" x14ac:dyDescent="0.25">
      <c r="A38" s="103" t="str">
        <f>5&amp;E38</f>
        <v>5a</v>
      </c>
      <c r="B38" s="238" t="s">
        <v>78</v>
      </c>
      <c r="C38" s="225" t="s">
        <v>79</v>
      </c>
      <c r="D38" s="241" t="s">
        <v>80</v>
      </c>
      <c r="E38" s="81" t="s">
        <v>34</v>
      </c>
      <c r="F38" s="89" t="s">
        <v>81</v>
      </c>
      <c r="G38" s="120" t="s">
        <v>76</v>
      </c>
      <c r="H38" s="121" t="s">
        <v>201</v>
      </c>
      <c r="I38" s="111" t="str">
        <f t="shared" si="2"/>
        <v>Oportunidad de mejora</v>
      </c>
      <c r="J38" s="105">
        <f>+IF(G38="Si",60,IF(G38="En proceso",50,40))</f>
        <v>50</v>
      </c>
      <c r="K38" s="105">
        <v>0.31</v>
      </c>
      <c r="L38" s="105">
        <f t="shared" si="3"/>
        <v>50.31</v>
      </c>
    </row>
    <row r="39" spans="1:32" s="49" customFormat="1" ht="66" x14ac:dyDescent="0.25">
      <c r="A39" s="103" t="str">
        <f t="shared" ref="A39:A42" si="9">5&amp;E39</f>
        <v>5b</v>
      </c>
      <c r="B39" s="239"/>
      <c r="C39" s="226"/>
      <c r="D39" s="242"/>
      <c r="E39" s="83" t="s">
        <v>37</v>
      </c>
      <c r="F39" s="85" t="s">
        <v>82</v>
      </c>
      <c r="G39" s="116" t="s">
        <v>76</v>
      </c>
      <c r="H39" s="117" t="s">
        <v>202</v>
      </c>
      <c r="I39" s="108" t="str">
        <f t="shared" si="2"/>
        <v>Oportunidad de mejora</v>
      </c>
      <c r="J39" s="105">
        <f>+IF(G39="Si",60,IF(G39="En proceso",50,40))</f>
        <v>50</v>
      </c>
      <c r="K39" s="105">
        <v>0.32300000000000001</v>
      </c>
      <c r="L39" s="105">
        <f t="shared" si="3"/>
        <v>50.323</v>
      </c>
    </row>
    <row r="40" spans="1:32" s="49" customFormat="1" ht="47.25" x14ac:dyDescent="0.25">
      <c r="A40" s="103" t="str">
        <f t="shared" si="9"/>
        <v>5c</v>
      </c>
      <c r="B40" s="239"/>
      <c r="C40" s="226"/>
      <c r="D40" s="242"/>
      <c r="E40" s="83" t="s">
        <v>40</v>
      </c>
      <c r="F40" s="85" t="s">
        <v>83</v>
      </c>
      <c r="G40" s="116" t="s">
        <v>36</v>
      </c>
      <c r="H40" s="117" t="s">
        <v>198</v>
      </c>
      <c r="I40" s="108" t="str">
        <f t="shared" si="2"/>
        <v>Deficiencia de control</v>
      </c>
      <c r="J40" s="105">
        <f>+IF(G40="Si",60,IF(G40="En proceso",50,40))</f>
        <v>40</v>
      </c>
      <c r="K40" s="105">
        <v>0.32400000000000001</v>
      </c>
      <c r="L40" s="105">
        <f t="shared" si="3"/>
        <v>40.323999999999998</v>
      </c>
    </row>
    <row r="41" spans="1:32" s="49" customFormat="1" ht="94.5" x14ac:dyDescent="0.25">
      <c r="A41" s="103" t="str">
        <f t="shared" si="9"/>
        <v>5d</v>
      </c>
      <c r="B41" s="239"/>
      <c r="C41" s="226"/>
      <c r="D41" s="242"/>
      <c r="E41" s="83" t="s">
        <v>42</v>
      </c>
      <c r="F41" s="85" t="s">
        <v>84</v>
      </c>
      <c r="G41" s="116" t="s">
        <v>39</v>
      </c>
      <c r="H41" s="117" t="s">
        <v>203</v>
      </c>
      <c r="I41" s="108" t="str">
        <f t="shared" si="2"/>
        <v>Mantenimiento del control</v>
      </c>
      <c r="J41" s="105">
        <f>+IF(G41="Si",60,IF(G41="En proceso",50,40))</f>
        <v>60</v>
      </c>
      <c r="K41" s="105">
        <v>0.32500000000000001</v>
      </c>
      <c r="L41" s="105">
        <f t="shared" si="3"/>
        <v>60.325000000000003</v>
      </c>
    </row>
    <row r="42" spans="1:32" s="49" customFormat="1" ht="48" thickBot="1" x14ac:dyDescent="0.3">
      <c r="A42" s="103" t="str">
        <f t="shared" si="9"/>
        <v>5e</v>
      </c>
      <c r="B42" s="240"/>
      <c r="C42" s="227"/>
      <c r="D42" s="243"/>
      <c r="E42" s="86" t="s">
        <v>44</v>
      </c>
      <c r="F42" s="87" t="s">
        <v>85</v>
      </c>
      <c r="G42" s="118" t="s">
        <v>39</v>
      </c>
      <c r="H42" s="119" t="s">
        <v>204</v>
      </c>
      <c r="I42" s="109" t="str">
        <f t="shared" si="2"/>
        <v>Mantenimiento del control</v>
      </c>
      <c r="J42" s="105">
        <f>+IF(G42="Si",60,IF(G42="En proceso",50,40))</f>
        <v>60</v>
      </c>
      <c r="K42" s="105">
        <v>0.32600000000000001</v>
      </c>
      <c r="L42" s="105">
        <f t="shared" si="3"/>
        <v>60.326000000000001</v>
      </c>
    </row>
    <row r="43" spans="1:32" s="49" customFormat="1" ht="40.5" customHeight="1" x14ac:dyDescent="0.25">
      <c r="A43" s="103" t="str">
        <f>6&amp;E43</f>
        <v>6a</v>
      </c>
      <c r="B43" s="248" t="s">
        <v>86</v>
      </c>
      <c r="C43" s="228" t="s">
        <v>87</v>
      </c>
      <c r="D43" s="245" t="s">
        <v>88</v>
      </c>
      <c r="E43" s="81" t="s">
        <v>34</v>
      </c>
      <c r="F43" s="82" t="s">
        <v>89</v>
      </c>
      <c r="G43" s="112" t="s">
        <v>39</v>
      </c>
      <c r="H43" s="113" t="s">
        <v>205</v>
      </c>
      <c r="I43" s="104" t="str">
        <f t="shared" si="2"/>
        <v>Mantenimiento del control</v>
      </c>
      <c r="J43" s="105">
        <f t="shared" ref="J43:J49" si="10">+IF(G43="Si",80,IF(G43="En proceso",70,60))</f>
        <v>80</v>
      </c>
      <c r="K43" s="105">
        <v>0.41199999999999998</v>
      </c>
      <c r="L43" s="105">
        <f t="shared" si="3"/>
        <v>80.412000000000006</v>
      </c>
    </row>
    <row r="44" spans="1:32" s="49" customFormat="1" ht="45.75" customHeight="1" x14ac:dyDescent="0.25">
      <c r="A44" s="103" t="str">
        <f t="shared" ref="A44:A49" si="11">6&amp;E44</f>
        <v>6b</v>
      </c>
      <c r="B44" s="249"/>
      <c r="C44" s="229"/>
      <c r="D44" s="246"/>
      <c r="E44" s="83" t="s">
        <v>37</v>
      </c>
      <c r="F44" s="85" t="s">
        <v>90</v>
      </c>
      <c r="G44" s="116" t="s">
        <v>39</v>
      </c>
      <c r="H44" s="117" t="s">
        <v>219</v>
      </c>
      <c r="I44" s="108" t="str">
        <f t="shared" si="2"/>
        <v>Mantenimiento del control</v>
      </c>
      <c r="J44" s="105">
        <f t="shared" si="10"/>
        <v>80</v>
      </c>
      <c r="K44" s="105">
        <v>0.4123</v>
      </c>
      <c r="L44" s="105">
        <f t="shared" si="3"/>
        <v>80.412300000000002</v>
      </c>
    </row>
    <row r="45" spans="1:32" s="49" customFormat="1" ht="47.25" x14ac:dyDescent="0.25">
      <c r="A45" s="103" t="str">
        <f t="shared" si="11"/>
        <v>6c</v>
      </c>
      <c r="B45" s="249"/>
      <c r="C45" s="229"/>
      <c r="D45" s="246"/>
      <c r="E45" s="83" t="s">
        <v>40</v>
      </c>
      <c r="F45" s="85" t="s">
        <v>91</v>
      </c>
      <c r="G45" s="116" t="s">
        <v>76</v>
      </c>
      <c r="H45" s="117" t="s">
        <v>206</v>
      </c>
      <c r="I45" s="108" t="str">
        <f t="shared" si="2"/>
        <v>Oportunidad de mejora</v>
      </c>
      <c r="J45" s="105">
        <f t="shared" si="10"/>
        <v>70</v>
      </c>
      <c r="K45" s="105">
        <v>0.41233999999999998</v>
      </c>
      <c r="L45" s="105">
        <f t="shared" si="3"/>
        <v>70.41234</v>
      </c>
    </row>
    <row r="46" spans="1:32" s="49" customFormat="1" ht="33" x14ac:dyDescent="0.25">
      <c r="A46" s="103" t="str">
        <f t="shared" si="11"/>
        <v>6d</v>
      </c>
      <c r="B46" s="249"/>
      <c r="C46" s="229"/>
      <c r="D46" s="246"/>
      <c r="E46" s="83" t="s">
        <v>42</v>
      </c>
      <c r="F46" s="85" t="s">
        <v>92</v>
      </c>
      <c r="G46" s="116" t="s">
        <v>36</v>
      </c>
      <c r="H46" s="117" t="s">
        <v>198</v>
      </c>
      <c r="I46" s="108" t="str">
        <f t="shared" si="2"/>
        <v>Deficiencia de control</v>
      </c>
      <c r="J46" s="105">
        <f t="shared" si="10"/>
        <v>60</v>
      </c>
      <c r="K46" s="105">
        <v>0.41234500000000002</v>
      </c>
      <c r="L46" s="105">
        <f t="shared" si="3"/>
        <v>60.412345000000002</v>
      </c>
    </row>
    <row r="47" spans="1:32" s="49" customFormat="1" ht="63.75" thickBot="1" x14ac:dyDescent="0.3">
      <c r="A47" s="103" t="str">
        <f t="shared" si="11"/>
        <v>6e</v>
      </c>
      <c r="B47" s="249"/>
      <c r="C47" s="229"/>
      <c r="D47" s="246"/>
      <c r="E47" s="83" t="s">
        <v>44</v>
      </c>
      <c r="F47" s="85" t="s">
        <v>93</v>
      </c>
      <c r="G47" s="116" t="s">
        <v>36</v>
      </c>
      <c r="H47" s="119" t="s">
        <v>204</v>
      </c>
      <c r="I47" s="108" t="str">
        <f t="shared" si="2"/>
        <v>Deficiencia de control</v>
      </c>
      <c r="J47" s="105">
        <f t="shared" si="10"/>
        <v>60</v>
      </c>
      <c r="K47" s="105">
        <v>0.41234559999999998</v>
      </c>
      <c r="L47" s="105">
        <f t="shared" si="3"/>
        <v>60.412345600000002</v>
      </c>
    </row>
    <row r="48" spans="1:32" s="49" customFormat="1" ht="63" x14ac:dyDescent="0.25">
      <c r="A48" s="103" t="str">
        <f t="shared" si="11"/>
        <v>6f</v>
      </c>
      <c r="B48" s="249"/>
      <c r="C48" s="229"/>
      <c r="D48" s="246"/>
      <c r="E48" s="83" t="s">
        <v>46</v>
      </c>
      <c r="F48" s="85" t="s">
        <v>94</v>
      </c>
      <c r="G48" s="116" t="s">
        <v>36</v>
      </c>
      <c r="H48" s="117" t="s">
        <v>198</v>
      </c>
      <c r="I48" s="108" t="str">
        <f t="shared" si="2"/>
        <v>Deficiencia de control</v>
      </c>
      <c r="J48" s="105">
        <f t="shared" si="10"/>
        <v>60</v>
      </c>
      <c r="K48" s="105">
        <v>0.41234567</v>
      </c>
      <c r="L48" s="105">
        <f t="shared" si="3"/>
        <v>60.412345670000001</v>
      </c>
    </row>
    <row r="49" spans="1:17" s="49" customFormat="1" ht="48" thickBot="1" x14ac:dyDescent="0.3">
      <c r="A49" s="103" t="str">
        <f t="shared" si="11"/>
        <v>6g</v>
      </c>
      <c r="B49" s="250"/>
      <c r="C49" s="230"/>
      <c r="D49" s="247"/>
      <c r="E49" s="86" t="s">
        <v>48</v>
      </c>
      <c r="F49" s="87" t="s">
        <v>95</v>
      </c>
      <c r="G49" s="118" t="s">
        <v>36</v>
      </c>
      <c r="H49" s="117" t="s">
        <v>198</v>
      </c>
      <c r="I49" s="109" t="str">
        <f t="shared" si="2"/>
        <v>Deficiencia de control</v>
      </c>
      <c r="J49" s="105">
        <f t="shared" si="10"/>
        <v>60</v>
      </c>
      <c r="K49" s="105">
        <v>0.41234567799999999</v>
      </c>
      <c r="L49" s="105">
        <f t="shared" si="3"/>
        <v>60.412345678000001</v>
      </c>
    </row>
    <row r="50" spans="1:17" s="49" customFormat="1" ht="54.75" customHeight="1" x14ac:dyDescent="0.25">
      <c r="A50" s="103" t="str">
        <f>7&amp;E50</f>
        <v>7a</v>
      </c>
      <c r="B50" s="216" t="s">
        <v>96</v>
      </c>
      <c r="C50" s="231" t="s">
        <v>97</v>
      </c>
      <c r="D50" s="213" t="s">
        <v>98</v>
      </c>
      <c r="E50" s="81" t="s">
        <v>34</v>
      </c>
      <c r="F50" s="82" t="s">
        <v>99</v>
      </c>
      <c r="G50" s="112" t="s">
        <v>36</v>
      </c>
      <c r="H50" s="117" t="s">
        <v>198</v>
      </c>
      <c r="I50" s="104" t="str">
        <f t="shared" si="2"/>
        <v>Deficiencia de control</v>
      </c>
      <c r="J50" s="105">
        <f>+IF(G50="Si",120,IF(G50="En proceso",100,80))</f>
        <v>80</v>
      </c>
      <c r="K50" s="105">
        <v>0.85099999999999998</v>
      </c>
      <c r="L50" s="105">
        <f t="shared" si="3"/>
        <v>80.850999999999999</v>
      </c>
    </row>
    <row r="51" spans="1:17" s="49" customFormat="1" ht="94.5" x14ac:dyDescent="0.25">
      <c r="A51" s="103" t="str">
        <f t="shared" ref="A51:A53" si="12">7&amp;E51</f>
        <v>7d</v>
      </c>
      <c r="B51" s="217"/>
      <c r="C51" s="232"/>
      <c r="D51" s="214"/>
      <c r="E51" s="83" t="s">
        <v>42</v>
      </c>
      <c r="F51" s="85" t="s">
        <v>100</v>
      </c>
      <c r="G51" s="116" t="s">
        <v>76</v>
      </c>
      <c r="H51" s="117" t="s">
        <v>207</v>
      </c>
      <c r="I51" s="108" t="str">
        <f t="shared" si="2"/>
        <v>Oportunidad de mejora</v>
      </c>
      <c r="J51" s="105">
        <f t="shared" ref="J51:J59" si="13">+IF(G51="Si",120,IF(G51="En proceso",100,80))</f>
        <v>100</v>
      </c>
      <c r="K51" s="105">
        <v>0.85119999999999996</v>
      </c>
      <c r="L51" s="105">
        <f t="shared" si="3"/>
        <v>100.85120000000001</v>
      </c>
    </row>
    <row r="52" spans="1:17" s="49" customFormat="1" ht="47.25" x14ac:dyDescent="0.25">
      <c r="A52" s="103" t="str">
        <f t="shared" si="12"/>
        <v>7f</v>
      </c>
      <c r="B52" s="217"/>
      <c r="C52" s="232"/>
      <c r="D52" s="214"/>
      <c r="E52" s="83" t="s">
        <v>46</v>
      </c>
      <c r="F52" s="85" t="s">
        <v>101</v>
      </c>
      <c r="G52" s="116" t="s">
        <v>36</v>
      </c>
      <c r="H52" s="117" t="s">
        <v>198</v>
      </c>
      <c r="I52" s="108" t="str">
        <f t="shared" si="2"/>
        <v>Deficiencia de control</v>
      </c>
      <c r="J52" s="105">
        <f t="shared" si="13"/>
        <v>80</v>
      </c>
      <c r="K52" s="105">
        <v>0.85123000000000004</v>
      </c>
      <c r="L52" s="105">
        <f t="shared" si="3"/>
        <v>80.851230000000001</v>
      </c>
    </row>
    <row r="53" spans="1:17" s="49" customFormat="1" ht="48" thickBot="1" x14ac:dyDescent="0.3">
      <c r="A53" s="103" t="str">
        <f t="shared" si="12"/>
        <v>7g</v>
      </c>
      <c r="B53" s="218"/>
      <c r="C53" s="233"/>
      <c r="D53" s="251"/>
      <c r="E53" s="86" t="s">
        <v>48</v>
      </c>
      <c r="F53" s="87" t="s">
        <v>102</v>
      </c>
      <c r="G53" s="118" t="s">
        <v>36</v>
      </c>
      <c r="H53" s="117" t="s">
        <v>198</v>
      </c>
      <c r="I53" s="109" t="str">
        <f t="shared" si="2"/>
        <v>Deficiencia de control</v>
      </c>
      <c r="J53" s="105">
        <f t="shared" si="13"/>
        <v>80</v>
      </c>
      <c r="K53" s="105">
        <v>0.85123400000000005</v>
      </c>
      <c r="L53" s="105">
        <f t="shared" si="3"/>
        <v>80.851234000000005</v>
      </c>
    </row>
    <row r="54" spans="1:17" s="49" customFormat="1" ht="102.75" customHeight="1" thickBot="1" x14ac:dyDescent="0.3">
      <c r="A54" s="103" t="str">
        <f>8&amp;E54</f>
        <v>8h</v>
      </c>
      <c r="B54" s="162" t="s">
        <v>103</v>
      </c>
      <c r="C54" s="163" t="s">
        <v>97</v>
      </c>
      <c r="D54" s="76" t="s">
        <v>104</v>
      </c>
      <c r="E54" s="81" t="s">
        <v>50</v>
      </c>
      <c r="F54" s="82" t="s">
        <v>105</v>
      </c>
      <c r="G54" s="112" t="s">
        <v>39</v>
      </c>
      <c r="H54" s="117" t="s">
        <v>220</v>
      </c>
      <c r="I54" s="104" t="str">
        <f t="shared" si="2"/>
        <v>Mantenimiento del control</v>
      </c>
      <c r="J54" s="105">
        <f t="shared" si="13"/>
        <v>120</v>
      </c>
      <c r="K54" s="105">
        <v>0.85123450000000001</v>
      </c>
      <c r="L54" s="105">
        <f t="shared" si="3"/>
        <v>120.8512345</v>
      </c>
    </row>
    <row r="55" spans="1:17" s="49" customFormat="1" ht="54.75" customHeight="1" thickBot="1" x14ac:dyDescent="0.3">
      <c r="A55" s="103" t="str">
        <f>9&amp;E55</f>
        <v>9a</v>
      </c>
      <c r="B55" s="216" t="s">
        <v>106</v>
      </c>
      <c r="C55" s="231" t="s">
        <v>97</v>
      </c>
      <c r="D55" s="213" t="s">
        <v>107</v>
      </c>
      <c r="E55" s="81" t="s">
        <v>34</v>
      </c>
      <c r="F55" s="82" t="s">
        <v>108</v>
      </c>
      <c r="G55" s="112" t="s">
        <v>76</v>
      </c>
      <c r="H55" s="113" t="s">
        <v>208</v>
      </c>
      <c r="I55" s="104" t="str">
        <f t="shared" si="2"/>
        <v>Oportunidad de mejora</v>
      </c>
      <c r="J55" s="105">
        <f t="shared" si="13"/>
        <v>100</v>
      </c>
      <c r="K55" s="110">
        <v>0.85123455999999997</v>
      </c>
      <c r="L55" s="105">
        <f t="shared" si="3"/>
        <v>100.85123455999999</v>
      </c>
      <c r="M55" s="48"/>
      <c r="N55" s="48"/>
      <c r="O55" s="48"/>
      <c r="P55" s="48"/>
      <c r="Q55" s="48"/>
    </row>
    <row r="56" spans="1:17" s="49" customFormat="1" ht="55.5" customHeight="1" thickBot="1" x14ac:dyDescent="0.3">
      <c r="A56" s="103" t="str">
        <f t="shared" ref="A56:A59" si="14">9&amp;E56</f>
        <v>9b</v>
      </c>
      <c r="B56" s="217"/>
      <c r="C56" s="232"/>
      <c r="D56" s="214"/>
      <c r="E56" s="83" t="s">
        <v>37</v>
      </c>
      <c r="F56" s="85" t="s">
        <v>109</v>
      </c>
      <c r="G56" s="116" t="s">
        <v>76</v>
      </c>
      <c r="H56" s="113" t="s">
        <v>208</v>
      </c>
      <c r="I56" s="108" t="str">
        <f t="shared" si="2"/>
        <v>Oportunidad de mejora</v>
      </c>
      <c r="J56" s="105">
        <f t="shared" si="13"/>
        <v>100</v>
      </c>
      <c r="K56" s="110">
        <v>0.851234567</v>
      </c>
      <c r="L56" s="105">
        <f t="shared" si="3"/>
        <v>100.85123456700001</v>
      </c>
      <c r="M56" s="48"/>
      <c r="N56" s="48"/>
      <c r="O56" s="48"/>
      <c r="P56" s="48"/>
      <c r="Q56" s="48"/>
    </row>
    <row r="57" spans="1:17" s="49" customFormat="1" ht="77.25" customHeight="1" thickBot="1" x14ac:dyDescent="0.3">
      <c r="A57" s="103" t="str">
        <f t="shared" si="14"/>
        <v>9c</v>
      </c>
      <c r="B57" s="217"/>
      <c r="C57" s="232"/>
      <c r="D57" s="214"/>
      <c r="E57" s="83" t="s">
        <v>40</v>
      </c>
      <c r="F57" s="85" t="s">
        <v>110</v>
      </c>
      <c r="G57" s="116" t="s">
        <v>76</v>
      </c>
      <c r="H57" s="113" t="s">
        <v>208</v>
      </c>
      <c r="I57" s="108" t="str">
        <f t="shared" si="2"/>
        <v>Oportunidad de mejora</v>
      </c>
      <c r="J57" s="105">
        <f t="shared" si="13"/>
        <v>100</v>
      </c>
      <c r="K57" s="110">
        <v>0.85123456779999995</v>
      </c>
      <c r="L57" s="105">
        <f t="shared" si="3"/>
        <v>100.85123456780001</v>
      </c>
      <c r="M57" s="48"/>
      <c r="N57" s="48"/>
      <c r="O57" s="48"/>
      <c r="P57" s="48"/>
      <c r="Q57" s="48"/>
    </row>
    <row r="58" spans="1:17" s="49" customFormat="1" ht="77.25" customHeight="1" thickBot="1" x14ac:dyDescent="0.3">
      <c r="A58" s="103" t="str">
        <f t="shared" si="14"/>
        <v>9d</v>
      </c>
      <c r="B58" s="217"/>
      <c r="C58" s="232"/>
      <c r="D58" s="214"/>
      <c r="E58" s="83" t="s">
        <v>42</v>
      </c>
      <c r="F58" s="85" t="s">
        <v>111</v>
      </c>
      <c r="G58" s="116" t="s">
        <v>76</v>
      </c>
      <c r="H58" s="113" t="s">
        <v>208</v>
      </c>
      <c r="I58" s="108" t="str">
        <f t="shared" si="2"/>
        <v>Oportunidad de mejora</v>
      </c>
      <c r="J58" s="105">
        <f t="shared" si="13"/>
        <v>100</v>
      </c>
      <c r="K58" s="110">
        <v>0.85123456788999996</v>
      </c>
      <c r="L58" s="105">
        <f t="shared" si="3"/>
        <v>100.85123456789</v>
      </c>
      <c r="M58" s="48"/>
      <c r="N58" s="48"/>
      <c r="O58" s="48"/>
      <c r="P58" s="48"/>
      <c r="Q58" s="48"/>
    </row>
    <row r="59" spans="1:17" s="49" customFormat="1" ht="77.25" customHeight="1" thickBot="1" x14ac:dyDescent="0.3">
      <c r="A59" s="103" t="str">
        <f t="shared" si="14"/>
        <v>9e</v>
      </c>
      <c r="B59" s="218"/>
      <c r="C59" s="232"/>
      <c r="D59" s="215"/>
      <c r="E59" s="86" t="s">
        <v>44</v>
      </c>
      <c r="F59" s="87" t="s">
        <v>112</v>
      </c>
      <c r="G59" s="118" t="s">
        <v>76</v>
      </c>
      <c r="H59" s="113" t="s">
        <v>208</v>
      </c>
      <c r="I59" s="109" t="str">
        <f t="shared" si="2"/>
        <v>Oportunidad de mejora</v>
      </c>
      <c r="J59" s="105">
        <f t="shared" si="13"/>
        <v>100</v>
      </c>
      <c r="K59" s="110">
        <v>0.85123456789100005</v>
      </c>
      <c r="L59" s="105">
        <f t="shared" si="3"/>
        <v>100.851234567891</v>
      </c>
      <c r="M59" s="48"/>
      <c r="N59" s="48"/>
      <c r="O59" s="48"/>
      <c r="P59" s="48"/>
      <c r="Q59" s="48"/>
    </row>
  </sheetData>
  <sheetProtection algorithmName="SHA-512" hashValue="3f8q67IhQ+195mCCu45JxrnKZ5NQYpYn/4DMJ1qNlLoW+1h5DdlwjNz0RDsqicEeH5OxPhf5j92R5BAeBl6Iaw==" saltValue="5vY6GrPfNxnRatmVvJafnA==" spinCount="100000" sheet="1" objects="1" scenarios="1" formatCells="0" formatColumns="0" formatRows="0"/>
  <mergeCells count="25">
    <mergeCell ref="B14:I14"/>
    <mergeCell ref="D43:D49"/>
    <mergeCell ref="B43:B49"/>
    <mergeCell ref="D50:D53"/>
    <mergeCell ref="B50:B53"/>
    <mergeCell ref="D16:D27"/>
    <mergeCell ref="B16:B27"/>
    <mergeCell ref="B28:B31"/>
    <mergeCell ref="D28:D31"/>
    <mergeCell ref="D55:D59"/>
    <mergeCell ref="B55:B59"/>
    <mergeCell ref="C16:C27"/>
    <mergeCell ref="C28:C31"/>
    <mergeCell ref="C38:C42"/>
    <mergeCell ref="C43:C49"/>
    <mergeCell ref="C50:C53"/>
    <mergeCell ref="C32:C34"/>
    <mergeCell ref="C35:C37"/>
    <mergeCell ref="C55:C59"/>
    <mergeCell ref="D32:D34"/>
    <mergeCell ref="B32:B34"/>
    <mergeCell ref="B35:B37"/>
    <mergeCell ref="D35:D37"/>
    <mergeCell ref="B38:B42"/>
    <mergeCell ref="D38:D42"/>
  </mergeCells>
  <dataValidations count="2">
    <dataValidation type="list" allowBlank="1" showInputMessage="1" showErrorMessage="1" sqref="G55:G59 G16:G53" xr:uid="{00000000-0002-0000-0100-000000000000}">
      <formula1>"Si, No, En proceso"</formula1>
    </dataValidation>
    <dataValidation type="list" allowBlank="1" showInputMessage="1" showErrorMessage="1" sqref="G54" xr:uid="{00000000-0002-0000-0100-000001000000}">
      <formula1>"Si, No"</formula1>
    </dataValidation>
  </dataValidations>
  <pageMargins left="0.7" right="0.7" top="0.75" bottom="0.75" header="0.3" footer="0.3"/>
  <pageSetup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C74"/>
  <sheetViews>
    <sheetView zoomScale="80" zoomScaleNormal="80" workbookViewId="0">
      <selection activeCell="H9" sqref="H9"/>
    </sheetView>
  </sheetViews>
  <sheetFormatPr baseColWidth="10" defaultColWidth="11.42578125" defaultRowHeight="15" x14ac:dyDescent="0.25"/>
  <cols>
    <col min="3" max="3" width="22.85546875" customWidth="1"/>
    <col min="4" max="4" width="22.5703125" customWidth="1"/>
    <col min="5" max="5" width="53.42578125" customWidth="1"/>
    <col min="7" max="7" width="28.28515625" customWidth="1"/>
    <col min="8" max="8" width="4.85546875" customWidth="1"/>
    <col min="9" max="9" width="15.28515625" customWidth="1"/>
    <col min="10" max="10" width="22.42578125" customWidth="1"/>
    <col min="11" max="29" width="11.42578125" style="1"/>
  </cols>
  <sheetData>
    <row r="1" spans="1:11" x14ac:dyDescent="0.25">
      <c r="A1" s="1"/>
      <c r="B1" s="1"/>
      <c r="C1" s="1"/>
      <c r="D1" s="1"/>
      <c r="E1" s="1"/>
      <c r="F1" s="1"/>
      <c r="G1" s="1"/>
      <c r="H1" s="1"/>
      <c r="I1" s="1"/>
      <c r="J1" s="1"/>
    </row>
    <row r="2" spans="1:11" s="1" customFormat="1" x14ac:dyDescent="0.25"/>
    <row r="3" spans="1:11" s="1" customFormat="1" x14ac:dyDescent="0.25"/>
    <row r="4" spans="1:11" x14ac:dyDescent="0.25">
      <c r="A4" s="1"/>
      <c r="B4" s="1"/>
      <c r="C4" s="1"/>
      <c r="D4" s="1"/>
      <c r="E4" s="1"/>
      <c r="F4" s="1"/>
      <c r="G4" s="1"/>
      <c r="H4" s="1"/>
      <c r="I4" s="1"/>
      <c r="J4" s="1"/>
    </row>
    <row r="5" spans="1:11" x14ac:dyDescent="0.25">
      <c r="A5" s="1"/>
      <c r="B5" s="1"/>
      <c r="C5" s="1"/>
      <c r="D5" s="1"/>
      <c r="E5" s="1"/>
      <c r="F5" s="1"/>
      <c r="G5" s="1"/>
      <c r="H5" s="1"/>
      <c r="I5" s="1"/>
      <c r="J5" s="1"/>
    </row>
    <row r="6" spans="1:11" ht="15.75" thickBot="1" x14ac:dyDescent="0.3">
      <c r="A6" s="1"/>
      <c r="B6" s="1"/>
      <c r="C6" s="1"/>
      <c r="D6" s="1"/>
      <c r="E6" s="1"/>
      <c r="F6" s="1"/>
      <c r="G6" s="1"/>
      <c r="H6" s="1"/>
      <c r="I6" s="1"/>
      <c r="J6" s="1"/>
    </row>
    <row r="7" spans="1:11" ht="26.25" thickBot="1" x14ac:dyDescent="0.3">
      <c r="A7" s="1"/>
      <c r="B7" s="1"/>
      <c r="C7" s="294" t="s">
        <v>113</v>
      </c>
      <c r="D7" s="295"/>
      <c r="E7" s="295"/>
      <c r="F7" s="295"/>
      <c r="G7" s="295"/>
      <c r="H7" s="295"/>
      <c r="I7" s="295"/>
      <c r="J7" s="295"/>
      <c r="K7" s="296"/>
    </row>
    <row r="8" spans="1:11" s="1" customFormat="1" ht="15.75" thickBot="1" x14ac:dyDescent="0.3">
      <c r="C8" s="39"/>
      <c r="D8" s="39"/>
      <c r="E8" s="40"/>
      <c r="F8" s="40"/>
      <c r="G8" s="40"/>
      <c r="H8" s="40"/>
      <c r="I8" s="50"/>
      <c r="J8" s="40"/>
      <c r="K8" s="40"/>
    </row>
    <row r="9" spans="1:11" ht="21" thickBot="1" x14ac:dyDescent="0.3">
      <c r="A9" s="1"/>
      <c r="B9" s="1"/>
      <c r="C9" s="196" t="s">
        <v>15</v>
      </c>
      <c r="D9" s="197"/>
      <c r="E9" s="197" t="s">
        <v>16</v>
      </c>
      <c r="F9" s="208"/>
      <c r="G9" s="40"/>
      <c r="H9" s="40"/>
      <c r="I9" s="50"/>
      <c r="J9" s="40"/>
      <c r="K9" s="40"/>
    </row>
    <row r="10" spans="1:11" ht="54" customHeight="1" x14ac:dyDescent="0.25">
      <c r="A10" s="1"/>
      <c r="B10" s="1"/>
      <c r="C10" s="209" t="s">
        <v>17</v>
      </c>
      <c r="D10" s="210"/>
      <c r="E10" s="211" t="s">
        <v>18</v>
      </c>
      <c r="F10" s="212"/>
      <c r="G10" s="41"/>
      <c r="H10" s="42">
        <v>1</v>
      </c>
      <c r="I10" s="335"/>
      <c r="J10" s="40"/>
      <c r="K10" s="40"/>
    </row>
    <row r="11" spans="1:11" ht="46.5" customHeight="1" x14ac:dyDescent="0.25">
      <c r="A11" s="1"/>
      <c r="B11" s="1"/>
      <c r="C11" s="198" t="s">
        <v>19</v>
      </c>
      <c r="D11" s="199"/>
      <c r="E11" s="200" t="s">
        <v>114</v>
      </c>
      <c r="F11" s="201"/>
      <c r="G11" s="43" t="s">
        <v>115</v>
      </c>
      <c r="H11" s="42">
        <v>0.75</v>
      </c>
      <c r="I11" s="50"/>
      <c r="J11" s="40"/>
      <c r="K11" s="40"/>
    </row>
    <row r="12" spans="1:11" ht="70.5" customHeight="1" thickBot="1" x14ac:dyDescent="0.3">
      <c r="A12" s="1"/>
      <c r="B12" s="1"/>
      <c r="C12" s="202" t="s">
        <v>21</v>
      </c>
      <c r="D12" s="203"/>
      <c r="E12" s="204" t="s">
        <v>116</v>
      </c>
      <c r="F12" s="205"/>
      <c r="G12" s="44"/>
      <c r="H12" s="42">
        <v>0.25</v>
      </c>
      <c r="I12" s="50"/>
      <c r="J12" s="40"/>
      <c r="K12" s="40"/>
    </row>
    <row r="13" spans="1:11" s="1" customFormat="1" x14ac:dyDescent="0.25"/>
    <row r="14" spans="1:11" s="1" customFormat="1" x14ac:dyDescent="0.25"/>
    <row r="15" spans="1:11" s="1" customFormat="1" x14ac:dyDescent="0.25"/>
    <row r="16" spans="1:11" s="1" customFormat="1" ht="15.75" thickBot="1" x14ac:dyDescent="0.3"/>
    <row r="17" spans="1:10" x14ac:dyDescent="0.25">
      <c r="A17" s="1"/>
      <c r="B17" s="1"/>
      <c r="C17" s="286" t="s">
        <v>117</v>
      </c>
      <c r="D17" s="288" t="s">
        <v>118</v>
      </c>
      <c r="E17" s="289"/>
      <c r="F17" s="290" t="s">
        <v>119</v>
      </c>
      <c r="G17" s="292" t="s">
        <v>120</v>
      </c>
      <c r="H17" s="38"/>
      <c r="I17" s="281" t="s">
        <v>121</v>
      </c>
      <c r="J17" s="281" t="s">
        <v>122</v>
      </c>
    </row>
    <row r="18" spans="1:10" ht="36" customHeight="1" thickBot="1" x14ac:dyDescent="0.3">
      <c r="A18" s="1"/>
      <c r="B18" s="1"/>
      <c r="C18" s="287"/>
      <c r="D18" s="122" t="s">
        <v>123</v>
      </c>
      <c r="E18" s="123" t="s">
        <v>27</v>
      </c>
      <c r="F18" s="291"/>
      <c r="G18" s="293"/>
      <c r="H18" s="38"/>
      <c r="I18" s="282"/>
      <c r="J18" s="282"/>
    </row>
    <row r="19" spans="1:10" ht="65.25" customHeight="1" x14ac:dyDescent="0.25">
      <c r="A19" s="1"/>
      <c r="B19" s="1"/>
      <c r="C19" s="141">
        <v>1</v>
      </c>
      <c r="D19" s="283" t="s">
        <v>32</v>
      </c>
      <c r="E19" s="124" t="str">
        <f>+IFERROR(INDEX(Hoja1!$E$2:$E$45,MATCH('Análisis Resultados'!C19,Hoja1!$H$2:$H$45,0)),"")</f>
        <v>Un documento tal como un código de ética, integridad u otro que formalice los estándares de conducta, los principios institucionales o los valores del servicio público</v>
      </c>
      <c r="F19" s="125" t="str">
        <f>+IFERROR(VLOOKUP(C19,Hoja1!$H$2:$I$45,2,0),"")</f>
        <v>No</v>
      </c>
      <c r="G19" s="126" t="str">
        <f>+IF(F19="Si","Existe requerimiento pero se requiere actividades  dirigidas a su mantenimiento dentro del marco de las lineas de defensa.",IF(F19="En proceso","Se encuentra en proceso, pero requiere continuar con acciones dirigidas a contar con dicho aspecto de control.","No se encuentra el aspecto  por lo tanto la entidad debera generar acciones dirigidas a que se cumpla con el requerimiento."))</f>
        <v>No se encuentra el aspecto  por lo tanto la entidad debera generar acciones dirigidas a que se cumpla con el requerimiento.</v>
      </c>
      <c r="H19" s="18"/>
      <c r="I19" s="142">
        <f>+IF(F19="Si",1,IF(F19="En proceso",0.5,0))</f>
        <v>0</v>
      </c>
      <c r="J19" s="265">
        <f>+AVERAGE(I19:I30)</f>
        <v>0.625</v>
      </c>
    </row>
    <row r="20" spans="1:10" ht="45" x14ac:dyDescent="0.25">
      <c r="A20" s="1"/>
      <c r="B20" s="1"/>
      <c r="C20" s="141">
        <v>2</v>
      </c>
      <c r="D20" s="284"/>
      <c r="E20" s="127" t="str">
        <f>+IFERROR(INDEX(Hoja1!$E$2:$E$45,MATCH('Análisis Resultados'!C20,Hoja1!$H$2:$H$45,0)),"")</f>
        <v>Procesos de inducción, capacitación y bienestar social para sus servidores públicos, de manera directa o en asociación con otras entidades municipales</v>
      </c>
      <c r="F20" s="128" t="str">
        <f>+IFERROR(VLOOKUP(C20,Hoja1!$H$2:$I$45,2,0),"")</f>
        <v>No</v>
      </c>
      <c r="G20" s="129" t="str">
        <f t="shared" ref="G20:G62" si="0">+IF(F20="Si","Existe requerimiento pero se requiere actividades  dirigidas a su mantenimiento dentro del marco de las lineas de defensa.",IF(F20="En proceso","Se encuentra en proceso, pero requiere continuar con acciones dirigidas a contar con dicho aspecto de control.","No se encuentra el aspecto  por lo tanto la entidad debera generar acciones dirigidas a que se cumpla con el requerimiento."))</f>
        <v>No se encuentra el aspecto  por lo tanto la entidad debera generar acciones dirigidas a que se cumpla con el requerimiento.</v>
      </c>
      <c r="H20" s="18"/>
      <c r="I20" s="143">
        <f t="shared" ref="I20:I62" si="1">+IF(F20="Si",1,IF(F20="En proceso",0.5,0))</f>
        <v>0</v>
      </c>
      <c r="J20" s="266"/>
    </row>
    <row r="21" spans="1:10" ht="45" x14ac:dyDescent="0.25">
      <c r="A21" s="1"/>
      <c r="B21" s="1"/>
      <c r="C21" s="141">
        <v>3</v>
      </c>
      <c r="D21" s="284"/>
      <c r="E21" s="127" t="str">
        <f>+IFERROR(INDEX(Hoja1!$E$2:$E$45,MATCH('Análisis Resultados'!C21,Hoja1!$H$2:$H$45,0)),"")</f>
        <v>Evaluación a los servidores públicos de acuerdo con el marco normativo que le rige</v>
      </c>
      <c r="F21" s="128" t="str">
        <f>+IFERROR(VLOOKUP(C21,Hoja1!$H$2:$I$45,2,0),"")</f>
        <v>No</v>
      </c>
      <c r="G21" s="129" t="str">
        <f t="shared" si="0"/>
        <v>No se encuentra el aspecto  por lo tanto la entidad debera generar acciones dirigidas a que se cumpla con el requerimiento.</v>
      </c>
      <c r="H21" s="18"/>
      <c r="I21" s="143">
        <f t="shared" si="1"/>
        <v>0</v>
      </c>
      <c r="J21" s="266"/>
    </row>
    <row r="22" spans="1:10" ht="56.25" customHeight="1" x14ac:dyDescent="0.25">
      <c r="A22" s="1"/>
      <c r="B22" s="1"/>
      <c r="C22" s="141">
        <v>4</v>
      </c>
      <c r="D22" s="284"/>
      <c r="E22" s="127" t="str">
        <f>+IFERROR(INDEX(Hoja1!$E$2:$E$45,MATCH('Análisis Resultados'!C22,Hoja1!$H$2:$H$45,0)),"")</f>
        <v>Documento interno o adopción del MECI actualizado</v>
      </c>
      <c r="F22" s="128" t="str">
        <f>+IFERROR(VLOOKUP(C22,Hoja1!$H$2:$I$45,2,0),"")</f>
        <v>En proceso</v>
      </c>
      <c r="G22" s="129" t="str">
        <f t="shared" si="0"/>
        <v>Se encuentra en proceso, pero requiere continuar con acciones dirigidas a contar con dicho aspecto de control.</v>
      </c>
      <c r="H22" s="18"/>
      <c r="I22" s="143">
        <f t="shared" si="1"/>
        <v>0.5</v>
      </c>
      <c r="J22" s="266"/>
    </row>
    <row r="23" spans="1:10" ht="45" x14ac:dyDescent="0.25">
      <c r="A23" s="1"/>
      <c r="B23" s="1"/>
      <c r="C23" s="141">
        <v>5</v>
      </c>
      <c r="D23" s="284"/>
      <c r="E23" s="127" t="str">
        <f>+IFERROR(INDEX(Hoja1!$E$2:$E$45,MATCH('Análisis Resultados'!C23,Hoja1!$H$2:$H$45,0)),"")</f>
        <v>Planes, programas y proyectos de acuerdo con las normas que rigen y atendiendo con su propósito fundamental institucional (misión)</v>
      </c>
      <c r="F23" s="128" t="str">
        <f>+IFERROR(VLOOKUP(C23,Hoja1!$H$2:$I$45,2,0),"")</f>
        <v>En proceso</v>
      </c>
      <c r="G23" s="129" t="str">
        <f t="shared" si="0"/>
        <v>Se encuentra en proceso, pero requiere continuar con acciones dirigidas a contar con dicho aspecto de control.</v>
      </c>
      <c r="H23" s="18"/>
      <c r="I23" s="143">
        <f t="shared" si="1"/>
        <v>0.5</v>
      </c>
      <c r="J23" s="266"/>
    </row>
    <row r="24" spans="1:10" ht="33.75" x14ac:dyDescent="0.25">
      <c r="A24" s="1"/>
      <c r="B24" s="1"/>
      <c r="C24" s="141">
        <v>6</v>
      </c>
      <c r="D24" s="284"/>
      <c r="E24" s="127" t="str">
        <f>+IFERROR(INDEX(Hoja1!$E$2:$E$45,MATCH('Análisis Resultados'!C24,Hoja1!$H$2:$H$45,0)),"")</f>
        <v>La documentación de sus procesos y procedimientos o bien una lista de actividades principales que permitan conocer el estado de su gestión</v>
      </c>
      <c r="F24" s="128" t="str">
        <f>+IFERROR(VLOOKUP(C24,Hoja1!$H$2:$I$45,2,0),"")</f>
        <v>En proceso</v>
      </c>
      <c r="G24" s="129" t="str">
        <f t="shared" si="0"/>
        <v>Se encuentra en proceso, pero requiere continuar con acciones dirigidas a contar con dicho aspecto de control.</v>
      </c>
      <c r="H24" s="18"/>
      <c r="I24" s="143">
        <f t="shared" si="1"/>
        <v>0.5</v>
      </c>
      <c r="J24" s="266"/>
    </row>
    <row r="25" spans="1:10" ht="42.75" x14ac:dyDescent="0.25">
      <c r="A25" s="1"/>
      <c r="B25" s="1"/>
      <c r="C25" s="141">
        <v>7</v>
      </c>
      <c r="D25" s="284"/>
      <c r="E25" s="127" t="str">
        <f>+IFERROR(INDEX(Hoja1!$E$2:$E$45,MATCH('Análisis Resultados'!C25,Hoja1!$H$2:$H$45,0)),"")</f>
        <v>Una estructura organizacional formalizada (organigrama)</v>
      </c>
      <c r="F25" s="128" t="str">
        <f>+IFERROR(VLOOKUP(C25,Hoja1!$H$2:$I$45,2,0),"")</f>
        <v>Si</v>
      </c>
      <c r="G25" s="129" t="str">
        <f t="shared" si="0"/>
        <v>Existe requerimiento pero se requiere actividades  dirigidas a su mantenimiento dentro del marco de las lineas de defensa.</v>
      </c>
      <c r="H25" s="18"/>
      <c r="I25" s="143">
        <f t="shared" si="1"/>
        <v>1</v>
      </c>
      <c r="J25" s="266"/>
    </row>
    <row r="26" spans="1:10" ht="45" x14ac:dyDescent="0.25">
      <c r="A26" s="1"/>
      <c r="B26" s="1"/>
      <c r="C26" s="141">
        <v>8</v>
      </c>
      <c r="D26" s="284"/>
      <c r="E26" s="127" t="str">
        <f>+IFERROR(INDEX(Hoja1!$E$2:$E$45,MATCH('Análisis Resultados'!C26,Hoja1!$H$2:$H$45,0)),"")</f>
        <v>Un manual de funciones que describa los empleos de la entidad</v>
      </c>
      <c r="F26" s="128" t="str">
        <f>+IFERROR(VLOOKUP(C26,Hoja1!$H$2:$I$45,2,0),"")</f>
        <v>Si</v>
      </c>
      <c r="G26" s="129" t="str">
        <f t="shared" si="0"/>
        <v>Existe requerimiento pero se requiere actividades  dirigidas a su mantenimiento dentro del marco de las lineas de defensa.</v>
      </c>
      <c r="H26" s="18"/>
      <c r="I26" s="143">
        <f t="shared" si="1"/>
        <v>1</v>
      </c>
      <c r="J26" s="266"/>
    </row>
    <row r="27" spans="1:10" ht="45" x14ac:dyDescent="0.25">
      <c r="A27" s="1"/>
      <c r="B27" s="1"/>
      <c r="C27" s="141">
        <v>9</v>
      </c>
      <c r="D27" s="284"/>
      <c r="E27" s="127" t="str">
        <f>+IFERROR(INDEX(Hoja1!$E$2:$E$45,MATCH('Análisis Resultados'!C27,Hoja1!$H$2:$H$45,0)),"")</f>
        <v>Vinculación de los servidores públicos de acuerdo con el marco normativo que les rige (carrera administrativa, libre nombramiento y remoción, entre otros)</v>
      </c>
      <c r="F27" s="128" t="str">
        <f>+IFERROR(VLOOKUP(C27,Hoja1!$H$2:$I$45,2,0),"")</f>
        <v>Si</v>
      </c>
      <c r="G27" s="129" t="str">
        <f t="shared" si="0"/>
        <v>Existe requerimiento pero se requiere actividades  dirigidas a su mantenimiento dentro del marco de las lineas de defensa.</v>
      </c>
      <c r="H27" s="18"/>
      <c r="I27" s="143">
        <f t="shared" si="1"/>
        <v>1</v>
      </c>
      <c r="J27" s="266"/>
    </row>
    <row r="28" spans="1:10" ht="45" x14ac:dyDescent="0.25">
      <c r="A28" s="1"/>
      <c r="B28" s="1"/>
      <c r="C28" s="141">
        <v>10</v>
      </c>
      <c r="D28" s="284"/>
      <c r="E28" s="127" t="str">
        <f>+IFERROR(INDEX(Hoja1!$E$2:$E$45,MATCH('Análisis Resultados'!C28,Hoja1!$H$2:$H$45,0)),"")</f>
        <v>Procesos de desvinculación de servidores de acuerdo con lo previsto en la Constitución Política y las leyes</v>
      </c>
      <c r="F28" s="128" t="str">
        <f>+IFERROR(VLOOKUP(C28,Hoja1!$H$2:$I$45,2,0),"")</f>
        <v>Si</v>
      </c>
      <c r="G28" s="129" t="str">
        <f t="shared" si="0"/>
        <v>Existe requerimiento pero se requiere actividades  dirigidas a su mantenimiento dentro del marco de las lineas de defensa.</v>
      </c>
      <c r="H28" s="18"/>
      <c r="I28" s="143">
        <f t="shared" si="1"/>
        <v>1</v>
      </c>
      <c r="J28" s="266"/>
    </row>
    <row r="29" spans="1:10" ht="45" x14ac:dyDescent="0.25">
      <c r="A29" s="1"/>
      <c r="B29" s="1"/>
      <c r="C29" s="141">
        <v>11</v>
      </c>
      <c r="D29" s="284"/>
      <c r="E29" s="127" t="str">
        <f>+IFERROR(INDEX(Hoja1!$E$2:$E$45,MATCH('Análisis Resultados'!C29,Hoja1!$H$2:$H$45,0)),"")</f>
        <v>Mecanismos de rendición de cuentas a la ciudadanía</v>
      </c>
      <c r="F29" s="128" t="str">
        <f>+IFERROR(VLOOKUP(C29,Hoja1!$H$2:$I$45,2,0),"")</f>
        <v>Si</v>
      </c>
      <c r="G29" s="129" t="str">
        <f>+IF(F29="Si","Existe requerimiento pero se requiere actividades  dirigidas a su mantenimiento dentro del marco de las lineas de defensa.",IF(F29="En proceso","Se encuentra en proceso, pero requiere continuar con acciones dirigidas a contar con dicho aspecto de control.","No se encuentra el aspecto  por lo tanto la entidad debera generar acciones dirigidas a que se cumpla con el requerimiento."))</f>
        <v>Existe requerimiento pero se requiere actividades  dirigidas a su mantenimiento dentro del marco de las lineas de defensa.</v>
      </c>
      <c r="H29" s="18"/>
      <c r="I29" s="143">
        <f t="shared" si="1"/>
        <v>1</v>
      </c>
      <c r="J29" s="266"/>
    </row>
    <row r="30" spans="1:10" ht="45.75" thickBot="1" x14ac:dyDescent="0.3">
      <c r="A30" s="1"/>
      <c r="B30" s="1"/>
      <c r="C30" s="141">
        <v>12</v>
      </c>
      <c r="D30" s="285"/>
      <c r="E30" s="130" t="str">
        <f>+IFERROR(INDEX(Hoja1!$E$2:$E$45,MATCH('Análisis Resultados'!C30,Hoja1!$H$2:$H$45,0)),"")</f>
        <v>Presentación oportuna de sus informes de gestión a las autoridades competentes</v>
      </c>
      <c r="F30" s="131" t="str">
        <f>+IFERROR(VLOOKUP(C30,Hoja1!$H$2:$I$45,2,0),"")</f>
        <v>Si</v>
      </c>
      <c r="G30" s="132" t="str">
        <f t="shared" si="0"/>
        <v>Existe requerimiento pero se requiere actividades  dirigidas a su mantenimiento dentro del marco de las lineas de defensa.</v>
      </c>
      <c r="H30" s="18"/>
      <c r="I30" s="144">
        <f t="shared" si="1"/>
        <v>1</v>
      </c>
      <c r="J30" s="267"/>
    </row>
    <row r="31" spans="1:10" ht="45" customHeight="1" x14ac:dyDescent="0.25">
      <c r="A31" s="1"/>
      <c r="B31" s="1"/>
      <c r="C31" s="141">
        <v>13</v>
      </c>
      <c r="D31" s="279" t="s">
        <v>61</v>
      </c>
      <c r="E31" s="124" t="str">
        <f>+IFERROR(INDEX(Hoja1!$E$2:$E$45,MATCH('Análisis Resultados'!C31,Hoja1!$H$2:$H$45,0)),"")</f>
        <v>La identificación de cambios en su entorno que pueden generar consecuencias negativas en su gestión</v>
      </c>
      <c r="F31" s="125" t="str">
        <f>+IFERROR(VLOOKUP(C31,Hoja1!$H$2:$I$45,2,0),"")</f>
        <v>No</v>
      </c>
      <c r="G31" s="126" t="str">
        <f t="shared" si="0"/>
        <v>No se encuentra el aspecto  por lo tanto la entidad debera generar acciones dirigidas a que se cumpla con el requerimiento.</v>
      </c>
      <c r="H31" s="18"/>
      <c r="I31" s="142">
        <f t="shared" si="1"/>
        <v>0</v>
      </c>
      <c r="J31" s="263">
        <f>+AVERAGE(I31:I40)</f>
        <v>0.1</v>
      </c>
    </row>
    <row r="32" spans="1:10" ht="57" customHeight="1" x14ac:dyDescent="0.25">
      <c r="A32" s="1"/>
      <c r="B32" s="1"/>
      <c r="C32" s="141">
        <v>14</v>
      </c>
      <c r="D32" s="280"/>
      <c r="E32" s="127" t="str">
        <f>+IFERROR(INDEX(Hoja1!$E$2:$E$45,MATCH('Análisis Resultados'!C32,Hoja1!$H$2:$H$45,0)),"")</f>
        <v>La identificación de aquellos problemas o aspectos que pueden afectar el cumplimiento de los planes de la entidad y en general su gestión institucional (riesgos)</v>
      </c>
      <c r="F32" s="128" t="str">
        <f>+IFERROR(VLOOKUP(C32,Hoja1!$H$2:$I$45,2,0),"")</f>
        <v>No</v>
      </c>
      <c r="G32" s="129" t="str">
        <f t="shared" si="0"/>
        <v>No se encuentra el aspecto  por lo tanto la entidad debera generar acciones dirigidas a que se cumpla con el requerimiento.</v>
      </c>
      <c r="H32" s="18"/>
      <c r="I32" s="143">
        <f t="shared" si="1"/>
        <v>0</v>
      </c>
      <c r="J32" s="264"/>
    </row>
    <row r="33" spans="1:10" ht="54" customHeight="1" x14ac:dyDescent="0.25">
      <c r="A33" s="1"/>
      <c r="B33" s="1"/>
      <c r="C33" s="141">
        <v>15</v>
      </c>
      <c r="D33" s="280"/>
      <c r="E33" s="127" t="str">
        <f>+IFERROR(INDEX(Hoja1!$E$2:$E$45,MATCH('Análisis Resultados'!C33,Hoja1!$H$2:$H$45,0)),"")</f>
        <v>La identificación  de los riesgos relacionados con posibles actos de corrupción en el ejercicio de sus funciones</v>
      </c>
      <c r="F33" s="128" t="str">
        <f>+IFERROR(VLOOKUP(C33,Hoja1!$H$2:$I$45,2,0),"")</f>
        <v>No</v>
      </c>
      <c r="G33" s="129" t="str">
        <f t="shared" si="0"/>
        <v>No se encuentra el aspecto  por lo tanto la entidad debera generar acciones dirigidas a que se cumpla con el requerimiento.</v>
      </c>
      <c r="H33" s="18"/>
      <c r="I33" s="143">
        <f t="shared" si="1"/>
        <v>0</v>
      </c>
      <c r="J33" s="264"/>
    </row>
    <row r="34" spans="1:10" ht="45" x14ac:dyDescent="0.25">
      <c r="A34" s="1"/>
      <c r="B34" s="1"/>
      <c r="C34" s="141">
        <v>16</v>
      </c>
      <c r="D34" s="280"/>
      <c r="E34" s="127" t="str">
        <f>+IFERROR(INDEX(Hoja1!$E$2:$E$45,MATCH('Análisis Resultados'!C34,Hoja1!$H$2:$H$45,0)),"")</f>
        <v>Si su capacidad e infraestructura lo permite, identificación de riesgos asociados a las tecnologías de la información y las comunicaciones</v>
      </c>
      <c r="F34" s="128" t="str">
        <f>+IFERROR(VLOOKUP(C34,Hoja1!$H$2:$I$45,2,0),"")</f>
        <v>No</v>
      </c>
      <c r="G34" s="129" t="str">
        <f t="shared" si="0"/>
        <v>No se encuentra el aspecto  por lo tanto la entidad debera generar acciones dirigidas a que se cumpla con el requerimiento.</v>
      </c>
      <c r="H34" s="18"/>
      <c r="I34" s="143">
        <f t="shared" si="1"/>
        <v>0</v>
      </c>
      <c r="J34" s="264"/>
    </row>
    <row r="35" spans="1:10" ht="67.5" customHeight="1" x14ac:dyDescent="0.25">
      <c r="A35" s="1"/>
      <c r="B35" s="1"/>
      <c r="C35" s="141">
        <v>17</v>
      </c>
      <c r="D35" s="280"/>
      <c r="E35" s="127" t="str">
        <f>+IFERROR(INDEX(Hoja1!$E$2:$E$45,MATCH('Análisis Resultados'!C35,Hoja1!$H$2:$H$45,0)),"")</f>
        <v>Hacen seguimiento a los problemas (riesgos)  que pueden afectar el cumplimiento de sus procesos, programas o proyectos a cargo</v>
      </c>
      <c r="F35" s="128" t="str">
        <f>+IFERROR(VLOOKUP(C35,Hoja1!$H$2:$I$45,2,0),"")</f>
        <v>No</v>
      </c>
      <c r="G35" s="129" t="str">
        <f t="shared" si="0"/>
        <v>No se encuentra el aspecto  por lo tanto la entidad debera generar acciones dirigidas a que se cumpla con el requerimiento.</v>
      </c>
      <c r="H35" s="18"/>
      <c r="I35" s="143">
        <f t="shared" si="1"/>
        <v>0</v>
      </c>
      <c r="J35" s="264"/>
    </row>
    <row r="36" spans="1:10" ht="45" x14ac:dyDescent="0.25">
      <c r="A36" s="1"/>
      <c r="B36" s="1"/>
      <c r="C36" s="141">
        <v>18</v>
      </c>
      <c r="D36" s="280"/>
      <c r="E36" s="127" t="str">
        <f>+IFERROR(INDEX(Hoja1!$E$2:$E$45,MATCH('Análisis Resultados'!C36,Hoja1!$H$2:$H$45,0)),"")</f>
        <v>Informan de manera periódica a quien corresponda sobre el desempeño de las actividades de gestión de riesgos</v>
      </c>
      <c r="F36" s="128" t="str">
        <f>+IFERROR(VLOOKUP(C36,Hoja1!$H$2:$I$45,2,0),"")</f>
        <v>No</v>
      </c>
      <c r="G36" s="129" t="str">
        <f t="shared" si="0"/>
        <v>No se encuentra el aspecto  por lo tanto la entidad debera generar acciones dirigidas a que se cumpla con el requerimiento.</v>
      </c>
      <c r="H36" s="18"/>
      <c r="I36" s="143">
        <f t="shared" si="1"/>
        <v>0</v>
      </c>
      <c r="J36" s="264"/>
    </row>
    <row r="37" spans="1:10" ht="57" customHeight="1" x14ac:dyDescent="0.25">
      <c r="A37" s="1"/>
      <c r="B37" s="1"/>
      <c r="C37" s="141">
        <v>19</v>
      </c>
      <c r="D37" s="280"/>
      <c r="E37" s="127" t="str">
        <f>+IFERROR(INDEX(Hoja1!$E$2:$E$45,MATCH('Análisis Resultados'!C37,Hoja1!$H$2:$H$45,0)),"")</f>
        <v>Identifican deficiencias en las maneras de  controlar los riesgos o problemas en sus procesos, programas o proyectos, y propone los ajustes necesarios</v>
      </c>
      <c r="F37" s="128" t="str">
        <f>+IFERROR(VLOOKUP(C37,Hoja1!$H$2:$I$45,2,0),"")</f>
        <v>No</v>
      </c>
      <c r="G37" s="129" t="str">
        <f t="shared" si="0"/>
        <v>No se encuentra el aspecto  por lo tanto la entidad debera generar acciones dirigidas a que se cumpla con el requerimiento.</v>
      </c>
      <c r="H37" s="18"/>
      <c r="I37" s="143">
        <f t="shared" si="1"/>
        <v>0</v>
      </c>
      <c r="J37" s="264"/>
    </row>
    <row r="38" spans="1:10" ht="45" x14ac:dyDescent="0.25">
      <c r="A38" s="1"/>
      <c r="B38" s="1"/>
      <c r="C38" s="141">
        <v>20</v>
      </c>
      <c r="D38" s="280"/>
      <c r="E38" s="127" t="str">
        <f>+IFERROR(INDEX(Hoja1!$E$2:$E$45,MATCH('Análisis Resultados'!C38,Hoja1!$H$2:$H$45,0)),"")</f>
        <v>Se definen espacios de reunión para conocerlos y proponer acciones para su solución</v>
      </c>
      <c r="F38" s="128" t="str">
        <f>+IFERROR(VLOOKUP(C38,Hoja1!$H$2:$I$45,2,0),"")</f>
        <v>No</v>
      </c>
      <c r="G38" s="129" t="str">
        <f t="shared" si="0"/>
        <v>No se encuentra el aspecto  por lo tanto la entidad debera generar acciones dirigidas a que se cumpla con el requerimiento.</v>
      </c>
      <c r="H38" s="18"/>
      <c r="I38" s="143">
        <f t="shared" si="1"/>
        <v>0</v>
      </c>
      <c r="J38" s="264"/>
    </row>
    <row r="39" spans="1:10" ht="33.75" x14ac:dyDescent="0.25">
      <c r="A39" s="1"/>
      <c r="B39" s="1"/>
      <c r="C39" s="141">
        <v>21</v>
      </c>
      <c r="D39" s="280"/>
      <c r="E39" s="127" t="str">
        <f>+IFERROR(INDEX(Hoja1!$E$2:$E$45,MATCH('Análisis Resultados'!C39,Hoja1!$H$2:$H$45,0)),"")</f>
        <v>Cada líder del equipo autónomamente toma las acciones para solucionarlos.</v>
      </c>
      <c r="F39" s="128" t="str">
        <f>+IFERROR(VLOOKUP(C39,Hoja1!$H$2:$I$45,2,0),"")</f>
        <v>En proceso</v>
      </c>
      <c r="G39" s="129" t="str">
        <f t="shared" si="0"/>
        <v>Se encuentra en proceso, pero requiere continuar con acciones dirigidas a contar con dicho aspecto de control.</v>
      </c>
      <c r="H39" s="18"/>
      <c r="I39" s="143">
        <f t="shared" si="1"/>
        <v>0.5</v>
      </c>
      <c r="J39" s="264"/>
    </row>
    <row r="40" spans="1:10" ht="34.5" thickBot="1" x14ac:dyDescent="0.3">
      <c r="A40" s="1"/>
      <c r="B40" s="1"/>
      <c r="C40" s="141">
        <v>22</v>
      </c>
      <c r="D40" s="280"/>
      <c r="E40" s="133" t="str">
        <f>+IFERROR(INDEX(Hoja1!$E$2:$E$45,MATCH('Análisis Resultados'!C40,Hoja1!$H$2:$H$45,0)),"")</f>
        <v>Solamente hasta que un organismo de control actúa se definen acciones de mejora.</v>
      </c>
      <c r="F40" s="134" t="str">
        <f>+IFERROR(VLOOKUP(C40,Hoja1!$H$2:$I$45,2,0),"")</f>
        <v>En proceso</v>
      </c>
      <c r="G40" s="135" t="str">
        <f t="shared" si="0"/>
        <v>Se encuentra en proceso, pero requiere continuar con acciones dirigidas a contar con dicho aspecto de control.</v>
      </c>
      <c r="H40" s="18"/>
      <c r="I40" s="145">
        <f t="shared" si="1"/>
        <v>0.5</v>
      </c>
      <c r="J40" s="264"/>
    </row>
    <row r="41" spans="1:10" ht="87.75" customHeight="1" x14ac:dyDescent="0.25">
      <c r="A41" s="1"/>
      <c r="B41" s="1"/>
      <c r="C41" s="141">
        <v>23</v>
      </c>
      <c r="D41" s="275" t="s">
        <v>79</v>
      </c>
      <c r="E41" s="124" t="str">
        <f>+IFERROR(INDEX(Hoja1!$E$2:$E$45,MATCH('Análisis Resultados'!C41,Hoja1!$H$2:$H$45,0)),"")</f>
        <v>Planes, acciones o estrategias que permitan subsanar las consecuencias de la materialización de los riesgos, cuando se presentan</v>
      </c>
      <c r="F41" s="125" t="str">
        <f>+IFERROR(VLOOKUP(C41,Hoja1!$H$2:$I$45,2,0),"")</f>
        <v>No</v>
      </c>
      <c r="G41" s="126" t="str">
        <f t="shared" si="0"/>
        <v>No se encuentra el aspecto  por lo tanto la entidad debera generar acciones dirigidas a que se cumpla con el requerimiento.</v>
      </c>
      <c r="H41" s="18"/>
      <c r="I41" s="142">
        <f t="shared" si="1"/>
        <v>0</v>
      </c>
      <c r="J41" s="263">
        <f>+AVERAGE(I41:I45)</f>
        <v>0.6</v>
      </c>
    </row>
    <row r="42" spans="1:10" ht="57" x14ac:dyDescent="0.25">
      <c r="A42" s="1"/>
      <c r="B42" s="1"/>
      <c r="C42" s="141">
        <v>24</v>
      </c>
      <c r="D42" s="276"/>
      <c r="E42" s="127" t="str">
        <f>+IFERROR(INDEX(Hoja1!$E$2:$E$45,MATCH('Análisis Resultados'!C42,Hoja1!$H$2:$H$45,0)),"")</f>
        <v>La definición de acciones o actividades para para dar tratamiento a los problemas identificados (mitigación de riesgos), incluyendo aquellos asociados a posibles actos de corrupción</v>
      </c>
      <c r="F42" s="128" t="str">
        <f>+IFERROR(VLOOKUP(C42,Hoja1!$H$2:$I$45,2,0),"")</f>
        <v>En proceso</v>
      </c>
      <c r="G42" s="129" t="str">
        <f t="shared" si="0"/>
        <v>Se encuentra en proceso, pero requiere continuar con acciones dirigidas a contar con dicho aspecto de control.</v>
      </c>
      <c r="H42" s="18"/>
      <c r="I42" s="143">
        <f t="shared" si="1"/>
        <v>0.5</v>
      </c>
      <c r="J42" s="264"/>
    </row>
    <row r="43" spans="1:10" ht="85.5" customHeight="1" x14ac:dyDescent="0.25">
      <c r="A43" s="1"/>
      <c r="B43" s="1"/>
      <c r="C43" s="141">
        <v>25</v>
      </c>
      <c r="D43" s="276"/>
      <c r="E43" s="127" t="str">
        <f>+IFERROR(INDEX(Hoja1!$E$2:$E$45,MATCH('Análisis Resultados'!C43,Hoja1!$H$2:$H$45,0)),"")</f>
        <v>Mecanismos de verificación de si se están o no mitigando los riesgos, o en su defecto, elaboración de planes de contingencia para subsanar sus consecuencias</v>
      </c>
      <c r="F43" s="128" t="str">
        <f>+IFERROR(VLOOKUP(C43,Hoja1!$H$2:$I$45,2,0),"")</f>
        <v>En proceso</v>
      </c>
      <c r="G43" s="129" t="str">
        <f t="shared" si="0"/>
        <v>Se encuentra en proceso, pero requiere continuar con acciones dirigidas a contar con dicho aspecto de control.</v>
      </c>
      <c r="H43" s="18"/>
      <c r="I43" s="143">
        <f t="shared" si="1"/>
        <v>0.5</v>
      </c>
      <c r="J43" s="264"/>
    </row>
    <row r="44" spans="1:10" ht="57" customHeight="1" x14ac:dyDescent="0.25">
      <c r="A44" s="1"/>
      <c r="B44" s="1"/>
      <c r="C44" s="141">
        <v>26</v>
      </c>
      <c r="D44" s="276"/>
      <c r="E44" s="127" t="str">
        <f>+IFERROR(INDEX(Hoja1!$E$2:$E$45,MATCH('Análisis Resultados'!C44,Hoja1!$H$2:$H$45,0)),"")</f>
        <v>Un documento que consolide  los riesgos  y el tratamiento que se les da, incluyendo aquellos que conllevan posibles actos de corrupción y si la capacidad e infraestructura lo permite, los asociados con las tecnologías de la información y las comunicaciones</v>
      </c>
      <c r="F44" s="128" t="str">
        <f>+IFERROR(VLOOKUP(C44,Hoja1!$H$2:$I$45,2,0),"")</f>
        <v>Si</v>
      </c>
      <c r="G44" s="129" t="str">
        <f t="shared" si="0"/>
        <v>Existe requerimiento pero se requiere actividades  dirigidas a su mantenimiento dentro del marco de las lineas de defensa.</v>
      </c>
      <c r="H44" s="18"/>
      <c r="I44" s="143">
        <f t="shared" si="1"/>
        <v>1</v>
      </c>
      <c r="J44" s="264"/>
    </row>
    <row r="45" spans="1:10" ht="57" customHeight="1" thickBot="1" x14ac:dyDescent="0.3">
      <c r="A45" s="1"/>
      <c r="B45" s="1"/>
      <c r="C45" s="141">
        <v>27</v>
      </c>
      <c r="D45" s="277"/>
      <c r="E45" s="130" t="str">
        <f>+IFERROR(INDEX(Hoja1!$E$2:$E$45,MATCH('Análisis Resultados'!C45,Hoja1!$H$2:$H$45,0)),"")</f>
        <v>Un plan anticorrupción y de servicio al ciudadano con los temas que le aplican, publicado en algún medio para conocimiento de la ciudadanía</v>
      </c>
      <c r="F45" s="131" t="str">
        <f>+IFERROR(VLOOKUP(C45,Hoja1!$H$2:$I$45,2,0),"")</f>
        <v>Si</v>
      </c>
      <c r="G45" s="132" t="str">
        <f t="shared" si="0"/>
        <v>Existe requerimiento pero se requiere actividades  dirigidas a su mantenimiento dentro del marco de las lineas de defensa.</v>
      </c>
      <c r="H45" s="18"/>
      <c r="I45" s="144">
        <f t="shared" si="1"/>
        <v>1</v>
      </c>
      <c r="J45" s="278"/>
    </row>
    <row r="46" spans="1:10" ht="63.75" customHeight="1" x14ac:dyDescent="0.25">
      <c r="A46" s="1"/>
      <c r="B46" s="1"/>
      <c r="C46" s="141">
        <v>28</v>
      </c>
      <c r="D46" s="274" t="s">
        <v>87</v>
      </c>
      <c r="E46" s="136" t="str">
        <f>+IFERROR(INDEX(Hoja1!$E$2:$E$45,MATCH('Análisis Resultados'!C46,Hoja1!$H$2:$H$45,0)),"")</f>
        <v xml:space="preserve">Lineamientos para dar tratamiento a la información de carácter reservado </v>
      </c>
      <c r="F46" s="137" t="str">
        <f>+IFERROR(VLOOKUP(C46,Hoja1!$H$2:$I$45,2,0),"")</f>
        <v>No</v>
      </c>
      <c r="G46" s="138" t="str">
        <f t="shared" si="0"/>
        <v>No se encuentra el aspecto  por lo tanto la entidad debera generar acciones dirigidas a que se cumpla con el requerimiento.</v>
      </c>
      <c r="H46" s="18"/>
      <c r="I46" s="146">
        <f t="shared" si="1"/>
        <v>0</v>
      </c>
      <c r="J46" s="264">
        <f>+AVERAGE(I46:I52)</f>
        <v>0.35714285714285715</v>
      </c>
    </row>
    <row r="47" spans="1:10" ht="92.25" customHeight="1" x14ac:dyDescent="0.25">
      <c r="A47" s="1"/>
      <c r="B47" s="1"/>
      <c r="C47" s="141">
        <v>29</v>
      </c>
      <c r="D47" s="274"/>
      <c r="E47" s="127" t="str">
        <f>+IFERROR(INDEX(Hoja1!$E$2:$E$45,MATCH('Análisis Resultados'!C47,Hoja1!$H$2:$H$45,0)),"")</f>
        <v>Identificación de información que produce en el marco de su gestión (Para los ciudadanos, organismos de control, organismos gubernamentales, entre otros)</v>
      </c>
      <c r="F47" s="128" t="str">
        <f>+IFERROR(VLOOKUP(C47,Hoja1!$H$2:$I$45,2,0),"")</f>
        <v>No</v>
      </c>
      <c r="G47" s="139" t="str">
        <f t="shared" si="0"/>
        <v>No se encuentra el aspecto  por lo tanto la entidad debera generar acciones dirigidas a que se cumpla con el requerimiento.</v>
      </c>
      <c r="H47" s="18"/>
      <c r="I47" s="147">
        <f t="shared" si="1"/>
        <v>0</v>
      </c>
      <c r="J47" s="264"/>
    </row>
    <row r="48" spans="1:10" ht="66.75" customHeight="1" x14ac:dyDescent="0.25">
      <c r="A48" s="1"/>
      <c r="B48" s="1"/>
      <c r="C48" s="141">
        <v>30</v>
      </c>
      <c r="D48" s="274"/>
      <c r="E48" s="127" t="str">
        <f>+IFERROR(INDEX(Hoja1!$E$2:$E$45,MATCH('Análisis Resultados'!C48,Hoja1!$H$2:$H$45,0)),"")</f>
        <v>Identificación de información necesaria para la operación de la entidad (normograma, presupuesto, talento humano, infraestructura física y tecnológica)</v>
      </c>
      <c r="F48" s="128" t="str">
        <f>+IFERROR(VLOOKUP(C48,Hoja1!$H$2:$I$45,2,0),"")</f>
        <v>No</v>
      </c>
      <c r="G48" s="139" t="str">
        <f t="shared" si="0"/>
        <v>No se encuentra el aspecto  por lo tanto la entidad debera generar acciones dirigidas a que se cumpla con el requerimiento.</v>
      </c>
      <c r="H48" s="18"/>
      <c r="I48" s="147">
        <f t="shared" si="1"/>
        <v>0</v>
      </c>
      <c r="J48" s="264"/>
    </row>
    <row r="49" spans="1:10" ht="60" customHeight="1" x14ac:dyDescent="0.25">
      <c r="A49" s="1"/>
      <c r="B49" s="1"/>
      <c r="C49" s="141">
        <v>31</v>
      </c>
      <c r="D49" s="274"/>
      <c r="E49" s="127" t="str">
        <f>+IFERROR(INDEX(Hoja1!$E$2:$E$45,MATCH('Análisis Resultados'!C49,Hoja1!$H$2:$H$45,0)),"")</f>
        <v>Si su capacidad e infraestructura lo permite, tecnologías de la información y las comunicaciones que soporten estos procesos</v>
      </c>
      <c r="F49" s="128" t="str">
        <f>+IFERROR(VLOOKUP(C49,Hoja1!$H$2:$I$45,2,0),"")</f>
        <v>No</v>
      </c>
      <c r="G49" s="139" t="str">
        <f t="shared" si="0"/>
        <v>No se encuentra el aspecto  por lo tanto la entidad debera generar acciones dirigidas a que se cumpla con el requerimiento.</v>
      </c>
      <c r="H49" s="18"/>
      <c r="I49" s="147">
        <f t="shared" si="1"/>
        <v>0</v>
      </c>
      <c r="J49" s="264"/>
    </row>
    <row r="50" spans="1:10" ht="57" customHeight="1" x14ac:dyDescent="0.25">
      <c r="A50" s="1"/>
      <c r="B50" s="1"/>
      <c r="C50" s="141">
        <v>32</v>
      </c>
      <c r="D50" s="274"/>
      <c r="E50" s="127" t="str">
        <f>+IFERROR(INDEX(Hoja1!$E$2:$E$45,MATCH('Análisis Resultados'!C50,Hoja1!$H$2:$H$45,0)),"")</f>
        <v>Canales de comunicación o mecanismos de reporte de información a otros organismos gubernamentales o de control</v>
      </c>
      <c r="F50" s="128" t="str">
        <f>+IFERROR(VLOOKUP(C50,Hoja1!$H$2:$I$45,2,0),"")</f>
        <v>En proceso</v>
      </c>
      <c r="G50" s="139" t="str">
        <f t="shared" si="0"/>
        <v>Se encuentra en proceso, pero requiere continuar con acciones dirigidas a contar con dicho aspecto de control.</v>
      </c>
      <c r="H50" s="18"/>
      <c r="I50" s="147">
        <f t="shared" si="1"/>
        <v>0.5</v>
      </c>
      <c r="J50" s="264"/>
    </row>
    <row r="51" spans="1:10" ht="57" customHeight="1" x14ac:dyDescent="0.25">
      <c r="A51" s="1"/>
      <c r="B51" s="1"/>
      <c r="C51" s="141">
        <v>33</v>
      </c>
      <c r="D51" s="274"/>
      <c r="E51" s="127" t="str">
        <f>+IFERROR(INDEX(Hoja1!$E$2:$E$45,MATCH('Análisis Resultados'!C51,Hoja1!$H$2:$H$45,0)),"")</f>
        <v>Responsables de la información institucional</v>
      </c>
      <c r="F51" s="128" t="str">
        <f>+IFERROR(VLOOKUP(C51,Hoja1!$H$2:$I$45,2,0),"")</f>
        <v>Si</v>
      </c>
      <c r="G51" s="139" t="str">
        <f t="shared" si="0"/>
        <v>Existe requerimiento pero se requiere actividades  dirigidas a su mantenimiento dentro del marco de las lineas de defensa.</v>
      </c>
      <c r="H51" s="18"/>
      <c r="I51" s="147">
        <f t="shared" si="1"/>
        <v>1</v>
      </c>
      <c r="J51" s="264"/>
    </row>
    <row r="52" spans="1:10" ht="45.75" thickBot="1" x14ac:dyDescent="0.3">
      <c r="A52" s="1"/>
      <c r="B52" s="1"/>
      <c r="C52" s="141">
        <v>34</v>
      </c>
      <c r="D52" s="274"/>
      <c r="E52" s="133" t="str">
        <f>+IFERROR(INDEX(Hoja1!$E$2:$E$45,MATCH('Análisis Resultados'!C52,Hoja1!$H$2:$H$45,0)),"")</f>
        <v>Canales de comunicación con los ciudadanos</v>
      </c>
      <c r="F52" s="134" t="str">
        <f>+IFERROR(VLOOKUP(C52,Hoja1!$H$2:$I$45,2,0),"")</f>
        <v>Si</v>
      </c>
      <c r="G52" s="140" t="str">
        <f t="shared" si="0"/>
        <v>Existe requerimiento pero se requiere actividades  dirigidas a su mantenimiento dentro del marco de las lineas de defensa.</v>
      </c>
      <c r="H52" s="18"/>
      <c r="I52" s="148">
        <f t="shared" si="1"/>
        <v>1</v>
      </c>
      <c r="J52" s="264"/>
    </row>
    <row r="53" spans="1:10" ht="41.25" customHeight="1" x14ac:dyDescent="0.25">
      <c r="A53" s="1"/>
      <c r="B53" s="1"/>
      <c r="C53" s="141">
        <v>35</v>
      </c>
      <c r="D53" s="268" t="s">
        <v>97</v>
      </c>
      <c r="E53" s="124" t="str">
        <f>+IFERROR(INDEX(Hoja1!$E$2:$E$45,MATCH('Análisis Resultados'!C53,Hoja1!$H$2:$H$45,0)),"")</f>
        <v>Mecanismos de evaluación de la gestión (cronogramas, indicadores, listas de chequeo u otros)</v>
      </c>
      <c r="F53" s="125" t="str">
        <f>+IFERROR(VLOOKUP(C53,Hoja1!$H$2:$I$45,2,0),"")</f>
        <v>No</v>
      </c>
      <c r="G53" s="126" t="str">
        <f t="shared" si="0"/>
        <v>No se encuentra el aspecto  por lo tanto la entidad debera generar acciones dirigidas a que se cumpla con el requerimiento.</v>
      </c>
      <c r="H53" s="18"/>
      <c r="I53" s="142">
        <f t="shared" si="1"/>
        <v>0</v>
      </c>
      <c r="J53" s="271">
        <f>+AVERAGE(I53:I62)</f>
        <v>0.4</v>
      </c>
    </row>
    <row r="54" spans="1:10" ht="58.5" customHeight="1" x14ac:dyDescent="0.25">
      <c r="A54" s="1"/>
      <c r="B54" s="1"/>
      <c r="C54" s="141">
        <v>36</v>
      </c>
      <c r="D54" s="269"/>
      <c r="E54" s="127" t="str">
        <f>+IFERROR(INDEX(Hoja1!$E$2:$E$45,MATCH('Análisis Resultados'!C54,Hoja1!$H$2:$H$45,0)),"")</f>
        <v>Medidas correctivas en caso de detectarse deficiencias en los ejercicios de evaluación, seguimiento o auditoría</v>
      </c>
      <c r="F54" s="128" t="str">
        <f>+IFERROR(VLOOKUP(C54,Hoja1!$H$2:$I$45,2,0),"")</f>
        <v>No</v>
      </c>
      <c r="G54" s="129" t="str">
        <f t="shared" si="0"/>
        <v>No se encuentra el aspecto  por lo tanto la entidad debera generar acciones dirigidas a que se cumpla con el requerimiento.</v>
      </c>
      <c r="H54" s="18"/>
      <c r="I54" s="143">
        <f t="shared" si="1"/>
        <v>0</v>
      </c>
      <c r="J54" s="272"/>
    </row>
    <row r="55" spans="1:10" s="1" customFormat="1" ht="84.75" customHeight="1" x14ac:dyDescent="0.25">
      <c r="C55" s="141">
        <v>37</v>
      </c>
      <c r="D55" s="269"/>
      <c r="E55" s="127" t="str">
        <f>+IFERROR(INDEX(Hoja1!$E$2:$E$45,MATCH('Análisis Resultados'!C55,Hoja1!$H$2:$H$45,0)),"")</f>
        <v>Seguimiento a los planes de mejoramiento suscritos con instancias de control internas o externas</v>
      </c>
      <c r="F55" s="128" t="str">
        <f>+IFERROR(VLOOKUP(C55,Hoja1!$H$2:$I$45,2,0),"")</f>
        <v>No</v>
      </c>
      <c r="G55" s="129" t="str">
        <f t="shared" si="0"/>
        <v>No se encuentra el aspecto  por lo tanto la entidad debera generar acciones dirigidas a que se cumpla con el requerimiento.</v>
      </c>
      <c r="H55" s="6"/>
      <c r="I55" s="143">
        <f t="shared" si="1"/>
        <v>0</v>
      </c>
      <c r="J55" s="272"/>
    </row>
    <row r="56" spans="1:10" s="1" customFormat="1" ht="78.75" customHeight="1" x14ac:dyDescent="0.25">
      <c r="C56" s="141">
        <v>38</v>
      </c>
      <c r="D56" s="269"/>
      <c r="E56" s="127" t="str">
        <f>+IFERROR(INDEX(Hoja1!$E$2:$E$45,MATCH('Análisis Resultados'!C56,Hoja1!$H$2:$H$45,0)),"")</f>
        <v>Algún mecanismo para monitorear o supervisar el sistema de control interno institucional, ya sea por parte del representante legal, o del área de control interno (si la entidad cuenta con ella), o bien a través del Comité departamental o municipal de Auditoría.</v>
      </c>
      <c r="F56" s="128" t="str">
        <f>+IFERROR(VLOOKUP(C56,Hoja1!$H$2:$I$45,2,0),"")</f>
        <v>En proceso</v>
      </c>
      <c r="G56" s="129" t="str">
        <f t="shared" si="0"/>
        <v>Se encuentra en proceso, pero requiere continuar con acciones dirigidas a contar con dicho aspecto de control.</v>
      </c>
      <c r="H56" s="6"/>
      <c r="I56" s="143">
        <f t="shared" si="1"/>
        <v>0.5</v>
      </c>
      <c r="J56" s="272"/>
    </row>
    <row r="57" spans="1:10" s="1" customFormat="1" ht="54.75" customHeight="1" x14ac:dyDescent="0.25">
      <c r="C57" s="141">
        <v>39</v>
      </c>
      <c r="D57" s="269"/>
      <c r="E57" s="127" t="str">
        <f>+IFERROR(INDEX(Hoja1!$E$2:$E$45,MATCH('Análisis Resultados'!C57,Hoja1!$H$2:$H$45,0)),"")</f>
        <v>Evitar que los problemas (riesgos) obstaculicen el cumplimiento de los objetivos.</v>
      </c>
      <c r="F57" s="128" t="str">
        <f>+IFERROR(VLOOKUP(C57,Hoja1!$H$2:$I$45,2,0),"")</f>
        <v>En proceso</v>
      </c>
      <c r="G57" s="129" t="str">
        <f t="shared" si="0"/>
        <v>Se encuentra en proceso, pero requiere continuar con acciones dirigidas a contar con dicho aspecto de control.</v>
      </c>
      <c r="H57" s="6"/>
      <c r="I57" s="143">
        <f t="shared" si="1"/>
        <v>0.5</v>
      </c>
      <c r="J57" s="272"/>
    </row>
    <row r="58" spans="1:10" s="1" customFormat="1" ht="68.25" customHeight="1" x14ac:dyDescent="0.25">
      <c r="C58" s="141">
        <v>40</v>
      </c>
      <c r="D58" s="269"/>
      <c r="E58" s="127" t="str">
        <f>+IFERROR(INDEX(Hoja1!$E$2:$E$45,MATCH('Análisis Resultados'!C58,Hoja1!$H$2:$H$45,0)),"")</f>
        <v>Controlar los puntos críticos en los procesos.</v>
      </c>
      <c r="F58" s="128" t="str">
        <f>+IFERROR(VLOOKUP(C58,Hoja1!$H$2:$I$45,2,0),"")</f>
        <v>En proceso</v>
      </c>
      <c r="G58" s="129" t="str">
        <f t="shared" si="0"/>
        <v>Se encuentra en proceso, pero requiere continuar con acciones dirigidas a contar con dicho aspecto de control.</v>
      </c>
      <c r="H58" s="6"/>
      <c r="I58" s="143">
        <f t="shared" si="1"/>
        <v>0.5</v>
      </c>
      <c r="J58" s="272"/>
    </row>
    <row r="59" spans="1:10" s="1" customFormat="1" ht="45" customHeight="1" x14ac:dyDescent="0.25">
      <c r="C59" s="141">
        <v>41</v>
      </c>
      <c r="D59" s="269"/>
      <c r="E59" s="127" t="str">
        <f>+IFERROR(INDEX(Hoja1!$E$2:$E$45,MATCH('Análisis Resultados'!C59,Hoja1!$H$2:$H$45,0)),"")</f>
        <v>Diseñar acciones adecuadas para controlar los problemas que afectan el cumplimiento de las metas y objetivos institucionales (riesgos).</v>
      </c>
      <c r="F59" s="128" t="str">
        <f>+IFERROR(VLOOKUP(C59,Hoja1!$H$2:$I$45,2,0),"")</f>
        <v>En proceso</v>
      </c>
      <c r="G59" s="129" t="str">
        <f t="shared" si="0"/>
        <v>Se encuentra en proceso, pero requiere continuar con acciones dirigidas a contar con dicho aspecto de control.</v>
      </c>
      <c r="H59" s="6"/>
      <c r="I59" s="143">
        <f t="shared" si="1"/>
        <v>0.5</v>
      </c>
      <c r="J59" s="272"/>
    </row>
    <row r="60" spans="1:10" s="1" customFormat="1" ht="51.75" customHeight="1" x14ac:dyDescent="0.25">
      <c r="C60" s="141">
        <v>42</v>
      </c>
      <c r="D60" s="269"/>
      <c r="E60" s="127" t="str">
        <f>+IFERROR(INDEX(Hoja1!$E$2:$E$45,MATCH('Análisis Resultados'!C60,Hoja1!$H$2:$H$45,0)),"")</f>
        <v>Ejecutar las acciones de acuerdo a como se diseñaron previamente.</v>
      </c>
      <c r="F60" s="128" t="str">
        <f>+IFERROR(VLOOKUP(C60,Hoja1!$H$2:$I$45,2,0),"")</f>
        <v>En proceso</v>
      </c>
      <c r="G60" s="129" t="str">
        <f t="shared" si="0"/>
        <v>Se encuentra en proceso, pero requiere continuar con acciones dirigidas a contar con dicho aspecto de control.</v>
      </c>
      <c r="H60" s="6"/>
      <c r="I60" s="143">
        <f t="shared" si="1"/>
        <v>0.5</v>
      </c>
      <c r="J60" s="272"/>
    </row>
    <row r="61" spans="1:10" s="1" customFormat="1" ht="84" customHeight="1" x14ac:dyDescent="0.25">
      <c r="C61" s="141">
        <v>43</v>
      </c>
      <c r="D61" s="269"/>
      <c r="E61" s="127" t="str">
        <f>+IFERROR(INDEX(Hoja1!$E$2:$E$45,MATCH('Análisis Resultados'!C61,Hoja1!$H$2:$H$45,0)),"")</f>
        <v>No se gestionan los problemas que afectan el cumplimiento de las funciones y objetivos institucionales(riesgos).</v>
      </c>
      <c r="F61" s="128" t="str">
        <f>+IFERROR(VLOOKUP(C61,Hoja1!$H$2:$I$45,2,0),"")</f>
        <v>En proceso</v>
      </c>
      <c r="G61" s="129" t="str">
        <f t="shared" si="0"/>
        <v>Se encuentra en proceso, pero requiere continuar con acciones dirigidas a contar con dicho aspecto de control.</v>
      </c>
      <c r="H61" s="6"/>
      <c r="I61" s="143">
        <f t="shared" si="1"/>
        <v>0.5</v>
      </c>
      <c r="J61" s="272"/>
    </row>
    <row r="62" spans="1:10" s="1" customFormat="1" ht="60" customHeight="1" thickBot="1" x14ac:dyDescent="0.3">
      <c r="C62" s="141">
        <v>44</v>
      </c>
      <c r="D62" s="270"/>
      <c r="E62" s="130" t="str">
        <f>+IFERROR(INDEX(Hoja1!$E$2:$E$45,MATCH('Análisis Resultados'!C62,Hoja1!$H$2:$H$45,0)),"")</f>
        <v>La entidad participa en el  Comité Municipal de Auditoría?</v>
      </c>
      <c r="F62" s="131" t="str">
        <f>+IFERROR(VLOOKUP(C62,Hoja1!$H$2:$I$45,2,0),"")</f>
        <v>Si</v>
      </c>
      <c r="G62" s="132" t="str">
        <f t="shared" si="0"/>
        <v>Existe requerimiento pero se requiere actividades  dirigidas a su mantenimiento dentro del marco de las lineas de defensa.</v>
      </c>
      <c r="H62" s="6"/>
      <c r="I62" s="144">
        <f t="shared" si="1"/>
        <v>1</v>
      </c>
      <c r="J62" s="273"/>
    </row>
    <row r="63" spans="1:10" s="1" customFormat="1" x14ac:dyDescent="0.25">
      <c r="H63" s="6"/>
    </row>
    <row r="64" spans="1:10" s="1" customFormat="1" x14ac:dyDescent="0.25">
      <c r="H64" s="6"/>
    </row>
    <row r="65" spans="1:2" s="1" customFormat="1" x14ac:dyDescent="0.25"/>
    <row r="66" spans="1:2" s="1" customFormat="1" x14ac:dyDescent="0.25"/>
    <row r="67" spans="1:2" s="1" customFormat="1" x14ac:dyDescent="0.25"/>
    <row r="68" spans="1:2" s="1" customFormat="1" x14ac:dyDescent="0.25"/>
    <row r="69" spans="1:2" s="1" customFormat="1" x14ac:dyDescent="0.25"/>
    <row r="70" spans="1:2" s="1" customFormat="1" x14ac:dyDescent="0.25"/>
    <row r="71" spans="1:2" x14ac:dyDescent="0.25">
      <c r="A71" s="1"/>
      <c r="B71" s="1"/>
    </row>
    <row r="72" spans="1:2" x14ac:dyDescent="0.25">
      <c r="A72" s="1"/>
      <c r="B72" s="1"/>
    </row>
    <row r="73" spans="1:2" x14ac:dyDescent="0.25">
      <c r="A73" s="1"/>
      <c r="B73" s="1"/>
    </row>
    <row r="74" spans="1:2" x14ac:dyDescent="0.25">
      <c r="A74" s="1"/>
      <c r="B74" s="1"/>
    </row>
  </sheetData>
  <sheetProtection algorithmName="SHA-512" hashValue="2c/K7BVeA+JOjsvnu2HILGfEHHcx80UTyQTucJ5c70tus45UaD3gXdqjB7xLC6LydtmfT9VN5B07LstuhHP+UQ==" saltValue="5+Ylqwr6SZ9tvbSyY2m3gQ==" spinCount="100000" sheet="1" objects="1" scenarios="1" formatCells="0"/>
  <mergeCells count="25">
    <mergeCell ref="C7:K7"/>
    <mergeCell ref="C9:D9"/>
    <mergeCell ref="E9:F9"/>
    <mergeCell ref="C10:D10"/>
    <mergeCell ref="E10:F10"/>
    <mergeCell ref="C11:D11"/>
    <mergeCell ref="E11:F11"/>
    <mergeCell ref="J17:J18"/>
    <mergeCell ref="D19:D30"/>
    <mergeCell ref="C17:C18"/>
    <mergeCell ref="D17:E17"/>
    <mergeCell ref="F17:F18"/>
    <mergeCell ref="G17:G18"/>
    <mergeCell ref="I17:I18"/>
    <mergeCell ref="J31:J40"/>
    <mergeCell ref="C12:D12"/>
    <mergeCell ref="E12:F12"/>
    <mergeCell ref="J19:J30"/>
    <mergeCell ref="D53:D62"/>
    <mergeCell ref="J53:J62"/>
    <mergeCell ref="D46:D52"/>
    <mergeCell ref="J46:J52"/>
    <mergeCell ref="D41:D45"/>
    <mergeCell ref="J41:J45"/>
    <mergeCell ref="D31:D40"/>
  </mergeCells>
  <conditionalFormatting sqref="I19:I62">
    <cfRule type="cellIs" dxfId="19" priority="4" operator="between">
      <formula>0.75</formula>
      <formula>1</formula>
    </cfRule>
    <cfRule type="cellIs" dxfId="18" priority="5" operator="between">
      <formula>0.5</formula>
      <formula>0.74</formula>
    </cfRule>
    <cfRule type="cellIs" dxfId="17" priority="6" operator="between">
      <formula>0</formula>
      <formula>0.49</formula>
    </cfRule>
  </conditionalFormatting>
  <conditionalFormatting sqref="J53 J19:J31 J46 J41">
    <cfRule type="cellIs" priority="1" operator="between">
      <formula>0.75</formula>
      <formula>1</formula>
    </cfRule>
    <cfRule type="cellIs" dxfId="16" priority="2" operator="between">
      <formula>0.5</formula>
      <formula>0.75</formula>
    </cfRule>
    <cfRule type="cellIs" dxfId="15" priority="3" operator="between">
      <formula>0</formula>
      <formula>0.49</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7" operator="containsText" id="{B5EC0094-D2B5-49BB-B6F9-E988382E1263}">
            <xm:f>NOT(ISERROR(SEARCH($E$12,G19)))</xm:f>
            <xm:f>$E$12</xm:f>
            <x14:dxf>
              <fill>
                <patternFill>
                  <bgColor rgb="FFFF0000"/>
                </patternFill>
              </fill>
            </x14:dxf>
          </x14:cfRule>
          <x14:cfRule type="containsText" priority="8" operator="containsText" id="{D802A135-824D-43A0-835B-FE63514274DE}">
            <xm:f>NOT(ISERROR(SEARCH($E$11,G19)))</xm:f>
            <xm:f>$E$11</xm:f>
            <x14:dxf>
              <fill>
                <patternFill>
                  <bgColor rgb="FFFFFF00"/>
                </patternFill>
              </fill>
            </x14:dxf>
          </x14:cfRule>
          <x14:cfRule type="containsText" priority="9" operator="containsText" id="{D7844022-1CB2-4683-9B09-8D3EA8F0FDED}">
            <xm:f>NOT(ISERROR(SEARCH($E$10,G19)))</xm:f>
            <xm:f>$E$10</xm:f>
            <x14:dxf>
              <fill>
                <patternFill>
                  <bgColor rgb="FF00B050"/>
                </patternFill>
              </fill>
            </x14:dxf>
          </x14:cfRule>
          <xm:sqref>G19:G62</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41"/>
  <sheetViews>
    <sheetView tabSelected="1" zoomScale="55" zoomScaleNormal="55" workbookViewId="0">
      <selection activeCell="F4" sqref="F4:M5"/>
    </sheetView>
  </sheetViews>
  <sheetFormatPr baseColWidth="10" defaultColWidth="11.42578125" defaultRowHeight="15" x14ac:dyDescent="0.25"/>
  <cols>
    <col min="1" max="1" width="4.42578125" customWidth="1"/>
    <col min="3" max="3" width="35.5703125" customWidth="1"/>
    <col min="4" max="4" width="13" customWidth="1"/>
    <col min="5" max="5" width="43.28515625" customWidth="1"/>
    <col min="7" max="7" width="33.85546875" customWidth="1"/>
    <col min="9" max="9" width="92.28515625" customWidth="1"/>
    <col min="13" max="13" width="29" customWidth="1"/>
  </cols>
  <sheetData>
    <row r="1" spans="1:17" s="1" customFormat="1" x14ac:dyDescent="0.25"/>
    <row r="2" spans="1:17" ht="15.75" thickBot="1" x14ac:dyDescent="0.3">
      <c r="A2" s="1"/>
      <c r="B2" s="1"/>
      <c r="C2" s="1"/>
      <c r="D2" s="1"/>
      <c r="E2" s="1"/>
      <c r="F2" s="1"/>
      <c r="G2" s="1"/>
      <c r="H2" s="1"/>
      <c r="I2" s="1"/>
      <c r="J2" s="1"/>
      <c r="K2" s="1"/>
      <c r="L2" s="1"/>
      <c r="M2" s="1"/>
      <c r="N2" s="1"/>
      <c r="O2" s="1"/>
      <c r="P2" s="1"/>
      <c r="Q2" s="1"/>
    </row>
    <row r="3" spans="1:17" ht="15.75" thickTop="1" x14ac:dyDescent="0.25">
      <c r="A3" s="1"/>
      <c r="B3" s="2"/>
      <c r="C3" s="3"/>
      <c r="D3" s="3"/>
      <c r="E3" s="3"/>
      <c r="F3" s="3"/>
      <c r="G3" s="3"/>
      <c r="H3" s="3"/>
      <c r="I3" s="3"/>
      <c r="J3" s="3"/>
      <c r="K3" s="3"/>
      <c r="L3" s="3"/>
      <c r="M3" s="3"/>
      <c r="N3" s="3"/>
      <c r="O3" s="3"/>
      <c r="P3" s="4"/>
      <c r="Q3" s="1"/>
    </row>
    <row r="4" spans="1:17" ht="16.5" x14ac:dyDescent="0.3">
      <c r="A4" s="1"/>
      <c r="B4" s="5"/>
      <c r="C4" s="6"/>
      <c r="D4" s="6"/>
      <c r="E4" s="301" t="s">
        <v>124</v>
      </c>
      <c r="F4" s="331" t="s">
        <v>221</v>
      </c>
      <c r="G4" s="331"/>
      <c r="H4" s="331"/>
      <c r="I4" s="331"/>
      <c r="J4" s="331"/>
      <c r="K4" s="331"/>
      <c r="L4" s="331"/>
      <c r="M4" s="331"/>
      <c r="N4" s="7"/>
      <c r="O4" s="7"/>
      <c r="P4" s="8"/>
      <c r="Q4" s="1"/>
    </row>
    <row r="5" spans="1:17" ht="45.75" customHeight="1" x14ac:dyDescent="0.3">
      <c r="A5" s="1"/>
      <c r="B5" s="5"/>
      <c r="C5" s="6"/>
      <c r="D5" s="6"/>
      <c r="E5" s="302"/>
      <c r="F5" s="331"/>
      <c r="G5" s="331"/>
      <c r="H5" s="331"/>
      <c r="I5" s="331"/>
      <c r="J5" s="331"/>
      <c r="K5" s="331"/>
      <c r="L5" s="331"/>
      <c r="M5" s="331"/>
      <c r="N5" s="7"/>
      <c r="O5" s="7"/>
      <c r="P5" s="8"/>
      <c r="Q5" s="1"/>
    </row>
    <row r="6" spans="1:17" ht="66.75" customHeight="1" x14ac:dyDescent="0.3">
      <c r="A6" s="1"/>
      <c r="B6" s="5"/>
      <c r="C6" s="6"/>
      <c r="D6" s="6"/>
      <c r="E6" s="96" t="s">
        <v>125</v>
      </c>
      <c r="F6" s="332" t="s">
        <v>222</v>
      </c>
      <c r="G6" s="333"/>
      <c r="H6" s="333"/>
      <c r="I6" s="333"/>
      <c r="J6" s="333"/>
      <c r="K6" s="333"/>
      <c r="L6" s="333"/>
      <c r="M6" s="334"/>
      <c r="N6" s="9"/>
      <c r="O6" s="9"/>
      <c r="P6" s="8"/>
      <c r="Q6" s="1"/>
    </row>
    <row r="7" spans="1:17" ht="17.25" thickBot="1" x14ac:dyDescent="0.35">
      <c r="A7" s="1"/>
      <c r="B7" s="5"/>
      <c r="C7" s="6"/>
      <c r="D7" s="6"/>
      <c r="E7" s="10"/>
      <c r="F7" s="9"/>
      <c r="G7" s="9"/>
      <c r="H7" s="9"/>
      <c r="I7" s="9"/>
      <c r="J7" s="9"/>
      <c r="K7" s="9"/>
      <c r="L7" s="9"/>
      <c r="M7" s="6"/>
      <c r="N7" s="6"/>
      <c r="O7" s="6"/>
      <c r="P7" s="8"/>
      <c r="Q7" s="1"/>
    </row>
    <row r="8" spans="1:17" ht="97.5" customHeight="1" thickBot="1" x14ac:dyDescent="0.3">
      <c r="A8" s="1"/>
      <c r="B8" s="5"/>
      <c r="C8" s="6"/>
      <c r="D8" s="6"/>
      <c r="E8" s="6"/>
      <c r="F8" s="6"/>
      <c r="G8" s="6"/>
      <c r="H8" s="6"/>
      <c r="I8" s="303" t="s">
        <v>126</v>
      </c>
      <c r="J8" s="304"/>
      <c r="K8" s="305"/>
      <c r="L8" s="6"/>
      <c r="M8" s="149">
        <f>+AVERAGE(G26,G28,G30,G32,G34)</f>
        <v>0.41642857142857148</v>
      </c>
      <c r="N8" s="11"/>
      <c r="O8" s="11"/>
      <c r="P8" s="8"/>
      <c r="Q8" s="1"/>
    </row>
    <row r="9" spans="1:17" ht="15.75" x14ac:dyDescent="0.25">
      <c r="A9" s="1"/>
      <c r="B9" s="5"/>
      <c r="C9" s="6"/>
      <c r="D9" s="6"/>
      <c r="E9" s="6"/>
      <c r="F9" s="6"/>
      <c r="G9" s="6"/>
      <c r="H9" s="6"/>
      <c r="I9" s="6"/>
      <c r="J9" s="6"/>
      <c r="K9" s="6"/>
      <c r="L9" s="6"/>
      <c r="M9" s="12"/>
      <c r="N9" s="12"/>
      <c r="O9" s="12"/>
      <c r="P9" s="8"/>
      <c r="Q9" s="1"/>
    </row>
    <row r="10" spans="1:17" x14ac:dyDescent="0.25">
      <c r="A10" s="1"/>
      <c r="B10" s="5"/>
      <c r="C10" s="6"/>
      <c r="D10" s="6"/>
      <c r="E10" s="6"/>
      <c r="F10" s="6"/>
      <c r="G10" s="6"/>
      <c r="H10" s="6"/>
      <c r="I10" s="6"/>
      <c r="J10" s="6"/>
      <c r="K10" s="6"/>
      <c r="L10" s="6"/>
      <c r="M10" s="6"/>
      <c r="N10" s="6"/>
      <c r="O10" s="6"/>
      <c r="P10" s="8"/>
      <c r="Q10" s="1"/>
    </row>
    <row r="11" spans="1:17" x14ac:dyDescent="0.25">
      <c r="A11" s="1"/>
      <c r="B11" s="5"/>
      <c r="C11" s="6"/>
      <c r="D11" s="6"/>
      <c r="E11" s="6"/>
      <c r="F11" s="6"/>
      <c r="G11" s="6"/>
      <c r="H11" s="6"/>
      <c r="I11" s="6"/>
      <c r="J11" s="6"/>
      <c r="K11" s="6"/>
      <c r="L11" s="6"/>
      <c r="M11" s="6"/>
      <c r="N11" s="6"/>
      <c r="O11" s="6"/>
      <c r="P11" s="8"/>
      <c r="Q11" s="1"/>
    </row>
    <row r="12" spans="1:17" x14ac:dyDescent="0.25">
      <c r="A12" s="1"/>
      <c r="B12" s="5"/>
      <c r="C12" s="6"/>
      <c r="D12" s="6"/>
      <c r="E12" s="6"/>
      <c r="F12" s="6"/>
      <c r="G12" s="6"/>
      <c r="H12" s="6"/>
      <c r="I12" s="6"/>
      <c r="J12" s="6"/>
      <c r="K12" s="6"/>
      <c r="L12" s="6"/>
      <c r="M12" s="6"/>
      <c r="N12" s="6"/>
      <c r="O12" s="6"/>
      <c r="P12" s="8"/>
      <c r="Q12" s="1"/>
    </row>
    <row r="13" spans="1:17" x14ac:dyDescent="0.25">
      <c r="A13" s="1"/>
      <c r="B13" s="5"/>
      <c r="C13" s="6"/>
      <c r="D13" s="6"/>
      <c r="E13" s="6"/>
      <c r="F13" s="6"/>
      <c r="G13" s="6"/>
      <c r="H13" s="6"/>
      <c r="I13" s="6"/>
      <c r="J13" s="6"/>
      <c r="K13" s="6"/>
      <c r="L13" s="6"/>
      <c r="M13" s="6"/>
      <c r="N13" s="6"/>
      <c r="O13" s="6"/>
      <c r="P13" s="8"/>
      <c r="Q13" s="1"/>
    </row>
    <row r="14" spans="1:17" x14ac:dyDescent="0.25">
      <c r="A14" s="1"/>
      <c r="B14" s="5"/>
      <c r="C14" s="6"/>
      <c r="D14" s="6"/>
      <c r="E14" s="6"/>
      <c r="F14" s="6"/>
      <c r="G14" s="6"/>
      <c r="H14" s="6"/>
      <c r="I14" s="6"/>
      <c r="J14" s="6"/>
      <c r="K14" s="6"/>
      <c r="L14" s="6"/>
      <c r="M14" s="6"/>
      <c r="N14" s="6"/>
      <c r="O14" s="6"/>
      <c r="P14" s="8"/>
      <c r="Q14" s="1"/>
    </row>
    <row r="15" spans="1:17" x14ac:dyDescent="0.25">
      <c r="A15" s="1"/>
      <c r="B15" s="5"/>
      <c r="C15" s="6"/>
      <c r="D15" s="6"/>
      <c r="E15" s="6"/>
      <c r="F15" s="6"/>
      <c r="G15" s="6"/>
      <c r="H15" s="6"/>
      <c r="I15" s="6"/>
      <c r="J15" s="6"/>
      <c r="K15" s="6"/>
      <c r="L15" s="6"/>
      <c r="M15" s="6"/>
      <c r="N15" s="6"/>
      <c r="O15" s="6"/>
      <c r="P15" s="8"/>
      <c r="Q15" s="1"/>
    </row>
    <row r="16" spans="1:17" x14ac:dyDescent="0.25">
      <c r="A16" s="1"/>
      <c r="B16" s="5"/>
      <c r="C16" s="6"/>
      <c r="D16" s="6"/>
      <c r="E16" s="6"/>
      <c r="F16" s="6"/>
      <c r="G16" s="6"/>
      <c r="H16" s="6"/>
      <c r="I16" s="6"/>
      <c r="J16" s="6"/>
      <c r="K16" s="6"/>
      <c r="L16" s="6"/>
      <c r="M16" s="6"/>
      <c r="N16" s="6"/>
      <c r="O16" s="6"/>
      <c r="P16" s="8"/>
      <c r="Q16" s="1"/>
    </row>
    <row r="17" spans="1:17" x14ac:dyDescent="0.25">
      <c r="A17" s="1"/>
      <c r="B17" s="5"/>
      <c r="C17" s="6"/>
      <c r="D17" s="6"/>
      <c r="E17" s="6"/>
      <c r="F17" s="6"/>
      <c r="G17" s="6"/>
      <c r="H17" s="6"/>
      <c r="I17" s="6"/>
      <c r="J17" s="6"/>
      <c r="K17" s="6"/>
      <c r="L17" s="6"/>
      <c r="M17" s="6"/>
      <c r="N17" s="6"/>
      <c r="O17" s="6"/>
      <c r="P17" s="8"/>
      <c r="Q17" s="1"/>
    </row>
    <row r="18" spans="1:17" ht="23.25" x14ac:dyDescent="0.25">
      <c r="A18" s="1"/>
      <c r="B18" s="5"/>
      <c r="C18" s="306" t="s">
        <v>127</v>
      </c>
      <c r="D18" s="307"/>
      <c r="E18" s="307"/>
      <c r="F18" s="307"/>
      <c r="G18" s="307"/>
      <c r="H18" s="307"/>
      <c r="I18" s="307"/>
      <c r="J18" s="307"/>
      <c r="K18" s="307"/>
      <c r="L18" s="307"/>
      <c r="M18" s="308"/>
      <c r="N18" s="13"/>
      <c r="O18" s="13"/>
      <c r="P18" s="8"/>
      <c r="Q18" s="1"/>
    </row>
    <row r="19" spans="1:17" ht="16.5" thickBot="1" x14ac:dyDescent="0.3">
      <c r="A19" s="1"/>
      <c r="B19" s="5"/>
      <c r="C19" s="14"/>
      <c r="D19" s="14"/>
      <c r="E19" s="14"/>
      <c r="F19" s="14"/>
      <c r="G19" s="14"/>
      <c r="H19" s="14"/>
      <c r="I19" s="14"/>
      <c r="J19" s="14"/>
      <c r="K19" s="14"/>
      <c r="L19" s="14"/>
      <c r="M19" s="14"/>
      <c r="N19" s="15"/>
      <c r="O19" s="15"/>
      <c r="P19" s="8"/>
      <c r="Q19" s="1"/>
    </row>
    <row r="20" spans="1:17" ht="150" customHeight="1" x14ac:dyDescent="0.25">
      <c r="A20" s="1"/>
      <c r="B20" s="5"/>
      <c r="C20" s="309" t="s">
        <v>128</v>
      </c>
      <c r="D20" s="310"/>
      <c r="E20" s="152" t="s">
        <v>76</v>
      </c>
      <c r="F20" s="311" t="s">
        <v>209</v>
      </c>
      <c r="G20" s="311"/>
      <c r="H20" s="311"/>
      <c r="I20" s="311"/>
      <c r="J20" s="311"/>
      <c r="K20" s="311"/>
      <c r="L20" s="311"/>
      <c r="M20" s="312"/>
      <c r="N20" s="15"/>
      <c r="O20" s="15"/>
      <c r="P20" s="8"/>
      <c r="Q20" s="1"/>
    </row>
    <row r="21" spans="1:17" ht="126.75" customHeight="1" x14ac:dyDescent="0.25">
      <c r="A21" s="1"/>
      <c r="B21" s="5"/>
      <c r="C21" s="297" t="s">
        <v>129</v>
      </c>
      <c r="D21" s="298"/>
      <c r="E21" s="153" t="s">
        <v>36</v>
      </c>
      <c r="F21" s="313" t="s">
        <v>210</v>
      </c>
      <c r="G21" s="313"/>
      <c r="H21" s="313"/>
      <c r="I21" s="313"/>
      <c r="J21" s="313"/>
      <c r="K21" s="313"/>
      <c r="L21" s="313"/>
      <c r="M21" s="314"/>
      <c r="N21" s="15"/>
      <c r="O21" s="15"/>
      <c r="P21" s="8"/>
      <c r="Q21" s="1"/>
    </row>
    <row r="22" spans="1:17" ht="151.5" customHeight="1" thickBot="1" x14ac:dyDescent="0.3">
      <c r="A22" s="1"/>
      <c r="B22" s="5"/>
      <c r="C22" s="299" t="s">
        <v>130</v>
      </c>
      <c r="D22" s="300"/>
      <c r="E22" s="154" t="s">
        <v>36</v>
      </c>
      <c r="F22" s="315" t="s">
        <v>211</v>
      </c>
      <c r="G22" s="315"/>
      <c r="H22" s="315"/>
      <c r="I22" s="315"/>
      <c r="J22" s="315"/>
      <c r="K22" s="315"/>
      <c r="L22" s="315"/>
      <c r="M22" s="316"/>
      <c r="N22" s="15"/>
      <c r="O22" s="15"/>
      <c r="P22" s="8"/>
      <c r="Q22" s="1"/>
    </row>
    <row r="23" spans="1:17" x14ac:dyDescent="0.25">
      <c r="A23" s="1"/>
      <c r="B23" s="5"/>
      <c r="C23" s="6"/>
      <c r="D23" s="6"/>
      <c r="E23" s="6"/>
      <c r="F23" s="6"/>
      <c r="G23" s="16"/>
      <c r="H23" s="6"/>
      <c r="I23" s="6"/>
      <c r="J23" s="6"/>
      <c r="K23" s="6"/>
      <c r="L23" s="6"/>
      <c r="M23" s="6"/>
      <c r="N23" s="6"/>
      <c r="O23" s="6"/>
      <c r="P23" s="8"/>
      <c r="Q23" s="1"/>
    </row>
    <row r="24" spans="1:17" ht="78.75" x14ac:dyDescent="0.25">
      <c r="A24" s="1"/>
      <c r="B24" s="5"/>
      <c r="C24" s="99" t="s">
        <v>131</v>
      </c>
      <c r="D24" s="100"/>
      <c r="E24" s="99" t="s">
        <v>132</v>
      </c>
      <c r="F24" s="100"/>
      <c r="G24" s="99" t="s">
        <v>133</v>
      </c>
      <c r="H24" s="100"/>
      <c r="I24" s="325" t="s">
        <v>134</v>
      </c>
      <c r="J24" s="325"/>
      <c r="K24" s="325"/>
      <c r="L24" s="325"/>
      <c r="M24" s="325"/>
      <c r="N24" s="33"/>
      <c r="O24" s="33"/>
      <c r="P24" s="8"/>
      <c r="Q24" s="17"/>
    </row>
    <row r="25" spans="1:17" ht="13.5" customHeight="1" thickBot="1" x14ac:dyDescent="0.3">
      <c r="A25" s="1"/>
      <c r="B25" s="5"/>
      <c r="C25" s="32"/>
      <c r="D25" s="18"/>
      <c r="E25" s="18"/>
      <c r="F25" s="18"/>
      <c r="G25" s="18"/>
      <c r="H25" s="18"/>
      <c r="I25" s="329"/>
      <c r="J25" s="329"/>
      <c r="K25" s="329"/>
      <c r="L25" s="329"/>
      <c r="M25" s="329"/>
      <c r="N25" s="34"/>
      <c r="O25" s="34"/>
      <c r="P25" s="8"/>
      <c r="Q25" s="1"/>
    </row>
    <row r="26" spans="1:17" ht="155.25" customHeight="1" thickBot="1" x14ac:dyDescent="0.3">
      <c r="A26" s="1"/>
      <c r="B26" s="5"/>
      <c r="C26" s="90" t="s">
        <v>32</v>
      </c>
      <c r="D26" s="19"/>
      <c r="E26" s="150" t="str">
        <f>+IF(Hoja1!K2&gt;=0.5,"Si","No")</f>
        <v>Si</v>
      </c>
      <c r="F26" s="20"/>
      <c r="G26" s="151">
        <f>+Hoja1!K2</f>
        <v>0.625</v>
      </c>
      <c r="H26" s="20"/>
      <c r="I26" s="326" t="s">
        <v>212</v>
      </c>
      <c r="J26" s="327"/>
      <c r="K26" s="327"/>
      <c r="L26" s="327"/>
      <c r="M26" s="328"/>
      <c r="N26" s="35"/>
      <c r="O26" s="36"/>
      <c r="P26" s="21"/>
      <c r="Q26" s="22"/>
    </row>
    <row r="27" spans="1:17" ht="27" thickBot="1" x14ac:dyDescent="0.45">
      <c r="A27" s="1"/>
      <c r="B27" s="5"/>
      <c r="C27" s="91"/>
      <c r="D27" s="23"/>
      <c r="E27" s="98"/>
      <c r="F27" s="18"/>
      <c r="G27" s="24"/>
      <c r="H27" s="18"/>
      <c r="I27" s="330"/>
      <c r="J27" s="330"/>
      <c r="K27" s="330"/>
      <c r="L27" s="330"/>
      <c r="M27" s="330"/>
      <c r="N27" s="37"/>
      <c r="O27" s="37"/>
      <c r="P27" s="8"/>
      <c r="Q27" s="1"/>
    </row>
    <row r="28" spans="1:17" ht="111.75" customHeight="1" thickBot="1" x14ac:dyDescent="0.3">
      <c r="A28" s="1"/>
      <c r="B28" s="5"/>
      <c r="C28" s="92" t="s">
        <v>135</v>
      </c>
      <c r="D28" s="19"/>
      <c r="E28" s="150" t="str">
        <f>+IF(Hoja1!K14&gt;=0.5,"Si","No")</f>
        <v>No</v>
      </c>
      <c r="F28" s="18"/>
      <c r="G28" s="151">
        <f>+Hoja1!K14</f>
        <v>0.1</v>
      </c>
      <c r="H28" s="18"/>
      <c r="I28" s="317" t="s">
        <v>213</v>
      </c>
      <c r="J28" s="318"/>
      <c r="K28" s="318"/>
      <c r="L28" s="318"/>
      <c r="M28" s="319"/>
      <c r="N28" s="35"/>
      <c r="O28" s="35"/>
      <c r="P28" s="8"/>
      <c r="Q28" s="1"/>
    </row>
    <row r="29" spans="1:17" ht="27" thickBot="1" x14ac:dyDescent="0.45">
      <c r="A29" s="1"/>
      <c r="B29" s="5"/>
      <c r="C29" s="91"/>
      <c r="D29" s="23"/>
      <c r="E29" s="98"/>
      <c r="F29" s="18"/>
      <c r="G29" s="24"/>
      <c r="H29" s="18"/>
      <c r="I29" s="330"/>
      <c r="J29" s="330"/>
      <c r="K29" s="330"/>
      <c r="L29" s="330"/>
      <c r="M29" s="330"/>
      <c r="N29" s="37"/>
      <c r="O29" s="37"/>
      <c r="P29" s="8"/>
      <c r="Q29" s="1"/>
    </row>
    <row r="30" spans="1:17" ht="168" customHeight="1" thickBot="1" x14ac:dyDescent="0.3">
      <c r="A30" s="1"/>
      <c r="B30" s="5"/>
      <c r="C30" s="93" t="s">
        <v>136</v>
      </c>
      <c r="D30" s="19"/>
      <c r="E30" s="150" t="str">
        <f>+IF(Hoja1!K24&gt;=0.5,"Si","No")</f>
        <v>Si</v>
      </c>
      <c r="F30" s="18"/>
      <c r="G30" s="151">
        <f>+Hoja1!K24</f>
        <v>0.6</v>
      </c>
      <c r="H30" s="18"/>
      <c r="I30" s="320" t="s">
        <v>214</v>
      </c>
      <c r="J30" s="321"/>
      <c r="K30" s="321"/>
      <c r="L30" s="321"/>
      <c r="M30" s="322"/>
      <c r="N30" s="35"/>
      <c r="O30" s="35"/>
      <c r="P30" s="8"/>
      <c r="Q30" s="1"/>
    </row>
    <row r="31" spans="1:17" ht="27" thickBot="1" x14ac:dyDescent="0.45">
      <c r="A31" s="1"/>
      <c r="B31" s="5"/>
      <c r="C31" s="91"/>
      <c r="D31" s="23"/>
      <c r="E31" s="98"/>
      <c r="F31" s="18"/>
      <c r="G31" s="24"/>
      <c r="H31" s="18"/>
      <c r="I31" s="330"/>
      <c r="J31" s="330"/>
      <c r="K31" s="330"/>
      <c r="L31" s="330"/>
      <c r="M31" s="330"/>
      <c r="N31" s="37"/>
      <c r="O31" s="37"/>
      <c r="P31" s="8"/>
      <c r="Q31" s="1"/>
    </row>
    <row r="32" spans="1:17" ht="171" customHeight="1" thickBot="1" x14ac:dyDescent="0.3">
      <c r="A32" s="1"/>
      <c r="B32" s="5"/>
      <c r="C32" s="94" t="s">
        <v>87</v>
      </c>
      <c r="D32" s="19"/>
      <c r="E32" s="150" t="str">
        <f>+IF(Hoja1!K29&gt;=0.5,"Si","No")</f>
        <v>No</v>
      </c>
      <c r="F32" s="18"/>
      <c r="G32" s="151">
        <f>+Hoja1!K29</f>
        <v>0.35714285714285715</v>
      </c>
      <c r="H32" s="18"/>
      <c r="I32" s="317" t="s">
        <v>215</v>
      </c>
      <c r="J32" s="323"/>
      <c r="K32" s="323"/>
      <c r="L32" s="323"/>
      <c r="M32" s="324"/>
      <c r="N32" s="35"/>
      <c r="O32" s="35"/>
      <c r="P32" s="8"/>
      <c r="Q32" s="1"/>
    </row>
    <row r="33" spans="1:17" ht="27" thickBot="1" x14ac:dyDescent="0.45">
      <c r="A33" s="1"/>
      <c r="B33" s="5"/>
      <c r="C33" s="91"/>
      <c r="D33" s="23"/>
      <c r="E33" s="98"/>
      <c r="F33" s="18"/>
      <c r="G33" s="24"/>
      <c r="H33" s="18"/>
      <c r="I33" s="330"/>
      <c r="J33" s="330"/>
      <c r="K33" s="330"/>
      <c r="L33" s="330"/>
      <c r="M33" s="330"/>
      <c r="N33" s="37"/>
      <c r="O33" s="37"/>
      <c r="P33" s="8"/>
      <c r="Q33" s="1"/>
    </row>
    <row r="34" spans="1:17" ht="164.25" customHeight="1" thickBot="1" x14ac:dyDescent="0.3">
      <c r="A34" s="1"/>
      <c r="B34" s="5"/>
      <c r="C34" s="95" t="s">
        <v>137</v>
      </c>
      <c r="D34" s="19"/>
      <c r="E34" s="97" t="str">
        <f>+IF(Hoja1!K36&gt;=0.5,"Si","No")</f>
        <v>No</v>
      </c>
      <c r="F34" s="18"/>
      <c r="G34" s="151">
        <f>+Hoja1!K36</f>
        <v>0.4</v>
      </c>
      <c r="H34" s="18"/>
      <c r="I34" s="317" t="s">
        <v>216</v>
      </c>
      <c r="J34" s="318"/>
      <c r="K34" s="318"/>
      <c r="L34" s="318"/>
      <c r="M34" s="319"/>
      <c r="N34" s="35"/>
      <c r="O34" s="35"/>
      <c r="P34" s="8"/>
      <c r="Q34" s="1"/>
    </row>
    <row r="35" spans="1:17" ht="15.75" x14ac:dyDescent="0.25">
      <c r="A35" s="1"/>
      <c r="B35" s="5"/>
      <c r="C35" s="25"/>
      <c r="D35" s="25"/>
      <c r="E35" s="15"/>
      <c r="F35" s="6"/>
      <c r="G35" s="6"/>
      <c r="H35" s="6"/>
      <c r="I35" s="6"/>
      <c r="J35" s="6"/>
      <c r="K35" s="6"/>
      <c r="L35" s="6"/>
      <c r="M35" s="26"/>
      <c r="N35" s="26"/>
      <c r="O35" s="26"/>
      <c r="P35" s="8"/>
      <c r="Q35" s="1"/>
    </row>
    <row r="36" spans="1:17" ht="15.75" x14ac:dyDescent="0.25">
      <c r="A36" s="1"/>
      <c r="B36" s="5"/>
      <c r="C36" s="27"/>
      <c r="D36" s="25"/>
      <c r="E36" s="15"/>
      <c r="F36" s="6"/>
      <c r="G36" s="6"/>
      <c r="H36" s="6"/>
      <c r="I36" s="6"/>
      <c r="J36" s="6"/>
      <c r="K36" s="6"/>
      <c r="L36" s="6"/>
      <c r="M36" s="26"/>
      <c r="N36" s="26"/>
      <c r="O36" s="26"/>
      <c r="P36" s="8"/>
      <c r="Q36" s="1"/>
    </row>
    <row r="37" spans="1:17" x14ac:dyDescent="0.25">
      <c r="A37" s="1"/>
      <c r="B37" s="5"/>
      <c r="C37" s="28"/>
      <c r="D37" s="6"/>
      <c r="E37" s="6"/>
      <c r="F37" s="6"/>
      <c r="G37" s="6"/>
      <c r="H37" s="6"/>
      <c r="I37" s="6"/>
      <c r="J37" s="6"/>
      <c r="K37" s="6"/>
      <c r="L37" s="6"/>
      <c r="M37" s="6"/>
      <c r="N37" s="6"/>
      <c r="O37" s="6"/>
      <c r="P37" s="8"/>
      <c r="Q37" s="1"/>
    </row>
    <row r="38" spans="1:17" ht="15.75" thickBot="1" x14ac:dyDescent="0.3">
      <c r="A38" s="1"/>
      <c r="B38" s="29"/>
      <c r="C38" s="30"/>
      <c r="D38" s="30"/>
      <c r="E38" s="30"/>
      <c r="F38" s="30"/>
      <c r="G38" s="30"/>
      <c r="H38" s="30"/>
      <c r="I38" s="30"/>
      <c r="J38" s="30"/>
      <c r="K38" s="30"/>
      <c r="L38" s="30"/>
      <c r="M38" s="30"/>
      <c r="N38" s="30"/>
      <c r="O38" s="30"/>
      <c r="P38" s="31"/>
      <c r="Q38" s="1"/>
    </row>
    <row r="39" spans="1:17" ht="15.75" thickTop="1" x14ac:dyDescent="0.25">
      <c r="A39" s="1"/>
      <c r="B39" s="1"/>
      <c r="C39" s="1"/>
      <c r="D39" s="1"/>
      <c r="E39" s="1"/>
      <c r="F39" s="1"/>
      <c r="G39" s="1"/>
      <c r="H39" s="1"/>
      <c r="I39" s="1"/>
      <c r="J39" s="1"/>
      <c r="K39" s="1"/>
      <c r="L39" s="1"/>
      <c r="M39" s="1"/>
      <c r="N39" s="1"/>
      <c r="O39" s="1"/>
      <c r="P39" s="1"/>
      <c r="Q39" s="1"/>
    </row>
    <row r="40" spans="1:17" x14ac:dyDescent="0.25">
      <c r="A40" s="1"/>
      <c r="B40" s="1"/>
      <c r="C40" s="1"/>
      <c r="D40" s="1"/>
      <c r="E40" s="1"/>
      <c r="F40" s="1"/>
      <c r="G40" s="1"/>
      <c r="H40" s="1"/>
      <c r="I40" s="1"/>
      <c r="J40" s="1"/>
      <c r="K40" s="1"/>
      <c r="L40" s="1"/>
      <c r="M40" s="1"/>
      <c r="N40" s="1"/>
      <c r="O40" s="1"/>
      <c r="P40" s="1"/>
      <c r="Q40" s="1"/>
    </row>
    <row r="41" spans="1:17" x14ac:dyDescent="0.25">
      <c r="A41" s="1"/>
      <c r="B41" s="1"/>
      <c r="C41" s="1"/>
      <c r="D41" s="1"/>
      <c r="E41" s="1"/>
      <c r="F41" s="1"/>
      <c r="G41" s="1"/>
      <c r="H41" s="1"/>
      <c r="I41" s="1"/>
      <c r="J41" s="1"/>
      <c r="K41" s="1"/>
      <c r="L41" s="1"/>
      <c r="M41" s="1"/>
      <c r="N41" s="1"/>
      <c r="O41" s="1"/>
      <c r="P41" s="1"/>
      <c r="Q41" s="1"/>
    </row>
  </sheetData>
  <sheetProtection algorithmName="SHA-512" hashValue="mur5Q3PEaZxn8LXLz/eSymodHMyMcb7gr8gXWBwpSU/m7uV0ZPVWkcKOdJlg0OS/SXBXX9P/iBb2vTO1mWy68A==" saltValue="abZlHLcGIMQMz4F8z7vkTw==" spinCount="100000" sheet="1" objects="1" scenarios="1" formatCells="0" formatRows="0"/>
  <mergeCells count="22">
    <mergeCell ref="I34:M34"/>
    <mergeCell ref="I30:M30"/>
    <mergeCell ref="I32:M32"/>
    <mergeCell ref="I24:M24"/>
    <mergeCell ref="I26:M26"/>
    <mergeCell ref="I28:M28"/>
    <mergeCell ref="I25:M25"/>
    <mergeCell ref="I27:M27"/>
    <mergeCell ref="I29:M29"/>
    <mergeCell ref="I31:M31"/>
    <mergeCell ref="I33:M33"/>
    <mergeCell ref="C21:D21"/>
    <mergeCell ref="C22:D22"/>
    <mergeCell ref="E4:E5"/>
    <mergeCell ref="F4:M5"/>
    <mergeCell ref="F6:M6"/>
    <mergeCell ref="I8:K8"/>
    <mergeCell ref="C18:M18"/>
    <mergeCell ref="C20:D20"/>
    <mergeCell ref="F20:M20"/>
    <mergeCell ref="F21:M21"/>
    <mergeCell ref="F22:M22"/>
  </mergeCells>
  <conditionalFormatting sqref="G26 G28 G30 G32 G34">
    <cfRule type="cellIs" priority="4" operator="between">
      <formula>0.75</formula>
      <formula>1</formula>
    </cfRule>
    <cfRule type="cellIs" dxfId="11" priority="5" operator="between">
      <formula>0.5</formula>
      <formula>0.75</formula>
    </cfRule>
    <cfRule type="cellIs" dxfId="10" priority="6" operator="between">
      <formula>0</formula>
      <formula>0.49</formula>
    </cfRule>
    <cfRule type="cellIs" dxfId="9" priority="31" operator="between">
      <formula>0.76</formula>
      <formula>1</formula>
    </cfRule>
    <cfRule type="cellIs" dxfId="8" priority="32" operator="between">
      <formula>0.51</formula>
      <formula>0.75</formula>
    </cfRule>
    <cfRule type="cellIs" dxfId="7" priority="33" operator="between">
      <formula>0.26</formula>
      <formula>0.5</formula>
    </cfRule>
  </conditionalFormatting>
  <conditionalFormatting sqref="M8">
    <cfRule type="cellIs" dxfId="6" priority="1" operator="between">
      <formula>0.75</formula>
      <formula>1</formula>
    </cfRule>
    <cfRule type="cellIs" dxfId="5" priority="2" operator="between">
      <formula>0.5</formula>
      <formula>0.75</formula>
    </cfRule>
    <cfRule type="cellIs" dxfId="4" priority="3" operator="between">
      <formula>0</formula>
      <formula>0.49</formula>
    </cfRule>
    <cfRule type="cellIs" priority="27" operator="between">
      <formula>0.76</formula>
      <formula>1</formula>
    </cfRule>
    <cfRule type="cellIs" dxfId="3" priority="28" operator="between">
      <formula>0.51</formula>
      <formula>0.75</formula>
    </cfRule>
    <cfRule type="cellIs" dxfId="2" priority="29" operator="between">
      <formula>0.26</formula>
      <formula>0.5</formula>
    </cfRule>
    <cfRule type="cellIs" dxfId="1" priority="30" operator="between">
      <formula>0</formula>
      <formula>0.25</formula>
    </cfRule>
  </conditionalFormatting>
  <dataValidations count="3">
    <dataValidation type="list" allowBlank="1" showInputMessage="1" showErrorMessage="1" sqref="E21:E22" xr:uid="{00000000-0002-0000-0300-000000000000}">
      <formula1>"Si, No"</formula1>
    </dataValidation>
    <dataValidation allowBlank="1" showInputMessage="1" showErrorMessage="1" prompt="Celda formulada, información proveniente de la pestaña de deficiencias." sqref="E24" xr:uid="{00000000-0002-0000-0300-000001000000}"/>
    <dataValidation type="list" allowBlank="1" showInputMessage="1" showErrorMessage="1" sqref="E20" xr:uid="{00000000-0002-0000-0300-000002000000}">
      <formula1>"Si,En proceso,No"</formula1>
    </dataValidation>
  </dataValidations>
  <pageMargins left="0.7" right="0.7" top="0.75" bottom="0.75" header="0.3" footer="0.3"/>
  <pageSetup orientation="portrait" horizontalDpi="300" verticalDpi="300" r:id="rId1"/>
  <drawing r:id="rId2"/>
  <extLst>
    <ext xmlns:x14="http://schemas.microsoft.com/office/spreadsheetml/2009/9/main" uri="{78C0D931-6437-407d-A8EE-F0AAD7539E65}">
      <x14:conditionalFormattings>
        <x14:conditionalFormatting xmlns:xm="http://schemas.microsoft.com/office/excel/2006/main">
          <x14:cfRule type="cellIs" priority="34" operator="between" id="{7ADAD4B9-72C7-4518-BD8A-A7D8DD349CD9}">
            <xm:f>0</xm:f>
            <xm:f>'\Users\dell\Desktop\cesar\HISTORICOS\[2020-04-22_Formato_informe_sci_parametrizado_final.xlsx]Analisis de Resultados'!#REF!</xm:f>
            <x14:dxf>
              <fill>
                <patternFill>
                  <bgColor rgb="FFFF0000"/>
                </patternFill>
              </fill>
            </x14:dxf>
          </x14:cfRule>
          <xm:sqref>G26 G28 G30 G32 G34</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45"/>
  <sheetViews>
    <sheetView workbookViewId="0">
      <selection activeCell="F2" sqref="F2"/>
    </sheetView>
  </sheetViews>
  <sheetFormatPr baseColWidth="10" defaultColWidth="11.42578125" defaultRowHeight="15" x14ac:dyDescent="0.25"/>
  <cols>
    <col min="2" max="2" width="31" bestFit="1" customWidth="1"/>
    <col min="3" max="3" width="17.140625" customWidth="1"/>
    <col min="5" max="5" width="15.140625" customWidth="1"/>
    <col min="10" max="10" width="15.7109375" customWidth="1"/>
    <col min="11" max="11" width="12" bestFit="1" customWidth="1"/>
  </cols>
  <sheetData>
    <row r="1" spans="1:11" ht="84.75" customHeight="1" x14ac:dyDescent="0.25">
      <c r="A1" s="155" t="s">
        <v>25</v>
      </c>
      <c r="B1" s="155" t="s">
        <v>6</v>
      </c>
      <c r="C1" s="156" t="s">
        <v>8</v>
      </c>
      <c r="D1" s="157" t="s">
        <v>26</v>
      </c>
      <c r="E1" s="157" t="s">
        <v>27</v>
      </c>
      <c r="F1" s="157" t="s">
        <v>138</v>
      </c>
      <c r="G1" s="158" t="s">
        <v>139</v>
      </c>
      <c r="H1" s="158" t="s">
        <v>140</v>
      </c>
      <c r="I1" s="158" t="s">
        <v>119</v>
      </c>
      <c r="J1" s="158" t="s">
        <v>141</v>
      </c>
      <c r="K1" s="158" t="s">
        <v>142</v>
      </c>
    </row>
    <row r="2" spans="1:11" x14ac:dyDescent="0.25">
      <c r="A2" s="159" t="s">
        <v>143</v>
      </c>
      <c r="B2" s="159" t="str">
        <f>+VLOOKUP(A2,'Estado SCI'!$A$16:$C$59,3,0)</f>
        <v>AMBIENTE DE CONTROL</v>
      </c>
      <c r="C2" s="159" t="s">
        <v>33</v>
      </c>
      <c r="D2" s="159" t="s">
        <v>34</v>
      </c>
      <c r="E2" s="159" t="s">
        <v>35</v>
      </c>
      <c r="F2" s="159" t="str">
        <f>+VLOOKUP(A2,'Estado SCI'!$A$16:$I$59,9,0)</f>
        <v>Oportunidad de mejora</v>
      </c>
      <c r="G2" s="159">
        <f>+VLOOKUP(A2,'Estado SCI'!$A$16:$L$59,12,0)</f>
        <v>10.122999999999999</v>
      </c>
      <c r="H2" s="159">
        <f t="shared" ref="H2:H45" si="0">+_xlfn.RANK.EQ(G2,$G$2:$G$45,1)</f>
        <v>4</v>
      </c>
      <c r="I2" s="159" t="str">
        <f>+IF(VLOOKUP(A2,'Estado SCI'!$A$16:$G$59,7,0)="","",VLOOKUP(A2,'Estado SCI'!$A$16:$G$59,7,0))</f>
        <v>En proceso</v>
      </c>
      <c r="J2" s="160">
        <f>+IF(I2="Si",1,IF(I2="En proceso",0.5,0))</f>
        <v>0.5</v>
      </c>
      <c r="K2" s="161">
        <f t="shared" ref="K2:K45" si="1">+AVERAGEIF($B$2:$B$45,B2,$J$2:$J$45)</f>
        <v>0.625</v>
      </c>
    </row>
    <row r="3" spans="1:11" x14ac:dyDescent="0.25">
      <c r="A3" s="159" t="s">
        <v>144</v>
      </c>
      <c r="B3" s="159" t="s">
        <v>32</v>
      </c>
      <c r="C3" s="159" t="s">
        <v>33</v>
      </c>
      <c r="D3" s="159" t="s">
        <v>37</v>
      </c>
      <c r="E3" s="159" t="s">
        <v>38</v>
      </c>
      <c r="F3" s="159" t="str">
        <f>+VLOOKUP(A3,'Estado SCI'!$A$16:$I$59,9,0)</f>
        <v>Deficiencia de control</v>
      </c>
      <c r="G3" s="159">
        <f>+VLOOKUP(A3,'Estado SCI'!$A$16:$L$59,12,0)</f>
        <v>0.1234</v>
      </c>
      <c r="H3" s="159">
        <f t="shared" si="0"/>
        <v>1</v>
      </c>
      <c r="I3" s="159" t="str">
        <f>+IF(VLOOKUP(A3,'Estado SCI'!$A$16:$G$59,7,0)="","",VLOOKUP(A3,'Estado SCI'!$A$16:$G$59,7,0))</f>
        <v>No</v>
      </c>
      <c r="J3" s="160">
        <f t="shared" ref="J3:J45" si="2">+IF(I3="Si",1,IF(I3="En proceso",0.5,0))</f>
        <v>0</v>
      </c>
      <c r="K3" s="161">
        <f t="shared" si="1"/>
        <v>0.625</v>
      </c>
    </row>
    <row r="4" spans="1:11" x14ac:dyDescent="0.25">
      <c r="A4" s="159" t="s">
        <v>145</v>
      </c>
      <c r="B4" s="159" t="s">
        <v>32</v>
      </c>
      <c r="C4" s="159" t="s">
        <v>33</v>
      </c>
      <c r="D4" s="159" t="s">
        <v>40</v>
      </c>
      <c r="E4" s="159" t="s">
        <v>41</v>
      </c>
      <c r="F4" s="159" t="str">
        <f>+VLOOKUP(A4,'Estado SCI'!$A$16:$I$59,9,0)</f>
        <v>Oportunidad de mejora</v>
      </c>
      <c r="G4" s="159">
        <f>+VLOOKUP(A4,'Estado SCI'!$A$16:$L$59,12,0)</f>
        <v>10.12345</v>
      </c>
      <c r="H4" s="159">
        <f t="shared" si="0"/>
        <v>5</v>
      </c>
      <c r="I4" s="159" t="str">
        <f>+IF(VLOOKUP(A4,'Estado SCI'!$A$16:$G$59,7,0)="","",VLOOKUP(A4,'Estado SCI'!$A$16:$G$59,7,0))</f>
        <v>En proceso</v>
      </c>
      <c r="J4" s="160">
        <f t="shared" si="2"/>
        <v>0.5</v>
      </c>
      <c r="K4" s="161">
        <f t="shared" si="1"/>
        <v>0.625</v>
      </c>
    </row>
    <row r="5" spans="1:11" x14ac:dyDescent="0.25">
      <c r="A5" s="159" t="s">
        <v>146</v>
      </c>
      <c r="B5" s="159" t="s">
        <v>32</v>
      </c>
      <c r="C5" s="159" t="s">
        <v>33</v>
      </c>
      <c r="D5" s="159" t="s">
        <v>42</v>
      </c>
      <c r="E5" s="159" t="s">
        <v>43</v>
      </c>
      <c r="F5" s="159" t="str">
        <f>+VLOOKUP(A5,'Estado SCI'!$A$16:$I$59,9,0)</f>
        <v>Mantenimiento del control</v>
      </c>
      <c r="G5" s="159">
        <f>+VLOOKUP(A5,'Estado SCI'!$A$16:$L$59,12,0)</f>
        <v>20.123456000000001</v>
      </c>
      <c r="H5" s="159">
        <f t="shared" si="0"/>
        <v>7</v>
      </c>
      <c r="I5" s="159" t="str">
        <f>+IF(VLOOKUP(A5,'Estado SCI'!$A$16:$G$59,7,0)="","",VLOOKUP(A5,'Estado SCI'!$A$16:$G$59,7,0))</f>
        <v>Si</v>
      </c>
      <c r="J5" s="160">
        <f t="shared" si="2"/>
        <v>1</v>
      </c>
      <c r="K5" s="161">
        <f t="shared" si="1"/>
        <v>0.625</v>
      </c>
    </row>
    <row r="6" spans="1:11" x14ac:dyDescent="0.25">
      <c r="A6" s="159" t="s">
        <v>147</v>
      </c>
      <c r="B6" s="159" t="s">
        <v>32</v>
      </c>
      <c r="C6" s="159" t="s">
        <v>33</v>
      </c>
      <c r="D6" s="159" t="s">
        <v>44</v>
      </c>
      <c r="E6" s="159" t="s">
        <v>45</v>
      </c>
      <c r="F6" s="159" t="str">
        <f>+VLOOKUP(A6,'Estado SCI'!$A$16:$I$59,9,0)</f>
        <v>Mantenimiento del control</v>
      </c>
      <c r="G6" s="159">
        <f>+VLOOKUP(A6,'Estado SCI'!$A$16:$L$59,12,0)</f>
        <v>20.123456780000001</v>
      </c>
      <c r="H6" s="159">
        <f t="shared" si="0"/>
        <v>8</v>
      </c>
      <c r="I6" s="159" t="str">
        <f>+IF(VLOOKUP(A6,'Estado SCI'!$A$16:$G$59,7,0)="","",VLOOKUP(A6,'Estado SCI'!$A$16:$G$59,7,0))</f>
        <v>Si</v>
      </c>
      <c r="J6" s="160">
        <f t="shared" si="2"/>
        <v>1</v>
      </c>
      <c r="K6" s="161">
        <f t="shared" si="1"/>
        <v>0.625</v>
      </c>
    </row>
    <row r="7" spans="1:11" x14ac:dyDescent="0.25">
      <c r="A7" s="159" t="s">
        <v>148</v>
      </c>
      <c r="B7" s="159" t="s">
        <v>32</v>
      </c>
      <c r="C7" s="159" t="s">
        <v>33</v>
      </c>
      <c r="D7" s="159" t="s">
        <v>46</v>
      </c>
      <c r="E7" s="159" t="s">
        <v>47</v>
      </c>
      <c r="F7" s="159" t="str">
        <f>+VLOOKUP(A7,'Estado SCI'!$A$16:$I$59,9,0)</f>
        <v>Oportunidad de mejora</v>
      </c>
      <c r="G7" s="159">
        <f>+VLOOKUP(A7,'Estado SCI'!$A$16:$L$59,12,0)</f>
        <v>10.123456789</v>
      </c>
      <c r="H7" s="159">
        <f t="shared" si="0"/>
        <v>6</v>
      </c>
      <c r="I7" s="159" t="str">
        <f>+IF(VLOOKUP(A7,'Estado SCI'!$A$16:$G$59,7,0)="","",VLOOKUP(A7,'Estado SCI'!$A$16:$G$59,7,0))</f>
        <v>En proceso</v>
      </c>
      <c r="J7" s="160">
        <f t="shared" si="2"/>
        <v>0.5</v>
      </c>
      <c r="K7" s="161">
        <f t="shared" si="1"/>
        <v>0.625</v>
      </c>
    </row>
    <row r="8" spans="1:11" x14ac:dyDescent="0.25">
      <c r="A8" s="159" t="s">
        <v>149</v>
      </c>
      <c r="B8" s="159" t="s">
        <v>32</v>
      </c>
      <c r="C8" s="159" t="s">
        <v>33</v>
      </c>
      <c r="D8" s="159" t="s">
        <v>48</v>
      </c>
      <c r="E8" s="159" t="s">
        <v>49</v>
      </c>
      <c r="F8" s="159" t="str">
        <f>+VLOOKUP(A8,'Estado SCI'!$A$16:$I$59,9,0)</f>
        <v>Mantenimiento del control</v>
      </c>
      <c r="G8" s="159">
        <f>+VLOOKUP(A8,'Estado SCI'!$A$16:$L$59,12,0)</f>
        <v>20.1234567891</v>
      </c>
      <c r="H8" s="159">
        <f t="shared" si="0"/>
        <v>9</v>
      </c>
      <c r="I8" s="159" t="str">
        <f>+IF(VLOOKUP(A8,'Estado SCI'!$A$16:$G$59,7,0)="","",VLOOKUP(A8,'Estado SCI'!$A$16:$G$59,7,0))</f>
        <v>Si</v>
      </c>
      <c r="J8" s="160">
        <f t="shared" si="2"/>
        <v>1</v>
      </c>
      <c r="K8" s="161">
        <f t="shared" si="1"/>
        <v>0.625</v>
      </c>
    </row>
    <row r="9" spans="1:11" x14ac:dyDescent="0.25">
      <c r="A9" s="159" t="s">
        <v>150</v>
      </c>
      <c r="B9" s="159" t="s">
        <v>32</v>
      </c>
      <c r="C9" s="159" t="s">
        <v>33</v>
      </c>
      <c r="D9" s="159" t="s">
        <v>50</v>
      </c>
      <c r="E9" s="159" t="s">
        <v>51</v>
      </c>
      <c r="F9" s="159" t="str">
        <f>+VLOOKUP(A9,'Estado SCI'!$A$16:$I$59,9,0)</f>
        <v>Deficiencia de control</v>
      </c>
      <c r="G9" s="159">
        <f>+VLOOKUP(A9,'Estado SCI'!$A$16:$L$59,12,0)</f>
        <v>0.12345678911999999</v>
      </c>
      <c r="H9" s="159">
        <f t="shared" si="0"/>
        <v>2</v>
      </c>
      <c r="I9" s="159" t="str">
        <f>+IF(VLOOKUP(A9,'Estado SCI'!$A$16:$G$59,7,0)="","",VLOOKUP(A9,'Estado SCI'!$A$16:$G$59,7,0))</f>
        <v>No</v>
      </c>
      <c r="J9" s="160">
        <f t="shared" si="2"/>
        <v>0</v>
      </c>
      <c r="K9" s="161">
        <f t="shared" si="1"/>
        <v>0.625</v>
      </c>
    </row>
    <row r="10" spans="1:11" x14ac:dyDescent="0.25">
      <c r="A10" s="159" t="s">
        <v>151</v>
      </c>
      <c r="B10" s="159" t="s">
        <v>32</v>
      </c>
      <c r="C10" s="159" t="s">
        <v>33</v>
      </c>
      <c r="D10" s="159" t="s">
        <v>52</v>
      </c>
      <c r="E10" s="159" t="s">
        <v>53</v>
      </c>
      <c r="F10" s="159" t="str">
        <f>+VLOOKUP(A10,'Estado SCI'!$A$16:$I$59,9,0)</f>
        <v>Deficiencia de control</v>
      </c>
      <c r="G10" s="159">
        <f>+VLOOKUP(A10,'Estado SCI'!$A$16:$L$59,12,0)</f>
        <v>0.123456789123</v>
      </c>
      <c r="H10" s="159">
        <f t="shared" si="0"/>
        <v>3</v>
      </c>
      <c r="I10" s="159" t="str">
        <f>+IF(VLOOKUP(A10,'Estado SCI'!$A$16:$G$59,7,0)="","",VLOOKUP(A10,'Estado SCI'!$A$16:$G$59,7,0))</f>
        <v>No</v>
      </c>
      <c r="J10" s="160">
        <f t="shared" si="2"/>
        <v>0</v>
      </c>
      <c r="K10" s="161">
        <f t="shared" si="1"/>
        <v>0.625</v>
      </c>
    </row>
    <row r="11" spans="1:11" x14ac:dyDescent="0.25">
      <c r="A11" s="159" t="s">
        <v>152</v>
      </c>
      <c r="B11" s="159" t="s">
        <v>32</v>
      </c>
      <c r="C11" s="159" t="s">
        <v>33</v>
      </c>
      <c r="D11" s="159" t="s">
        <v>54</v>
      </c>
      <c r="E11" s="159" t="s">
        <v>55</v>
      </c>
      <c r="F11" s="159" t="str">
        <f>+VLOOKUP(A11,'Estado SCI'!$A$16:$I$59,9,0)</f>
        <v>Mantenimiento del control</v>
      </c>
      <c r="G11" s="159">
        <f>+VLOOKUP(A11,'Estado SCI'!$A$16:$L$59,12,0)</f>
        <v>20.123456789123399</v>
      </c>
      <c r="H11" s="159">
        <f t="shared" si="0"/>
        <v>10</v>
      </c>
      <c r="I11" s="159" t="str">
        <f>+IF(VLOOKUP(A11,'Estado SCI'!$A$16:$G$59,7,0)="","",VLOOKUP(A11,'Estado SCI'!$A$16:$G$59,7,0))</f>
        <v>Si</v>
      </c>
      <c r="J11" s="160">
        <f t="shared" si="2"/>
        <v>1</v>
      </c>
      <c r="K11" s="161">
        <f t="shared" si="1"/>
        <v>0.625</v>
      </c>
    </row>
    <row r="12" spans="1:11" x14ac:dyDescent="0.25">
      <c r="A12" s="159" t="s">
        <v>153</v>
      </c>
      <c r="B12" s="159" t="s">
        <v>32</v>
      </c>
      <c r="C12" s="159" t="s">
        <v>33</v>
      </c>
      <c r="D12" s="159" t="s">
        <v>56</v>
      </c>
      <c r="E12" s="159" t="s">
        <v>57</v>
      </c>
      <c r="F12" s="159" t="str">
        <f>+VLOOKUP(A12,'Estado SCI'!$A$16:$I$59,9,0)</f>
        <v>Mantenimiento del control</v>
      </c>
      <c r="G12" s="159">
        <f>+VLOOKUP(A12,'Estado SCI'!$A$16:$L$59,12,0)</f>
        <v>20.123456789123448</v>
      </c>
      <c r="H12" s="159">
        <f t="shared" si="0"/>
        <v>11</v>
      </c>
      <c r="I12" s="159" t="str">
        <f>+IF(VLOOKUP(A12,'Estado SCI'!$A$16:$G$59,7,0)="","",VLOOKUP(A12,'Estado SCI'!$A$16:$G$59,7,0))</f>
        <v>Si</v>
      </c>
      <c r="J12" s="160">
        <f t="shared" si="2"/>
        <v>1</v>
      </c>
      <c r="K12" s="161">
        <f t="shared" si="1"/>
        <v>0.625</v>
      </c>
    </row>
    <row r="13" spans="1:11" x14ac:dyDescent="0.25">
      <c r="A13" s="159" t="s">
        <v>154</v>
      </c>
      <c r="B13" s="159" t="s">
        <v>32</v>
      </c>
      <c r="C13" s="159" t="s">
        <v>33</v>
      </c>
      <c r="D13" s="159" t="s">
        <v>58</v>
      </c>
      <c r="E13" s="159" t="s">
        <v>59</v>
      </c>
      <c r="F13" s="159" t="str">
        <f>+VLOOKUP(A13,'Estado SCI'!$A$16:$I$59,9,0)</f>
        <v>Mantenimiento del control</v>
      </c>
      <c r="G13" s="159">
        <f>+VLOOKUP(A13,'Estado SCI'!$A$16:$L$59,12,0)</f>
        <v>20.123456789123455</v>
      </c>
      <c r="H13" s="159">
        <f t="shared" si="0"/>
        <v>12</v>
      </c>
      <c r="I13" s="159" t="str">
        <f>+IF(VLOOKUP(A13,'Estado SCI'!$A$16:$G$59,7,0)="","",VLOOKUP(A13,'Estado SCI'!$A$16:$G$59,7,0))</f>
        <v>Si</v>
      </c>
      <c r="J13" s="160">
        <f t="shared" si="2"/>
        <v>1</v>
      </c>
      <c r="K13" s="161">
        <f t="shared" si="1"/>
        <v>0.625</v>
      </c>
    </row>
    <row r="14" spans="1:11" ht="15" customHeight="1" x14ac:dyDescent="0.25">
      <c r="A14" s="159" t="s">
        <v>155</v>
      </c>
      <c r="B14" s="159" t="str">
        <f>+VLOOKUP(A14,'Estado SCI'!$A$16:$C$59,3,0)</f>
        <v>EVALUACION DEL RIESGO</v>
      </c>
      <c r="C14" s="159" t="s">
        <v>62</v>
      </c>
      <c r="D14" s="159" t="s">
        <v>34</v>
      </c>
      <c r="E14" s="159" t="s">
        <v>156</v>
      </c>
      <c r="F14" s="159" t="str">
        <f>+VLOOKUP(A14,'Estado SCI'!$A$16:$I$59,9,0)</f>
        <v>Deficiencia de control</v>
      </c>
      <c r="G14" s="159">
        <f>+VLOOKUP(A14,'Estado SCI'!$A$16:$L$59,12,0)</f>
        <v>20.23</v>
      </c>
      <c r="H14" s="159">
        <f t="shared" si="0"/>
        <v>13</v>
      </c>
      <c r="I14" s="159" t="str">
        <f>+IF(VLOOKUP(A14,'Estado SCI'!$A$16:$G$59,7,0)="","",VLOOKUP(A14,'Estado SCI'!$A$16:$G$59,7,0))</f>
        <v>No</v>
      </c>
      <c r="J14" s="160">
        <f t="shared" si="2"/>
        <v>0</v>
      </c>
      <c r="K14" s="161">
        <f t="shared" si="1"/>
        <v>0.1</v>
      </c>
    </row>
    <row r="15" spans="1:11" ht="15" customHeight="1" x14ac:dyDescent="0.25">
      <c r="A15" s="159" t="s">
        <v>157</v>
      </c>
      <c r="B15" s="159" t="s">
        <v>61</v>
      </c>
      <c r="C15" s="159" t="s">
        <v>62</v>
      </c>
      <c r="D15" s="159" t="s">
        <v>37</v>
      </c>
      <c r="E15" s="159" t="s">
        <v>158</v>
      </c>
      <c r="F15" s="159" t="str">
        <f>+VLOOKUP(A15,'Estado SCI'!$A$16:$I$59,9,0)</f>
        <v>Deficiencia de control</v>
      </c>
      <c r="G15" s="159">
        <f>+VLOOKUP(A15,'Estado SCI'!$A$16:$L$59,12,0)</f>
        <v>20.234000000000002</v>
      </c>
      <c r="H15" s="159">
        <f t="shared" si="0"/>
        <v>14</v>
      </c>
      <c r="I15" s="159" t="str">
        <f>+IF(VLOOKUP(A15,'Estado SCI'!$A$16:$G$59,7,0)="","",VLOOKUP(A15,'Estado SCI'!$A$16:$G$59,7,0))</f>
        <v>No</v>
      </c>
      <c r="J15" s="160">
        <f t="shared" si="2"/>
        <v>0</v>
      </c>
      <c r="K15" s="161">
        <f t="shared" si="1"/>
        <v>0.1</v>
      </c>
    </row>
    <row r="16" spans="1:11" ht="15" customHeight="1" x14ac:dyDescent="0.25">
      <c r="A16" s="159" t="s">
        <v>159</v>
      </c>
      <c r="B16" s="159" t="s">
        <v>61</v>
      </c>
      <c r="C16" s="159" t="s">
        <v>62</v>
      </c>
      <c r="D16" s="159" t="s">
        <v>40</v>
      </c>
      <c r="E16" s="159" t="s">
        <v>160</v>
      </c>
      <c r="F16" s="159" t="str">
        <f>+VLOOKUP(A16,'Estado SCI'!$A$16:$I$59,9,0)</f>
        <v>Deficiencia de control</v>
      </c>
      <c r="G16" s="159">
        <f>+VLOOKUP(A16,'Estado SCI'!$A$16:$L$59,12,0)</f>
        <v>20.234500000000001</v>
      </c>
      <c r="H16" s="159">
        <f t="shared" si="0"/>
        <v>15</v>
      </c>
      <c r="I16" s="159" t="str">
        <f>+IF(VLOOKUP(A16,'Estado SCI'!$A$16:$G$59,7,0)="","",VLOOKUP(A16,'Estado SCI'!$A$16:$G$59,7,0))</f>
        <v>No</v>
      </c>
      <c r="J16" s="160">
        <f t="shared" si="2"/>
        <v>0</v>
      </c>
      <c r="K16" s="161">
        <f t="shared" si="1"/>
        <v>0.1</v>
      </c>
    </row>
    <row r="17" spans="1:11" ht="15.75" customHeight="1" x14ac:dyDescent="0.25">
      <c r="A17" s="159" t="s">
        <v>161</v>
      </c>
      <c r="B17" s="159" t="s">
        <v>61</v>
      </c>
      <c r="C17" s="159" t="s">
        <v>62</v>
      </c>
      <c r="D17" s="159" t="s">
        <v>42</v>
      </c>
      <c r="E17" s="159" t="s">
        <v>66</v>
      </c>
      <c r="F17" s="159" t="str">
        <f>+VLOOKUP(A17,'Estado SCI'!$A$16:$I$59,9,0)</f>
        <v>Deficiencia de control</v>
      </c>
      <c r="G17" s="159">
        <f>+VLOOKUP(A17,'Estado SCI'!$A$16:$L$59,12,0)</f>
        <v>20.234559999999998</v>
      </c>
      <c r="H17" s="159">
        <f t="shared" si="0"/>
        <v>16</v>
      </c>
      <c r="I17" s="159" t="str">
        <f>+IF(VLOOKUP(A17,'Estado SCI'!$A$16:$G$59,7,0)="","",VLOOKUP(A17,'Estado SCI'!$A$16:$G$59,7,0))</f>
        <v>No</v>
      </c>
      <c r="J17" s="160">
        <f t="shared" si="2"/>
        <v>0</v>
      </c>
      <c r="K17" s="161">
        <f t="shared" si="1"/>
        <v>0.1</v>
      </c>
    </row>
    <row r="18" spans="1:11" ht="15" customHeight="1" x14ac:dyDescent="0.25">
      <c r="A18" s="159" t="s">
        <v>162</v>
      </c>
      <c r="B18" s="159" t="s">
        <v>61</v>
      </c>
      <c r="C18" s="159" t="s">
        <v>80</v>
      </c>
      <c r="D18" s="159" t="s">
        <v>34</v>
      </c>
      <c r="E18" s="159" t="s">
        <v>69</v>
      </c>
      <c r="F18" s="159" t="str">
        <f>+VLOOKUP(A18,'Estado SCI'!$A$16:$I$59,9,0)</f>
        <v>Deficiencia de control</v>
      </c>
      <c r="G18" s="159">
        <f>+VLOOKUP(A18,'Estado SCI'!$A$16:$L$59,12,0)</f>
        <v>20.234566999999998</v>
      </c>
      <c r="H18" s="159">
        <f t="shared" si="0"/>
        <v>17</v>
      </c>
      <c r="I18" s="159" t="str">
        <f>+IF(VLOOKUP(A18,'Estado SCI'!$A$16:$G$59,7,0)="","",VLOOKUP(A18,'Estado SCI'!$A$16:$G$59,7,0))</f>
        <v>No</v>
      </c>
      <c r="J18" s="160">
        <f t="shared" si="2"/>
        <v>0</v>
      </c>
      <c r="K18" s="161">
        <f t="shared" si="1"/>
        <v>0.1</v>
      </c>
    </row>
    <row r="19" spans="1:11" ht="15" customHeight="1" x14ac:dyDescent="0.25">
      <c r="A19" s="159" t="s">
        <v>163</v>
      </c>
      <c r="B19" s="159" t="s">
        <v>61</v>
      </c>
      <c r="C19" s="159" t="s">
        <v>80</v>
      </c>
      <c r="D19" s="159" t="s">
        <v>37</v>
      </c>
      <c r="E19" s="159" t="s">
        <v>70</v>
      </c>
      <c r="F19" s="159" t="str">
        <f>+VLOOKUP(A19,'Estado SCI'!$A$16:$I$59,9,0)</f>
        <v>Deficiencia de control</v>
      </c>
      <c r="G19" s="159">
        <f>+VLOOKUP(A19,'Estado SCI'!$A$16:$L$59,12,0)</f>
        <v>20.234567800000001</v>
      </c>
      <c r="H19" s="159">
        <f t="shared" si="0"/>
        <v>18</v>
      </c>
      <c r="I19" s="159" t="str">
        <f>+IF(VLOOKUP(A19,'Estado SCI'!$A$16:$G$59,7,0)="","",VLOOKUP(A19,'Estado SCI'!$A$16:$G$59,7,0))</f>
        <v>No</v>
      </c>
      <c r="J19" s="160">
        <f t="shared" si="2"/>
        <v>0</v>
      </c>
      <c r="K19" s="161">
        <f t="shared" si="1"/>
        <v>0.1</v>
      </c>
    </row>
    <row r="20" spans="1:11" ht="15" customHeight="1" x14ac:dyDescent="0.25">
      <c r="A20" s="159" t="s">
        <v>164</v>
      </c>
      <c r="B20" s="159" t="s">
        <v>61</v>
      </c>
      <c r="C20" s="159" t="s">
        <v>80</v>
      </c>
      <c r="D20" s="159" t="s">
        <v>40</v>
      </c>
      <c r="E20" s="159" t="s">
        <v>71</v>
      </c>
      <c r="F20" s="159" t="str">
        <f>+VLOOKUP(A20,'Estado SCI'!$A$16:$I$59,9,0)</f>
        <v>Deficiencia de control</v>
      </c>
      <c r="G20" s="159">
        <f>+VLOOKUP(A20,'Estado SCI'!$A$16:$L$59,12,0)</f>
        <v>20.234567890000001</v>
      </c>
      <c r="H20" s="159">
        <f t="shared" si="0"/>
        <v>19</v>
      </c>
      <c r="I20" s="159" t="str">
        <f>+IF(VLOOKUP(A20,'Estado SCI'!$A$16:$G$59,7,0)="","",VLOOKUP(A20,'Estado SCI'!$A$16:$G$59,7,0))</f>
        <v>No</v>
      </c>
      <c r="J20" s="160">
        <f t="shared" si="2"/>
        <v>0</v>
      </c>
      <c r="K20" s="161">
        <f t="shared" si="1"/>
        <v>0.1</v>
      </c>
    </row>
    <row r="21" spans="1:11" ht="15.75" customHeight="1" x14ac:dyDescent="0.25">
      <c r="A21" s="159" t="s">
        <v>165</v>
      </c>
      <c r="B21" s="159" t="s">
        <v>61</v>
      </c>
      <c r="C21" s="159" t="s">
        <v>80</v>
      </c>
      <c r="D21" s="159" t="s">
        <v>34</v>
      </c>
      <c r="E21" s="159" t="s">
        <v>74</v>
      </c>
      <c r="F21" s="159" t="str">
        <f>+VLOOKUP(A21,'Estado SCI'!$A$16:$I$59,9,0)</f>
        <v>Deficiencia de control</v>
      </c>
      <c r="G21" s="159">
        <f>+VLOOKUP(A21,'Estado SCI'!$A$16:$L$59,12,0)</f>
        <v>20.234567891200001</v>
      </c>
      <c r="H21" s="159">
        <f t="shared" si="0"/>
        <v>20</v>
      </c>
      <c r="I21" s="159" t="str">
        <f>+IF(VLOOKUP(A21,'Estado SCI'!$A$16:$G$59,7,0)="","",VLOOKUP(A21,'Estado SCI'!$A$16:$G$59,7,0))</f>
        <v>No</v>
      </c>
      <c r="J21" s="160">
        <f t="shared" si="2"/>
        <v>0</v>
      </c>
      <c r="K21" s="161">
        <f t="shared" si="1"/>
        <v>0.1</v>
      </c>
    </row>
    <row r="22" spans="1:11" ht="15" customHeight="1" x14ac:dyDescent="0.25">
      <c r="A22" s="159" t="s">
        <v>166</v>
      </c>
      <c r="B22" s="159" t="s">
        <v>61</v>
      </c>
      <c r="C22" s="159" t="s">
        <v>88</v>
      </c>
      <c r="D22" s="159" t="s">
        <v>37</v>
      </c>
      <c r="E22" s="159" t="s">
        <v>75</v>
      </c>
      <c r="F22" s="159" t="str">
        <f>+VLOOKUP(A22,'Estado SCI'!$A$16:$I$59,9,0)</f>
        <v>Oportunidad de mejora</v>
      </c>
      <c r="G22" s="159">
        <f>+VLOOKUP(A22,'Estado SCI'!$A$16:$L$59,12,0)</f>
        <v>30.23456789123</v>
      </c>
      <c r="H22" s="159">
        <f t="shared" si="0"/>
        <v>21</v>
      </c>
      <c r="I22" s="159" t="str">
        <f>+IF(VLOOKUP(A22,'Estado SCI'!$A$16:$G$59,7,0)="","",VLOOKUP(A22,'Estado SCI'!$A$16:$G$59,7,0))</f>
        <v>En proceso</v>
      </c>
      <c r="J22" s="160">
        <f t="shared" si="2"/>
        <v>0.5</v>
      </c>
      <c r="K22" s="161">
        <f t="shared" si="1"/>
        <v>0.1</v>
      </c>
    </row>
    <row r="23" spans="1:11" ht="15" customHeight="1" x14ac:dyDescent="0.25">
      <c r="A23" s="159" t="s">
        <v>167</v>
      </c>
      <c r="B23" s="159" t="s">
        <v>61</v>
      </c>
      <c r="C23" s="159" t="s">
        <v>88</v>
      </c>
      <c r="D23" s="159" t="s">
        <v>40</v>
      </c>
      <c r="E23" s="159" t="s">
        <v>77</v>
      </c>
      <c r="F23" s="159" t="str">
        <f>+VLOOKUP(A23,'Estado SCI'!$A$16:$I$59,9,0)</f>
        <v>Oportunidad de mejora</v>
      </c>
      <c r="G23" s="159">
        <f>+VLOOKUP(A23,'Estado SCI'!$A$16:$L$59,12,0)</f>
        <v>30.234567891234001</v>
      </c>
      <c r="H23" s="159">
        <f t="shared" si="0"/>
        <v>22</v>
      </c>
      <c r="I23" s="159" t="str">
        <f>+IF(VLOOKUP(A23,'Estado SCI'!$A$16:$G$59,7,0)="","",VLOOKUP(A23,'Estado SCI'!$A$16:$G$59,7,0))</f>
        <v>En proceso</v>
      </c>
      <c r="J23" s="160">
        <f t="shared" si="2"/>
        <v>0.5</v>
      </c>
      <c r="K23" s="161">
        <f t="shared" si="1"/>
        <v>0.1</v>
      </c>
    </row>
    <row r="24" spans="1:11" ht="15" customHeight="1" x14ac:dyDescent="0.25">
      <c r="A24" s="159" t="s">
        <v>168</v>
      </c>
      <c r="B24" s="159" t="str">
        <f>+VLOOKUP(A24,'Estado SCI'!$A$16:$C$59,3,0)</f>
        <v>ACTIVIDADES DE CONTROL</v>
      </c>
      <c r="C24" s="159" t="s">
        <v>88</v>
      </c>
      <c r="D24" s="159" t="s">
        <v>34</v>
      </c>
      <c r="E24" s="159" t="s">
        <v>81</v>
      </c>
      <c r="F24" s="159" t="str">
        <f>+VLOOKUP(A24,'Estado SCI'!$A$16:$I$59,9,0)</f>
        <v>Oportunidad de mejora</v>
      </c>
      <c r="G24" s="159">
        <f>+VLOOKUP(A24,'Estado SCI'!$A$16:$L$59,12,0)</f>
        <v>50.31</v>
      </c>
      <c r="H24" s="159">
        <f t="shared" si="0"/>
        <v>24</v>
      </c>
      <c r="I24" s="159" t="str">
        <f>+IF(VLOOKUP(A24,'Estado SCI'!$A$16:$G$59,7,0)="","",VLOOKUP(A24,'Estado SCI'!$A$16:$G$59,7,0))</f>
        <v>En proceso</v>
      </c>
      <c r="J24" s="160">
        <f t="shared" si="2"/>
        <v>0.5</v>
      </c>
      <c r="K24" s="161">
        <f t="shared" si="1"/>
        <v>0.6</v>
      </c>
    </row>
    <row r="25" spans="1:11" ht="15" customHeight="1" x14ac:dyDescent="0.25">
      <c r="A25" s="159" t="s">
        <v>169</v>
      </c>
      <c r="B25" s="159" t="s">
        <v>79</v>
      </c>
      <c r="C25" s="159" t="s">
        <v>88</v>
      </c>
      <c r="D25" s="159" t="s">
        <v>37</v>
      </c>
      <c r="E25" s="159" t="s">
        <v>82</v>
      </c>
      <c r="F25" s="159" t="str">
        <f>+VLOOKUP(A25,'Estado SCI'!$A$16:$I$59,9,0)</f>
        <v>Oportunidad de mejora</v>
      </c>
      <c r="G25" s="159">
        <f>+VLOOKUP(A25,'Estado SCI'!$A$16:$L$59,12,0)</f>
        <v>50.323</v>
      </c>
      <c r="H25" s="159">
        <f t="shared" si="0"/>
        <v>25</v>
      </c>
      <c r="I25" s="159" t="str">
        <f>+IF(VLOOKUP(A25,'Estado SCI'!$A$16:$G$59,7,0)="","",VLOOKUP(A25,'Estado SCI'!$A$16:$G$59,7,0))</f>
        <v>En proceso</v>
      </c>
      <c r="J25" s="160">
        <f t="shared" si="2"/>
        <v>0.5</v>
      </c>
      <c r="K25" s="161">
        <f t="shared" si="1"/>
        <v>0.6</v>
      </c>
    </row>
    <row r="26" spans="1:11" ht="15" customHeight="1" x14ac:dyDescent="0.25">
      <c r="A26" s="159" t="s">
        <v>170</v>
      </c>
      <c r="B26" s="159" t="s">
        <v>79</v>
      </c>
      <c r="C26" s="159" t="s">
        <v>88</v>
      </c>
      <c r="D26" s="159" t="s">
        <v>40</v>
      </c>
      <c r="E26" s="159" t="s">
        <v>83</v>
      </c>
      <c r="F26" s="159" t="str">
        <f>+VLOOKUP(A26,'Estado SCI'!$A$16:$I$59,9,0)</f>
        <v>Deficiencia de control</v>
      </c>
      <c r="G26" s="159">
        <f>+VLOOKUP(A26,'Estado SCI'!$A$16:$L$59,12,0)</f>
        <v>40.323999999999998</v>
      </c>
      <c r="H26" s="159">
        <f t="shared" si="0"/>
        <v>23</v>
      </c>
      <c r="I26" s="159" t="str">
        <f>+IF(VLOOKUP(A26,'Estado SCI'!$A$16:$G$59,7,0)="","",VLOOKUP(A26,'Estado SCI'!$A$16:$G$59,7,0))</f>
        <v>No</v>
      </c>
      <c r="J26" s="160">
        <f t="shared" si="2"/>
        <v>0</v>
      </c>
      <c r="K26" s="161">
        <f t="shared" si="1"/>
        <v>0.6</v>
      </c>
    </row>
    <row r="27" spans="1:11" ht="15.75" customHeight="1" x14ac:dyDescent="0.25">
      <c r="A27" s="159" t="s">
        <v>171</v>
      </c>
      <c r="B27" s="159" t="s">
        <v>79</v>
      </c>
      <c r="C27" s="159" t="s">
        <v>88</v>
      </c>
      <c r="D27" s="159" t="s">
        <v>42</v>
      </c>
      <c r="E27" s="159" t="s">
        <v>84</v>
      </c>
      <c r="F27" s="159" t="str">
        <f>+VLOOKUP(A27,'Estado SCI'!$A$16:$I$59,9,0)</f>
        <v>Mantenimiento del control</v>
      </c>
      <c r="G27" s="159">
        <f>+VLOOKUP(A27,'Estado SCI'!$A$16:$L$59,12,0)</f>
        <v>60.325000000000003</v>
      </c>
      <c r="H27" s="159">
        <f t="shared" si="0"/>
        <v>26</v>
      </c>
      <c r="I27" s="159" t="str">
        <f>+IF(VLOOKUP(A27,'Estado SCI'!$A$16:$G$59,7,0)="","",VLOOKUP(A27,'Estado SCI'!$A$16:$G$59,7,0))</f>
        <v>Si</v>
      </c>
      <c r="J27" s="160">
        <f t="shared" si="2"/>
        <v>1</v>
      </c>
      <c r="K27" s="161">
        <f t="shared" si="1"/>
        <v>0.6</v>
      </c>
    </row>
    <row r="28" spans="1:11" ht="15" customHeight="1" x14ac:dyDescent="0.25">
      <c r="A28" s="159" t="s">
        <v>172</v>
      </c>
      <c r="B28" s="159" t="s">
        <v>79</v>
      </c>
      <c r="C28" s="159" t="s">
        <v>98</v>
      </c>
      <c r="D28" s="159" t="s">
        <v>44</v>
      </c>
      <c r="E28" s="159" t="s">
        <v>85</v>
      </c>
      <c r="F28" s="159" t="str">
        <f>+VLOOKUP(A28,'Estado SCI'!$A$16:$I$59,9,0)</f>
        <v>Mantenimiento del control</v>
      </c>
      <c r="G28" s="159">
        <f>+VLOOKUP(A28,'Estado SCI'!$A$16:$L$59,12,0)</f>
        <v>60.326000000000001</v>
      </c>
      <c r="H28" s="159">
        <f t="shared" si="0"/>
        <v>27</v>
      </c>
      <c r="I28" s="159" t="str">
        <f>+IF(VLOOKUP(A28,'Estado SCI'!$A$16:$G$59,7,0)="","",VLOOKUP(A28,'Estado SCI'!$A$16:$G$59,7,0))</f>
        <v>Si</v>
      </c>
      <c r="J28" s="160">
        <f t="shared" si="2"/>
        <v>1</v>
      </c>
      <c r="K28" s="161">
        <f t="shared" si="1"/>
        <v>0.6</v>
      </c>
    </row>
    <row r="29" spans="1:11" ht="15" customHeight="1" x14ac:dyDescent="0.25">
      <c r="A29" s="159" t="s">
        <v>173</v>
      </c>
      <c r="B29" s="159" t="str">
        <f>+VLOOKUP(A29,'Estado SCI'!$A$16:$C$59,3,0)</f>
        <v>INFORMACION Y COMUNICACIÓN</v>
      </c>
      <c r="C29" s="159" t="s">
        <v>98</v>
      </c>
      <c r="D29" s="159" t="s">
        <v>34</v>
      </c>
      <c r="E29" s="159" t="s">
        <v>89</v>
      </c>
      <c r="F29" s="159" t="str">
        <f>+VLOOKUP(A29,'Estado SCI'!$A$16:$I$59,9,0)</f>
        <v>Mantenimiento del control</v>
      </c>
      <c r="G29" s="159">
        <f>+VLOOKUP(A29,'Estado SCI'!$A$16:$L$59,12,0)</f>
        <v>80.412000000000006</v>
      </c>
      <c r="H29" s="159">
        <f t="shared" si="0"/>
        <v>33</v>
      </c>
      <c r="I29" s="159" t="str">
        <f>+IF(VLOOKUP(A29,'Estado SCI'!$A$16:$G$59,7,0)="","",VLOOKUP(A29,'Estado SCI'!$A$16:$G$59,7,0))</f>
        <v>Si</v>
      </c>
      <c r="J29" s="160">
        <f t="shared" si="2"/>
        <v>1</v>
      </c>
      <c r="K29" s="161">
        <f t="shared" si="1"/>
        <v>0.35714285714285715</v>
      </c>
    </row>
    <row r="30" spans="1:11" ht="15" customHeight="1" x14ac:dyDescent="0.25">
      <c r="A30" s="159" t="s">
        <v>174</v>
      </c>
      <c r="B30" s="159" t="s">
        <v>87</v>
      </c>
      <c r="C30" s="159" t="s">
        <v>98</v>
      </c>
      <c r="D30" s="159" t="s">
        <v>37</v>
      </c>
      <c r="E30" s="159" t="s">
        <v>90</v>
      </c>
      <c r="F30" s="159" t="str">
        <f>+VLOOKUP(A30,'Estado SCI'!$A$16:$I$59,9,0)</f>
        <v>Mantenimiento del control</v>
      </c>
      <c r="G30" s="159">
        <f>+VLOOKUP(A30,'Estado SCI'!$A$16:$L$59,12,0)</f>
        <v>80.412300000000002</v>
      </c>
      <c r="H30" s="159">
        <f t="shared" si="0"/>
        <v>34</v>
      </c>
      <c r="I30" s="159" t="str">
        <f>+IF(VLOOKUP(A30,'Estado SCI'!$A$16:$G$59,7,0)="","",VLOOKUP(A30,'Estado SCI'!$A$16:$G$59,7,0))</f>
        <v>Si</v>
      </c>
      <c r="J30" s="160">
        <f t="shared" si="2"/>
        <v>1</v>
      </c>
      <c r="K30" s="161">
        <f t="shared" si="1"/>
        <v>0.35714285714285715</v>
      </c>
    </row>
    <row r="31" spans="1:11" ht="15.75" customHeight="1" x14ac:dyDescent="0.25">
      <c r="A31" s="159" t="s">
        <v>175</v>
      </c>
      <c r="B31" s="159" t="s">
        <v>87</v>
      </c>
      <c r="C31" s="159" t="s">
        <v>98</v>
      </c>
      <c r="D31" s="159" t="s">
        <v>40</v>
      </c>
      <c r="E31" s="159" t="s">
        <v>91</v>
      </c>
      <c r="F31" s="159" t="str">
        <f>+VLOOKUP(A31,'Estado SCI'!$A$16:$I$59,9,0)</f>
        <v>Oportunidad de mejora</v>
      </c>
      <c r="G31" s="159">
        <f>+VLOOKUP(A31,'Estado SCI'!$A$16:$L$59,12,0)</f>
        <v>70.41234</v>
      </c>
      <c r="H31" s="159">
        <f t="shared" si="0"/>
        <v>32</v>
      </c>
      <c r="I31" s="159" t="str">
        <f>+IF(VLOOKUP(A31,'Estado SCI'!$A$16:$G$59,7,0)="","",VLOOKUP(A31,'Estado SCI'!$A$16:$G$59,7,0))</f>
        <v>En proceso</v>
      </c>
      <c r="J31" s="160">
        <f t="shared" si="2"/>
        <v>0.5</v>
      </c>
      <c r="K31" s="161">
        <f t="shared" si="1"/>
        <v>0.35714285714285715</v>
      </c>
    </row>
    <row r="32" spans="1:11" x14ac:dyDescent="0.25">
      <c r="A32" s="159" t="s">
        <v>176</v>
      </c>
      <c r="B32" s="159" t="s">
        <v>87</v>
      </c>
      <c r="C32" s="159" t="s">
        <v>104</v>
      </c>
      <c r="D32" s="159" t="s">
        <v>42</v>
      </c>
      <c r="E32" s="159" t="s">
        <v>92</v>
      </c>
      <c r="F32" s="159" t="str">
        <f>+VLOOKUP(A32,'Estado SCI'!$A$16:$I$59,9,0)</f>
        <v>Deficiencia de control</v>
      </c>
      <c r="G32" s="159">
        <f>+VLOOKUP(A32,'Estado SCI'!$A$16:$L$59,12,0)</f>
        <v>60.412345000000002</v>
      </c>
      <c r="H32" s="159">
        <f t="shared" si="0"/>
        <v>28</v>
      </c>
      <c r="I32" s="159" t="str">
        <f>+IF(VLOOKUP(A32,'Estado SCI'!$A$16:$G$59,7,0)="","",VLOOKUP(A32,'Estado SCI'!$A$16:$G$59,7,0))</f>
        <v>No</v>
      </c>
      <c r="J32" s="160">
        <f t="shared" si="2"/>
        <v>0</v>
      </c>
      <c r="K32" s="161">
        <f t="shared" si="1"/>
        <v>0.35714285714285715</v>
      </c>
    </row>
    <row r="33" spans="1:11" x14ac:dyDescent="0.25">
      <c r="A33" s="159" t="s">
        <v>177</v>
      </c>
      <c r="B33" s="159" t="s">
        <v>87</v>
      </c>
      <c r="C33" s="159" t="s">
        <v>178</v>
      </c>
      <c r="D33" s="159" t="s">
        <v>44</v>
      </c>
      <c r="E33" s="159" t="s">
        <v>93</v>
      </c>
      <c r="F33" s="159" t="str">
        <f>+VLOOKUP(A33,'Estado SCI'!$A$16:$I$59,9,0)</f>
        <v>Deficiencia de control</v>
      </c>
      <c r="G33" s="159">
        <f>+VLOOKUP(A33,'Estado SCI'!$A$16:$L$59,12,0)</f>
        <v>60.412345600000002</v>
      </c>
      <c r="H33" s="159">
        <f t="shared" si="0"/>
        <v>29</v>
      </c>
      <c r="I33" s="159" t="str">
        <f>+IF(VLOOKUP(A33,'Estado SCI'!$A$16:$G$59,7,0)="","",VLOOKUP(A33,'Estado SCI'!$A$16:$G$59,7,0))</f>
        <v>No</v>
      </c>
      <c r="J33" s="160">
        <f t="shared" si="2"/>
        <v>0</v>
      </c>
      <c r="K33" s="161">
        <f t="shared" si="1"/>
        <v>0.35714285714285715</v>
      </c>
    </row>
    <row r="34" spans="1:11" x14ac:dyDescent="0.25">
      <c r="A34" s="159" t="s">
        <v>179</v>
      </c>
      <c r="B34" s="159" t="s">
        <v>87</v>
      </c>
      <c r="C34" s="159" t="s">
        <v>178</v>
      </c>
      <c r="D34" s="159" t="s">
        <v>46</v>
      </c>
      <c r="E34" s="159" t="s">
        <v>94</v>
      </c>
      <c r="F34" s="159" t="str">
        <f>+VLOOKUP(A34,'Estado SCI'!$A$16:$I$59,9,0)</f>
        <v>Deficiencia de control</v>
      </c>
      <c r="G34" s="159">
        <f>+VLOOKUP(A34,'Estado SCI'!$A$16:$L$59,12,0)</f>
        <v>60.412345670000001</v>
      </c>
      <c r="H34" s="159">
        <f t="shared" si="0"/>
        <v>30</v>
      </c>
      <c r="I34" s="159" t="str">
        <f>+IF(VLOOKUP(A34,'Estado SCI'!$A$16:$G$59,7,0)="","",VLOOKUP(A34,'Estado SCI'!$A$16:$G$59,7,0))</f>
        <v>No</v>
      </c>
      <c r="J34" s="160">
        <f t="shared" si="2"/>
        <v>0</v>
      </c>
      <c r="K34" s="161">
        <f t="shared" si="1"/>
        <v>0.35714285714285715</v>
      </c>
    </row>
    <row r="35" spans="1:11" x14ac:dyDescent="0.25">
      <c r="A35" s="159" t="s">
        <v>180</v>
      </c>
      <c r="B35" s="159" t="s">
        <v>87</v>
      </c>
      <c r="C35" s="159" t="s">
        <v>178</v>
      </c>
      <c r="D35" s="159" t="s">
        <v>48</v>
      </c>
      <c r="E35" s="159" t="s">
        <v>95</v>
      </c>
      <c r="F35" s="159" t="str">
        <f>+VLOOKUP(A35,'Estado SCI'!$A$16:$I$59,9,0)</f>
        <v>Deficiencia de control</v>
      </c>
      <c r="G35" s="159">
        <f>+VLOOKUP(A35,'Estado SCI'!$A$16:$L$59,12,0)</f>
        <v>60.412345678000001</v>
      </c>
      <c r="H35" s="159">
        <f t="shared" si="0"/>
        <v>31</v>
      </c>
      <c r="I35" s="159" t="str">
        <f>+IF(VLOOKUP(A35,'Estado SCI'!$A$16:$G$59,7,0)="","",VLOOKUP(A35,'Estado SCI'!$A$16:$G$59,7,0))</f>
        <v>No</v>
      </c>
      <c r="J35" s="160">
        <f t="shared" si="2"/>
        <v>0</v>
      </c>
      <c r="K35" s="161">
        <f t="shared" si="1"/>
        <v>0.35714285714285715</v>
      </c>
    </row>
    <row r="36" spans="1:11" x14ac:dyDescent="0.25">
      <c r="A36" s="159" t="s">
        <v>181</v>
      </c>
      <c r="B36" s="159" t="str">
        <f>+VLOOKUP(A36,'Estado SCI'!$A$16:$C$59,3,0)</f>
        <v>ACTIVIDADES DE MONITOREO</v>
      </c>
      <c r="C36" s="159" t="s">
        <v>178</v>
      </c>
      <c r="D36" s="159" t="s">
        <v>34</v>
      </c>
      <c r="E36" s="159" t="s">
        <v>99</v>
      </c>
      <c r="F36" s="159" t="str">
        <f>+VLOOKUP(A36,'Estado SCI'!$A$16:$I$59,9,0)</f>
        <v>Deficiencia de control</v>
      </c>
      <c r="G36" s="159">
        <f>+VLOOKUP(A36,'Estado SCI'!$A$16:$L$59,12,0)</f>
        <v>80.850999999999999</v>
      </c>
      <c r="H36" s="159">
        <f t="shared" si="0"/>
        <v>35</v>
      </c>
      <c r="I36" s="159" t="str">
        <f>+IF(VLOOKUP(A36,'Estado SCI'!$A$16:$G$59,7,0)="","",VLOOKUP(A36,'Estado SCI'!$A$16:$G$59,7,0))</f>
        <v>No</v>
      </c>
      <c r="J36" s="160">
        <f t="shared" si="2"/>
        <v>0</v>
      </c>
      <c r="K36" s="161">
        <f t="shared" si="1"/>
        <v>0.4</v>
      </c>
    </row>
    <row r="37" spans="1:11" x14ac:dyDescent="0.25">
      <c r="A37" s="159" t="s">
        <v>182</v>
      </c>
      <c r="B37" s="159" t="s">
        <v>97</v>
      </c>
      <c r="C37" s="159" t="s">
        <v>178</v>
      </c>
      <c r="D37" s="159" t="s">
        <v>42</v>
      </c>
      <c r="E37" s="159" t="s">
        <v>100</v>
      </c>
      <c r="F37" s="159" t="str">
        <f>+VLOOKUP(A37,'Estado SCI'!$A$16:$I$59,9,0)</f>
        <v>Oportunidad de mejora</v>
      </c>
      <c r="G37" s="159">
        <f>+VLOOKUP(A37,'Estado SCI'!$A$16:$L$59,12,0)</f>
        <v>100.85120000000001</v>
      </c>
      <c r="H37" s="159">
        <f t="shared" si="0"/>
        <v>38</v>
      </c>
      <c r="I37" s="159" t="str">
        <f>+IF(VLOOKUP(A37,'Estado SCI'!$A$16:$G$59,7,0)="","",VLOOKUP(A37,'Estado SCI'!$A$16:$G$59,7,0))</f>
        <v>En proceso</v>
      </c>
      <c r="J37" s="160">
        <f t="shared" si="2"/>
        <v>0.5</v>
      </c>
      <c r="K37" s="161">
        <f t="shared" si="1"/>
        <v>0.4</v>
      </c>
    </row>
    <row r="38" spans="1:11" x14ac:dyDescent="0.25">
      <c r="A38" s="159" t="s">
        <v>183</v>
      </c>
      <c r="B38" s="159" t="s">
        <v>97</v>
      </c>
      <c r="C38" s="159" t="s">
        <v>68</v>
      </c>
      <c r="D38" s="159" t="s">
        <v>46</v>
      </c>
      <c r="E38" s="159" t="s">
        <v>101</v>
      </c>
      <c r="F38" s="159" t="str">
        <f>+VLOOKUP(A38,'Estado SCI'!$A$16:$I$59,9,0)</f>
        <v>Deficiencia de control</v>
      </c>
      <c r="G38" s="159">
        <f>+VLOOKUP(A38,'Estado SCI'!$A$16:$L$59,12,0)</f>
        <v>80.851230000000001</v>
      </c>
      <c r="H38" s="159">
        <f t="shared" si="0"/>
        <v>36</v>
      </c>
      <c r="I38" s="159" t="str">
        <f>+IF(VLOOKUP(A38,'Estado SCI'!$A$16:$G$59,7,0)="","",VLOOKUP(A38,'Estado SCI'!$A$16:$G$59,7,0))</f>
        <v>No</v>
      </c>
      <c r="J38" s="160">
        <f t="shared" si="2"/>
        <v>0</v>
      </c>
      <c r="K38" s="161">
        <f t="shared" si="1"/>
        <v>0.4</v>
      </c>
    </row>
    <row r="39" spans="1:11" x14ac:dyDescent="0.25">
      <c r="A39" s="159" t="s">
        <v>184</v>
      </c>
      <c r="B39" s="159" t="s">
        <v>97</v>
      </c>
      <c r="C39" s="159" t="s">
        <v>68</v>
      </c>
      <c r="D39" s="159" t="s">
        <v>48</v>
      </c>
      <c r="E39" s="159" t="s">
        <v>102</v>
      </c>
      <c r="F39" s="159" t="str">
        <f>+VLOOKUP(A39,'Estado SCI'!$A$16:$I$59,9,0)</f>
        <v>Deficiencia de control</v>
      </c>
      <c r="G39" s="159">
        <f>+VLOOKUP(A39,'Estado SCI'!$A$16:$L$59,12,0)</f>
        <v>80.851234000000005</v>
      </c>
      <c r="H39" s="159">
        <f t="shared" si="0"/>
        <v>37</v>
      </c>
      <c r="I39" s="159" t="str">
        <f>+IF(VLOOKUP(A39,'Estado SCI'!$A$16:$G$59,7,0)="","",VLOOKUP(A39,'Estado SCI'!$A$16:$G$59,7,0))</f>
        <v>No</v>
      </c>
      <c r="J39" s="160">
        <f t="shared" si="2"/>
        <v>0</v>
      </c>
      <c r="K39" s="161">
        <f t="shared" si="1"/>
        <v>0.4</v>
      </c>
    </row>
    <row r="40" spans="1:11" x14ac:dyDescent="0.25">
      <c r="A40" s="159" t="s">
        <v>185</v>
      </c>
      <c r="B40" s="159" t="s">
        <v>97</v>
      </c>
      <c r="C40" s="159" t="s">
        <v>68</v>
      </c>
      <c r="D40" s="159" t="s">
        <v>50</v>
      </c>
      <c r="E40" s="159" t="s">
        <v>105</v>
      </c>
      <c r="F40" s="159" t="str">
        <f>+VLOOKUP(A40,'Estado SCI'!$A$16:$I$59,9,0)</f>
        <v>Mantenimiento del control</v>
      </c>
      <c r="G40" s="159">
        <f>+VLOOKUP(A40,'Estado SCI'!$A$16:$L$59,12,0)</f>
        <v>120.8512345</v>
      </c>
      <c r="H40" s="159">
        <f t="shared" si="0"/>
        <v>44</v>
      </c>
      <c r="I40" s="159" t="str">
        <f>+IF(VLOOKUP(A40,'Estado SCI'!$A$16:$G$59,7,0)="","",VLOOKUP(A40,'Estado SCI'!$A$16:$G$59,7,0))</f>
        <v>Si</v>
      </c>
      <c r="J40" s="160">
        <f t="shared" si="2"/>
        <v>1</v>
      </c>
      <c r="K40" s="161">
        <f t="shared" si="1"/>
        <v>0.4</v>
      </c>
    </row>
    <row r="41" spans="1:11" x14ac:dyDescent="0.25">
      <c r="A41" s="159" t="s">
        <v>186</v>
      </c>
      <c r="B41" s="159" t="s">
        <v>97</v>
      </c>
      <c r="C41" s="159" t="s">
        <v>68</v>
      </c>
      <c r="D41" s="159" t="s">
        <v>34</v>
      </c>
      <c r="E41" s="159" t="s">
        <v>108</v>
      </c>
      <c r="F41" s="159" t="str">
        <f>+VLOOKUP(A41,'Estado SCI'!$A$16:$I$59,9,0)</f>
        <v>Oportunidad de mejora</v>
      </c>
      <c r="G41" s="159">
        <f>+VLOOKUP(A41,'Estado SCI'!$A$16:$L$59,12,0)</f>
        <v>100.85123455999999</v>
      </c>
      <c r="H41" s="159">
        <f t="shared" si="0"/>
        <v>39</v>
      </c>
      <c r="I41" s="159" t="str">
        <f>+IF(VLOOKUP(A41,'Estado SCI'!$A$16:$G$59,7,0)="","",VLOOKUP(A41,'Estado SCI'!$A$16:$G$59,7,0))</f>
        <v>En proceso</v>
      </c>
      <c r="J41" s="160">
        <f t="shared" si="2"/>
        <v>0.5</v>
      </c>
      <c r="K41" s="161">
        <f t="shared" si="1"/>
        <v>0.4</v>
      </c>
    </row>
    <row r="42" spans="1:11" x14ac:dyDescent="0.25">
      <c r="A42" s="159" t="s">
        <v>187</v>
      </c>
      <c r="B42" s="159" t="s">
        <v>97</v>
      </c>
      <c r="C42" s="159" t="s">
        <v>73</v>
      </c>
      <c r="D42" s="159" t="s">
        <v>37</v>
      </c>
      <c r="E42" s="159" t="s">
        <v>109</v>
      </c>
      <c r="F42" s="159" t="str">
        <f>+VLOOKUP(A42,'Estado SCI'!$A$16:$I$59,9,0)</f>
        <v>Oportunidad de mejora</v>
      </c>
      <c r="G42" s="159">
        <f>+VLOOKUP(A42,'Estado SCI'!$A$16:$L$59,12,0)</f>
        <v>100.85123456700001</v>
      </c>
      <c r="H42" s="159">
        <f t="shared" si="0"/>
        <v>40</v>
      </c>
      <c r="I42" s="159" t="str">
        <f>+IF(VLOOKUP(A42,'Estado SCI'!$A$16:$G$59,7,0)="","",VLOOKUP(A42,'Estado SCI'!$A$16:$G$59,7,0))</f>
        <v>En proceso</v>
      </c>
      <c r="J42" s="160">
        <f t="shared" si="2"/>
        <v>0.5</v>
      </c>
      <c r="K42" s="161">
        <f t="shared" si="1"/>
        <v>0.4</v>
      </c>
    </row>
    <row r="43" spans="1:11" x14ac:dyDescent="0.25">
      <c r="A43" s="159" t="s">
        <v>188</v>
      </c>
      <c r="B43" s="159" t="s">
        <v>97</v>
      </c>
      <c r="C43" s="159" t="s">
        <v>73</v>
      </c>
      <c r="D43" s="159" t="s">
        <v>40</v>
      </c>
      <c r="E43" s="159" t="s">
        <v>110</v>
      </c>
      <c r="F43" s="159" t="str">
        <f>+VLOOKUP(A43,'Estado SCI'!$A$16:$I$59,9,0)</f>
        <v>Oportunidad de mejora</v>
      </c>
      <c r="G43" s="159">
        <f>+VLOOKUP(A43,'Estado SCI'!$A$16:$L$59,12,0)</f>
        <v>100.85123456780001</v>
      </c>
      <c r="H43" s="159">
        <f t="shared" si="0"/>
        <v>41</v>
      </c>
      <c r="I43" s="159" t="str">
        <f>+IF(VLOOKUP(A43,'Estado SCI'!$A$16:$G$59,7,0)="","",VLOOKUP(A43,'Estado SCI'!$A$16:$G$59,7,0))</f>
        <v>En proceso</v>
      </c>
      <c r="J43" s="160">
        <f t="shared" si="2"/>
        <v>0.5</v>
      </c>
      <c r="K43" s="161">
        <f t="shared" si="1"/>
        <v>0.4</v>
      </c>
    </row>
    <row r="44" spans="1:11" x14ac:dyDescent="0.25">
      <c r="A44" s="159" t="s">
        <v>189</v>
      </c>
      <c r="B44" s="159" t="s">
        <v>97</v>
      </c>
      <c r="C44" s="159" t="s">
        <v>73</v>
      </c>
      <c r="D44" s="159" t="s">
        <v>42</v>
      </c>
      <c r="E44" s="159" t="s">
        <v>111</v>
      </c>
      <c r="F44" s="159" t="str">
        <f>+VLOOKUP(A44,'Estado SCI'!$A$16:$I$59,9,0)</f>
        <v>Oportunidad de mejora</v>
      </c>
      <c r="G44" s="159">
        <f>+VLOOKUP(A44,'Estado SCI'!$A$16:$L$59,12,0)</f>
        <v>100.85123456789</v>
      </c>
      <c r="H44" s="159">
        <f t="shared" si="0"/>
        <v>42</v>
      </c>
      <c r="I44" s="159" t="str">
        <f>+IF(VLOOKUP(A44,'Estado SCI'!$A$16:$G$59,7,0)="","",VLOOKUP(A44,'Estado SCI'!$A$16:$G$59,7,0))</f>
        <v>En proceso</v>
      </c>
      <c r="J44" s="160">
        <f t="shared" si="2"/>
        <v>0.5</v>
      </c>
      <c r="K44" s="161">
        <f t="shared" si="1"/>
        <v>0.4</v>
      </c>
    </row>
    <row r="45" spans="1:11" x14ac:dyDescent="0.25">
      <c r="A45" s="159" t="s">
        <v>190</v>
      </c>
      <c r="B45" s="159" t="s">
        <v>97</v>
      </c>
      <c r="C45" s="159" t="s">
        <v>73</v>
      </c>
      <c r="D45" s="159" t="s">
        <v>44</v>
      </c>
      <c r="E45" s="159" t="s">
        <v>112</v>
      </c>
      <c r="F45" s="159" t="str">
        <f>+VLOOKUP(A45,'Estado SCI'!$A$16:$I$59,9,0)</f>
        <v>Oportunidad de mejora</v>
      </c>
      <c r="G45" s="159">
        <f>+VLOOKUP(A45,'Estado SCI'!$A$16:$L$59,12,0)</f>
        <v>100.851234567891</v>
      </c>
      <c r="H45" s="159">
        <f t="shared" si="0"/>
        <v>43</v>
      </c>
      <c r="I45" s="159" t="str">
        <f>+IF(VLOOKUP(A45,'Estado SCI'!$A$16:$G$59,7,0)="","",VLOOKUP(A45,'Estado SCI'!$A$16:$G$59,7,0))</f>
        <v>En proceso</v>
      </c>
      <c r="J45" s="160">
        <f t="shared" si="2"/>
        <v>0.5</v>
      </c>
      <c r="K45" s="161">
        <f t="shared" si="1"/>
        <v>0.4</v>
      </c>
    </row>
  </sheetData>
  <sheetProtection algorithmName="SHA-512" hashValue="eXgkKlTi9xJKAI7t6Aeb2RaFpkfyF43pI2BIhtxDc7hsl0SqLK8I4Wc7jbZwC5kw3uyIHOBIUXRnh5cC70LKYA==" saltValue="AxKzX6Ar80vT7acQV8rFpQ==" spinCount="100000" sheet="1" objects="1" scenarios="1" selectLockedCells="1"/>
  <autoFilter ref="A1:K45" xr:uid="{00000000-0009-0000-0000-00000400000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Instructivo</vt:lpstr>
      <vt:lpstr>Estado SCI</vt:lpstr>
      <vt:lpstr>Análisis Resultados</vt:lpstr>
      <vt:lpstr>Conclusión</vt: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Sala Juntas Piso 6</dc:creator>
  <cp:keywords/>
  <dc:description/>
  <cp:lastModifiedBy>JSJUNCAC</cp:lastModifiedBy>
  <cp:revision/>
  <dcterms:created xsi:type="dcterms:W3CDTF">2020-04-28T13:58:09Z</dcterms:created>
  <dcterms:modified xsi:type="dcterms:W3CDTF">2021-07-30T21:54:53Z</dcterms:modified>
  <cp:category/>
  <cp:contentStatus/>
</cp:coreProperties>
</file>