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521" windowWidth="3960" windowHeight="3210" tabRatio="906" activeTab="0"/>
  </bookViews>
  <sheets>
    <sheet name="plan de 2008-2015" sheetId="1" r:id="rId1"/>
    <sheet name="ESRI_MAPINFO_SHEET" sheetId="2" state="veryHidden" r:id="rId2"/>
  </sheets>
  <definedNames>
    <definedName name="_xlnm.Print_Area" localSheetId="0">'plan de 2008-2015'!$A$1:$V$197</definedName>
  </definedNames>
  <calcPr fullCalcOnLoad="1"/>
</workbook>
</file>

<file path=xl/comments1.xml><?xml version="1.0" encoding="utf-8"?>
<comments xmlns="http://schemas.openxmlformats.org/spreadsheetml/2006/main">
  <authors>
    <author>GILBERTH</author>
  </authors>
  <commentList>
    <comment ref="B113" authorId="0">
      <text>
        <r>
          <rPr>
            <b/>
            <sz val="9"/>
            <rFont val="Tahoma"/>
            <family val="2"/>
          </rPr>
          <t>GILBERTH:</t>
        </r>
        <r>
          <rPr>
            <sz val="9"/>
            <rFont val="Tahoma"/>
            <family val="2"/>
          </rPr>
          <t xml:space="preserve">
verificar</t>
        </r>
      </text>
    </comment>
  </commentList>
</comments>
</file>

<file path=xl/sharedStrings.xml><?xml version="1.0" encoding="utf-8"?>
<sst xmlns="http://schemas.openxmlformats.org/spreadsheetml/2006/main" count="380" uniqueCount="164">
  <si>
    <t>PROGRAMA</t>
  </si>
  <si>
    <t>SUBPROGRAMA</t>
  </si>
  <si>
    <t>(MILLONES DE PESOS)</t>
  </si>
  <si>
    <t xml:space="preserve"> </t>
  </si>
  <si>
    <t>TOTAL PROGRAMA</t>
  </si>
  <si>
    <t>TOTAL</t>
  </si>
  <si>
    <t>INTEGRACIÓN REGIONAL</t>
  </si>
  <si>
    <t>SECRETARÍA DE PLANEACIÓN</t>
  </si>
  <si>
    <t>DIRECCIÓN DE FINANZAS PÚBLICAS</t>
  </si>
  <si>
    <t xml:space="preserve">OBJETIVO 1: DESARROLLO INTEGRAL DEL SER HUMANO </t>
  </si>
  <si>
    <t>EJECUTADO* 2012</t>
  </si>
  <si>
    <t>EJECUTADO*  2013</t>
  </si>
  <si>
    <t>EJECUTADO*  2014</t>
  </si>
  <si>
    <t>EJECUTADO*  2015</t>
  </si>
  <si>
    <t>INICIO PAREJO DE LA VIDA</t>
  </si>
  <si>
    <t>EXSITENCIA</t>
  </si>
  <si>
    <t>DESARROLLO</t>
  </si>
  <si>
    <t>CIUDADANIA</t>
  </si>
  <si>
    <t>PROTECCION</t>
  </si>
  <si>
    <t>ALIANZA POR LA INFANCIA</t>
  </si>
  <si>
    <t>VIVE Y CRECE ADOLESCENCIA</t>
  </si>
  <si>
    <t>JOVENES CONSTRUCTORES DE PAZ</t>
  </si>
  <si>
    <t xml:space="preserve">ADULTAS Y ADULTOS CON EQUIDAD </t>
  </si>
  <si>
    <t>VEJEZ DIVINO TESORO</t>
  </si>
  <si>
    <t>VÍCTIMAS DEL CONFLICTO ARMADO CON GARANTÍA DE DERECHOS</t>
  </si>
  <si>
    <t>FAMILIAS FORJADORAS DE SOCIEDAD</t>
  </si>
  <si>
    <t>EQUIPAMIENTO SOCIAL PARA EL DESARROLLO INTEGRAL</t>
  </si>
  <si>
    <t>VIDA, INTEGRIDAD, LIBERTAD Y SEGURIDAD</t>
  </si>
  <si>
    <t xml:space="preserve">ATENCIÓN HUMANITARIA </t>
  </si>
  <si>
    <t>ATENCIÓN INTEGRAL BÁSICA</t>
  </si>
  <si>
    <t>VIVIENDA</t>
  </si>
  <si>
    <t>SUPERACIÓN DE LA POBREZA</t>
  </si>
  <si>
    <t>ETNIAS</t>
  </si>
  <si>
    <t>PERSONAS EN CONDICIÓN DE DISCAPACIDAD</t>
  </si>
  <si>
    <t>DINÁMICA FAMILIAR</t>
  </si>
  <si>
    <t>DESARROLLO INTEGRAL DE LA MUJER</t>
  </si>
  <si>
    <t>MUJER LIBRE DE VIOLENCIA</t>
  </si>
  <si>
    <t>INFRAESTRUCTURA SOCIAL</t>
  </si>
  <si>
    <t>OBJETIVO 2: SOSTENIBILIDAD Y RURALIDAD</t>
  </si>
  <si>
    <t>TERRITORIO SOPORTE PARA EL DESARROLLO</t>
  </si>
  <si>
    <t>BIENES Y SERVICIOS AMBIENTALES PATRIMONIO DE CUNDINAMARCA</t>
  </si>
  <si>
    <t>AGUA POTABLE Y SANEAMIENTO BASICO PARA LA SALUD DE LOS CUNDINAMARQUESES</t>
  </si>
  <si>
    <t>DESARROLLO COMPETITIVO DEL SECTOR AGROPECUARIO</t>
  </si>
  <si>
    <t>DESARROLLO RURAL INTEGRAL</t>
  </si>
  <si>
    <t>GESTIÓN INTEGRAL DE RESIDUOS SÓLIDOS</t>
  </si>
  <si>
    <t>GESTIÓN DEL RIESGO Y ADAPTACIÓN AL CAMBIO Y VARIABILIDAD CLIMÁTICA</t>
  </si>
  <si>
    <t>CUNDINAMARCA VERDE: CALIDAD DE VIDA</t>
  </si>
  <si>
    <t>DESARROLLO LOCAL TERRITORIAL</t>
  </si>
  <si>
    <t xml:space="preserve">CUNDINAMARCA HACIA LA CONSOLIDACIÓN E INTEGRACIÓN REGIONAL </t>
  </si>
  <si>
    <t xml:space="preserve">PROTECCIÓN Y ASEGURAMINETO DEL RECURSO HÍDRICO </t>
  </si>
  <si>
    <t>CONSERVACIÓN Y MANEJO DE ECOSISTEMAS ESTRATÉGICOS</t>
  </si>
  <si>
    <t xml:space="preserve">CUNDINAMARCA NEUTRA </t>
  </si>
  <si>
    <t xml:space="preserve">VALORACIÓN DE BIENES Y SERVICIOS AMBIENTALES </t>
  </si>
  <si>
    <t>INFRAESTRUCTURA DE AGUA POTABLE Y SANEAMIENTO BÁSICO</t>
  </si>
  <si>
    <t>CALIDAD DE AGUA</t>
  </si>
  <si>
    <t xml:space="preserve">ABASTECIMIENTO Y PREVENCIÓN </t>
  </si>
  <si>
    <t>PRODUCTIVIDAD AGROPECUARIA</t>
  </si>
  <si>
    <t>FINANCIAMIENTO PARA EL SECTOR AGROPECUARIO</t>
  </si>
  <si>
    <t>COMPETITIVIDAD AGROPECUARIA</t>
  </si>
  <si>
    <t>DESARROLLO TECNOLÓGICO, TRANSFERENCIA DE TECNOLOGÍA, ASISTENCIA TÉCNICA Y PLANIFICACIÓN AGROPECUARIA</t>
  </si>
  <si>
    <t>ACCESO A LA TIERRA RURAL</t>
  </si>
  <si>
    <t>ADECUACIÓN DE TIERRAS</t>
  </si>
  <si>
    <t>EQUIDAD Y GÉNERO</t>
  </si>
  <si>
    <t>SERVICIO PÚBLICO DE ASISTENCIA TÉCNICA DIRECTA RURAL Y RIESGOS AGROPECUARIOS</t>
  </si>
  <si>
    <t>PLANIFICACIÓN INTEGRAL DE LA GESTIÓN</t>
  </si>
  <si>
    <t xml:space="preserve">ESTRATEGIAS PARA EL FORTALECIMIENTO DE LA GESTIÓN INTEGRAL </t>
  </si>
  <si>
    <t xml:space="preserve">PROMOCIÓN Y CULTURA DE LA GESTIÓN INTEGRAL </t>
  </si>
  <si>
    <t>GESTIÓN INTEGRAL DEL RIESGO</t>
  </si>
  <si>
    <t>ADAPTACIÓN AL CAMBIO Y VARIABILIDAD CLIMÁTICA</t>
  </si>
  <si>
    <t>CUNDINAMARCA POTENCIA FORESTAL ESTRATÉGICA PARA EL DESARROLLO</t>
  </si>
  <si>
    <t>CUNDINAMARCA GENERADORA DE CONOCIMIENTO Y CONCIENCIA FORESTAL PARA EL PRESENTE Y EL FUTURO</t>
  </si>
  <si>
    <t>MUNICIPIOS CUNDINAMARQUESES REVERDECIDOS Y CON OPORTUNIDADES SUSTENTABLES DE NEGOCIO</t>
  </si>
  <si>
    <t xml:space="preserve">OBJETIVO 3: COMPETITIVIDAD, INNOVACIÓN Y MOVILIDAD </t>
  </si>
  <si>
    <t xml:space="preserve">CUNDINAMARCA  COMPETITIVA, EMPRENDEDORA Y EMPRESARIAL </t>
  </si>
  <si>
    <t>CUNDINAMARCA DINÁMICA,  ATRACTIVA E INTERNACIONAL</t>
  </si>
  <si>
    <t>MINERIA Y ENERGIA RESPONSABLE PARA CUNDINAMARCA</t>
  </si>
  <si>
    <t>INFRAESTRUCTURA Y SERVICIOS PARA LA COMPETITIVIDAD  Y LA MOVILIDAD</t>
  </si>
  <si>
    <t>CUNDINAMARCA INNOVADORA CON CIENCIA Y TECNOLOGIA</t>
  </si>
  <si>
    <t>TURISMO REGIONAL</t>
  </si>
  <si>
    <t>TOTAL OBJETIVO 3</t>
  </si>
  <si>
    <t>TOTAL OBJETIVO 2</t>
  </si>
  <si>
    <t>TOTAL OBJETIVO 1</t>
  </si>
  <si>
    <t>EMPRENDIMIENTO</t>
  </si>
  <si>
    <t>DESARROLLO EMPRESARIAL</t>
  </si>
  <si>
    <t>PRODUCTIVIDAD Y COMPETITIVIDAD</t>
  </si>
  <si>
    <t>CUNDINAMARCA ATRACTIVA PARA LA INVERSIÓN EXTERNA</t>
  </si>
  <si>
    <t>MARKETING TERRITORIAL</t>
  </si>
  <si>
    <t>COOPERACIÓN INTERNACIONAL</t>
  </si>
  <si>
    <t>TLC'S Y ACUERDOS INTERNACIONALES</t>
  </si>
  <si>
    <t>DESARROLLO EMPRESARIAL MINERO</t>
  </si>
  <si>
    <t>ENERGÍA Y GAS PARA EL DESARROLLO DE CUNDINAMARCA</t>
  </si>
  <si>
    <t>INFRAESTRUCTURA PARA LA MOVILIDAD</t>
  </si>
  <si>
    <t>SEGURIDAD VIAL</t>
  </si>
  <si>
    <t>INFRAESTRUCTURA LOGÍSTICA PARA LA PRODUCTIVIDAD</t>
  </si>
  <si>
    <t>INVESTIGACIÓN Y DESARROLLO</t>
  </si>
  <si>
    <t>INNOVACIÓN SOCIAL</t>
  </si>
  <si>
    <t>INNOVACIÓN RURAL</t>
  </si>
  <si>
    <t>INNOVACIÓN PRODUCTIVA</t>
  </si>
  <si>
    <t>GESTIÓN DEL DESTINO</t>
  </si>
  <si>
    <t>PROMOCIÓN TURÍSTICA</t>
  </si>
  <si>
    <t>SUPRAREGIONAL</t>
  </si>
  <si>
    <t>REGIONAL</t>
  </si>
  <si>
    <t>SUBREGIONAL</t>
  </si>
  <si>
    <t>SEGURIDAD Y CONVIVENCIA CON DERECHOS HUMANOS</t>
  </si>
  <si>
    <t>MODERNIZACIÓN DE LA GESTIÓN</t>
  </si>
  <si>
    <t>CUNDINAMARCA CON ESPACIOS DE PARTICIPACIÓN REAL</t>
  </si>
  <si>
    <t>CULTURA E IDENTIDAD CUNDINAMARQUESA</t>
  </si>
  <si>
    <t>CUNDINAMARCA GOBIERNO INTELIGENTE CON DECISIONES INFORMADAS</t>
  </si>
  <si>
    <t>SEGUIMIENTO Y EVALUACIÓN PARA MEJOR DESEMPEÑO</t>
  </si>
  <si>
    <t>SEGURIDAD URBANA Y RURAL</t>
  </si>
  <si>
    <t>ACCESO Y FORTALECIMIENTO DE LA JUSTICIA</t>
  </si>
  <si>
    <t>DERECHOS HUMANOS Y CONVIVENCIA</t>
  </si>
  <si>
    <t>FORTALECIMIENTO DE LA GESTIÓN</t>
  </si>
  <si>
    <t>ESCUELA DE BUEN GOBIERNO</t>
  </si>
  <si>
    <t>BIENESTAR E INCENTIVOS</t>
  </si>
  <si>
    <t>COMUNICACIONES PARTICIPATIVAS</t>
  </si>
  <si>
    <t>ESFUERZO FISCAL</t>
  </si>
  <si>
    <t>COOPERACIÓN Y GESTIÓN ESTRATÉGICA PARA EL DESARROLLO</t>
  </si>
  <si>
    <t xml:space="preserve">REDES DE FORTALECIMIENTO Y APRENDIZAJE PARA EL BUEN GOBIERNO </t>
  </si>
  <si>
    <t>RED PARA EL CONOCIMIENTO Y LA INFORMACIÓN</t>
  </si>
  <si>
    <t>FORTALECIMIENTO INTEGRAL A LA GESTIÓN LOCAL</t>
  </si>
  <si>
    <t>MEJORAMIENTO DEL SERVICIO</t>
  </si>
  <si>
    <t>INSTANCIAS DE PARTICIPACIÓN INSTITUCIONAL</t>
  </si>
  <si>
    <t xml:space="preserve">VEEDURÍAS CIUDADANAS Y MECANISMOS DE PARTICIPACIÓN SOCIAL EN SALUD </t>
  </si>
  <si>
    <t xml:space="preserve">INSTANCIAS DE PARTICIPACIÓN EN ORGANIZACIONES COMUNITARIAS </t>
  </si>
  <si>
    <t>APROPIACIÓN DE NUESTRA IDENTIDAD CULTURAL</t>
  </si>
  <si>
    <t>INFRAESTRUCTURA DE TIC´S</t>
  </si>
  <si>
    <t>SERVICIOS Y APLICACIONES SOPORTADAS EN TIC´S</t>
  </si>
  <si>
    <t>USO Y APROPIACIÓN DE TIC´S</t>
  </si>
  <si>
    <t>DESARROLLOS INFORMÁTICOS PARA LA GESTIÓN</t>
  </si>
  <si>
    <t>SEGUIMIENTO Y EVALUACIÓN PARA EL MEJORAMIENTO DE LA GESTIÓN PÚBLICA</t>
  </si>
  <si>
    <t>OBJETIVOS</t>
  </si>
  <si>
    <t>OBJETIVO 4: FORTALECIMIENTO INSTITUCIONAL PARA GENERAR VALOR DE LO PÚBLICO</t>
  </si>
  <si>
    <t>EXISTENCIA</t>
  </si>
  <si>
    <t>MUJERES LÍDER Y LIBRE DE VIOLENCIA</t>
  </si>
  <si>
    <t>SEGURIDAD ALIMENTARIA Y NUTRICIONAL</t>
  </si>
  <si>
    <t>TIC EN CUNDINAMARCA</t>
  </si>
  <si>
    <t xml:space="preserve">PLAN DEPARTAMENTAL DE DESARROLLO "CUNDINAMARCA, CALIDA DE VIDA"  </t>
  </si>
  <si>
    <t>% EJECUCION 2012-2013</t>
  </si>
  <si>
    <t>FORTALECIMIENTO EMPRESARIAL</t>
  </si>
  <si>
    <t>ASIGNADO* 2012</t>
  </si>
  <si>
    <t xml:space="preserve"> EJECUTADO* 2012</t>
  </si>
  <si>
    <t>ASIGNADO* 2013</t>
  </si>
  <si>
    <t xml:space="preserve"> EJECUTADO* 2013</t>
  </si>
  <si>
    <t>TOTAL EJECUTADO 2012</t>
  </si>
  <si>
    <t>EJECUTADO 2012</t>
  </si>
  <si>
    <t>TOTAL OBJETIVO 4</t>
  </si>
  <si>
    <t>POR EJECUTAR</t>
  </si>
  <si>
    <t>% POR EJECUTAR</t>
  </si>
  <si>
    <t>EMPODERAMIENTO LOCAL PARA LA EQUIDAD Y LA UNIDAD TERRITORIAL</t>
  </si>
  <si>
    <t>ASIGNADO* 2014</t>
  </si>
  <si>
    <t xml:space="preserve"> EJECUTADO* 2014</t>
  </si>
  <si>
    <t>TOTAL ASIGNADO 2012-2013-2014</t>
  </si>
  <si>
    <t>TOTAL EJECUTADO 2012-2013-2014</t>
  </si>
  <si>
    <t>POR EJECUTAR 2014</t>
  </si>
  <si>
    <t>PROGRAMADO PLAN DE DESARROLLO 2015</t>
  </si>
  <si>
    <t>PROGRAMADO PLAN DE DESARROLLO -2015</t>
  </si>
  <si>
    <t xml:space="preserve"> EJECUTADO* 2015</t>
  </si>
  <si>
    <t>PROGRAMADO PLAN  DE DESARROLLO 2012-2013-2014-2015</t>
  </si>
  <si>
    <t>EJECUCIÓN PLAN PLURIANUAL DE INVERSIONES 2012-2013-2014-215</t>
  </si>
  <si>
    <t>EJECUCIÓN PLAN PLURIANUAL DE INVERSIONES 2012-2013-2014-2015</t>
  </si>
  <si>
    <t>TOTAL EJECUTADO 2012-2013-2014-2015</t>
  </si>
  <si>
    <t>% EJECUCION</t>
  </si>
  <si>
    <t xml:space="preserve">EJECUCION A 31 DE DICIEMBRE 2015 Y REGALIAS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</si>
</sst>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0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wrapText="1"/>
    </xf>
    <xf numFmtId="3" fontId="0" fillId="34" borderId="0" xfId="0" applyNumberFormat="1" applyFont="1" applyFill="1" applyAlignment="1">
      <alignment wrapText="1"/>
    </xf>
    <xf numFmtId="0" fontId="5" fillId="34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justify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justify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center" wrapText="1"/>
    </xf>
    <xf numFmtId="10" fontId="0" fillId="33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justify" vertical="justify" wrapText="1"/>
    </xf>
    <xf numFmtId="0" fontId="5" fillId="35" borderId="10" xfId="0" applyFont="1" applyFill="1" applyBorder="1" applyAlignment="1">
      <alignment horizontal="justify" vertical="justify" wrapText="1"/>
    </xf>
    <xf numFmtId="10" fontId="4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0" fontId="4" fillId="36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10" fontId="4" fillId="36" borderId="11" xfId="0" applyNumberFormat="1" applyFont="1" applyFill="1" applyBorder="1" applyAlignment="1">
      <alignment horizontal="center" vertical="center" wrapText="1"/>
    </xf>
    <xf numFmtId="10" fontId="4" fillId="35" borderId="11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/>
    </xf>
    <xf numFmtId="3" fontId="3" fillId="35" borderId="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left" vertical="center" wrapText="1"/>
    </xf>
    <xf numFmtId="3" fontId="0" fillId="34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0" fontId="0" fillId="34" borderId="0" xfId="0" applyNumberFormat="1" applyFont="1" applyFill="1" applyAlignment="1">
      <alignment/>
    </xf>
    <xf numFmtId="10" fontId="0" fillId="33" borderId="10" xfId="0" applyNumberFormat="1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10" fontId="0" fillId="37" borderId="11" xfId="0" applyNumberFormat="1" applyFont="1" applyFill="1" applyBorder="1" applyAlignment="1">
      <alignment horizontal="center" vertical="center" wrapText="1"/>
    </xf>
    <xf numFmtId="10" fontId="4" fillId="37" borderId="11" xfId="0" applyNumberFormat="1" applyFont="1" applyFill="1" applyBorder="1" applyAlignment="1">
      <alignment horizontal="center" vertical="center" wrapText="1"/>
    </xf>
    <xf numFmtId="3" fontId="0" fillId="38" borderId="0" xfId="0" applyNumberFormat="1" applyFont="1" applyFill="1" applyAlignment="1">
      <alignment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9" fontId="0" fillId="34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 horizontal="justify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3" fillId="35" borderId="0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342900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9629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0"/>
  <sheetViews>
    <sheetView tabSelected="1" zoomScale="80" zoomScaleNormal="80" zoomScalePageLayoutView="0" workbookViewId="0" topLeftCell="A1">
      <pane xSplit="1" ySplit="8" topLeftCell="B18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83" sqref="A183"/>
    </sheetView>
  </sheetViews>
  <sheetFormatPr defaultColWidth="11.421875" defaultRowHeight="12.75"/>
  <cols>
    <col min="1" max="1" width="29.8515625" style="1" customWidth="1"/>
    <col min="2" max="2" width="35.57421875" style="10" customWidth="1"/>
    <col min="3" max="3" width="19.140625" style="2" customWidth="1"/>
    <col min="4" max="4" width="17.8515625" style="3" hidden="1" customWidth="1"/>
    <col min="5" max="5" width="15.421875" style="3" hidden="1" customWidth="1"/>
    <col min="6" max="6" width="19.140625" style="3" hidden="1" customWidth="1"/>
    <col min="7" max="7" width="19.00390625" style="3" hidden="1" customWidth="1"/>
    <col min="8" max="8" width="20.140625" style="3" hidden="1" customWidth="1"/>
    <col min="9" max="9" width="15.7109375" style="3" customWidth="1"/>
    <col min="10" max="10" width="15.140625" style="74" hidden="1" customWidth="1"/>
    <col min="11" max="11" width="17.00390625" style="74" customWidth="1"/>
    <col min="12" max="12" width="14.421875" style="74" hidden="1" customWidth="1"/>
    <col min="13" max="13" width="15.00390625" style="74" customWidth="1"/>
    <col min="14" max="14" width="0.42578125" style="74" hidden="1" customWidth="1"/>
    <col min="15" max="15" width="15.00390625" style="74" customWidth="1"/>
    <col min="16" max="16" width="15.28125" style="3" hidden="1" customWidth="1"/>
    <col min="17" max="17" width="16.00390625" style="3" customWidth="1"/>
    <col min="18" max="18" width="16.00390625" style="3" hidden="1" customWidth="1"/>
    <col min="19" max="19" width="17.421875" style="1" hidden="1" customWidth="1"/>
    <col min="20" max="20" width="18.28125" style="60" hidden="1" customWidth="1"/>
    <col min="21" max="21" width="16.8515625" style="60" hidden="1" customWidth="1"/>
    <col min="22" max="22" width="14.421875" style="12" bestFit="1" customWidth="1"/>
    <col min="23" max="23" width="11.421875" style="12" hidden="1" customWidth="1"/>
    <col min="24" max="24" width="10.140625" style="12" hidden="1" customWidth="1"/>
    <col min="25" max="25" width="18.28125" style="12" hidden="1" customWidth="1"/>
    <col min="26" max="26" width="11.28125" style="12" hidden="1" customWidth="1"/>
    <col min="27" max="27" width="0" style="12" hidden="1" customWidth="1"/>
    <col min="28" max="29" width="11.421875" style="12" customWidth="1"/>
    <col min="30" max="16384" width="11.421875" style="1" customWidth="1"/>
  </cols>
  <sheetData>
    <row r="1" spans="1:22" ht="18" customHeight="1">
      <c r="A1" s="89" t="s">
        <v>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2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3.5" customHeight="1">
      <c r="A3" s="92" t="s">
        <v>159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7.25" customHeight="1">
      <c r="A4" s="89" t="s">
        <v>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6.75" customHeight="1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52"/>
      <c r="U5" s="52"/>
      <c r="V5" s="53"/>
    </row>
    <row r="6" spans="1:22" ht="12.7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53"/>
      <c r="U6" s="53"/>
      <c r="V6" s="53"/>
    </row>
    <row r="7" spans="1:22" ht="51.75" customHeight="1">
      <c r="A7" s="94" t="s">
        <v>0</v>
      </c>
      <c r="B7" s="94" t="s">
        <v>1</v>
      </c>
      <c r="C7" s="94" t="s">
        <v>158</v>
      </c>
      <c r="D7" s="87" t="s">
        <v>10</v>
      </c>
      <c r="E7" s="87" t="s">
        <v>140</v>
      </c>
      <c r="F7" s="87" t="s">
        <v>11</v>
      </c>
      <c r="G7" s="87" t="s">
        <v>12</v>
      </c>
      <c r="H7" s="87" t="s">
        <v>13</v>
      </c>
      <c r="I7" s="87" t="s">
        <v>141</v>
      </c>
      <c r="J7" s="87" t="s">
        <v>142</v>
      </c>
      <c r="K7" s="87" t="s">
        <v>143</v>
      </c>
      <c r="L7" s="87" t="s">
        <v>150</v>
      </c>
      <c r="M7" s="87" t="s">
        <v>151</v>
      </c>
      <c r="N7" s="82"/>
      <c r="O7" s="87" t="s">
        <v>157</v>
      </c>
      <c r="P7" s="87" t="s">
        <v>152</v>
      </c>
      <c r="Q7" s="87" t="s">
        <v>161</v>
      </c>
      <c r="R7" s="90" t="s">
        <v>154</v>
      </c>
      <c r="S7" s="94" t="s">
        <v>138</v>
      </c>
      <c r="T7" s="87" t="s">
        <v>155</v>
      </c>
      <c r="U7" s="87" t="s">
        <v>147</v>
      </c>
      <c r="V7" s="87" t="s">
        <v>162</v>
      </c>
    </row>
    <row r="8" spans="1:22" ht="11.25" customHeight="1">
      <c r="A8" s="94"/>
      <c r="B8" s="94"/>
      <c r="C8" s="94"/>
      <c r="D8" s="87"/>
      <c r="E8" s="87"/>
      <c r="F8" s="87"/>
      <c r="G8" s="87"/>
      <c r="H8" s="87"/>
      <c r="I8" s="87"/>
      <c r="J8" s="87"/>
      <c r="K8" s="87"/>
      <c r="L8" s="87"/>
      <c r="M8" s="87"/>
      <c r="N8" s="82"/>
      <c r="O8" s="87"/>
      <c r="P8" s="87"/>
      <c r="Q8" s="87"/>
      <c r="R8" s="91"/>
      <c r="S8" s="94"/>
      <c r="T8" s="87"/>
      <c r="U8" s="87"/>
      <c r="V8" s="87" t="s">
        <v>148</v>
      </c>
    </row>
    <row r="9" spans="1:26" ht="18" customHeight="1">
      <c r="A9" s="88" t="s">
        <v>14</v>
      </c>
      <c r="B9" s="31" t="s">
        <v>133</v>
      </c>
      <c r="C9" s="32">
        <f>4743+4131+6567+6486</f>
        <v>21927</v>
      </c>
      <c r="D9" s="32">
        <v>300</v>
      </c>
      <c r="E9" s="32">
        <f>4678</f>
        <v>4678</v>
      </c>
      <c r="F9" s="32"/>
      <c r="G9" s="32"/>
      <c r="H9" s="32"/>
      <c r="I9" s="32">
        <f>3122</f>
        <v>3122</v>
      </c>
      <c r="J9" s="32">
        <v>16645</v>
      </c>
      <c r="K9" s="32">
        <v>8869</v>
      </c>
      <c r="L9" s="32">
        <v>6611</v>
      </c>
      <c r="M9" s="32">
        <v>4504</v>
      </c>
      <c r="N9" s="32"/>
      <c r="O9" s="32">
        <v>10574</v>
      </c>
      <c r="P9" s="32">
        <f>+E9+J9+L9</f>
        <v>27934</v>
      </c>
      <c r="Q9" s="32">
        <f>+I9+K9+M9+O9</f>
        <v>27069</v>
      </c>
      <c r="R9" s="71">
        <f>+C9-Q9</f>
        <v>-5142</v>
      </c>
      <c r="S9" s="72">
        <f>+Q9/C9</f>
        <v>1.2345054042960732</v>
      </c>
      <c r="T9" s="32">
        <f>6486</f>
        <v>6486</v>
      </c>
      <c r="U9" s="32">
        <f>+R9+T9</f>
        <v>1344</v>
      </c>
      <c r="V9" s="67">
        <f>+Q9/C9</f>
        <v>1.2345054042960732</v>
      </c>
      <c r="W9" s="66" t="s">
        <v>3</v>
      </c>
      <c r="X9" s="11">
        <f>+T9+C9</f>
        <v>28413</v>
      </c>
      <c r="Y9" s="67">
        <f>+U9/X9</f>
        <v>0.04730229120473023</v>
      </c>
      <c r="Z9" s="66" t="s">
        <v>3</v>
      </c>
    </row>
    <row r="10" spans="1:25" ht="12.75">
      <c r="A10" s="88"/>
      <c r="B10" s="31" t="s">
        <v>16</v>
      </c>
      <c r="C10" s="33">
        <f>3710+3185+5082+5027</f>
        <v>17004</v>
      </c>
      <c r="D10" s="32">
        <f>20+20+2000+68</f>
        <v>2108</v>
      </c>
      <c r="E10" s="32">
        <f>2579</f>
        <v>2579</v>
      </c>
      <c r="F10" s="32"/>
      <c r="G10" s="32"/>
      <c r="H10" s="32"/>
      <c r="I10" s="32">
        <f>2368</f>
        <v>2368</v>
      </c>
      <c r="J10" s="32">
        <v>3089</v>
      </c>
      <c r="K10" s="32">
        <v>2298</v>
      </c>
      <c r="L10" s="32">
        <v>4432</v>
      </c>
      <c r="M10" s="32">
        <v>3849</v>
      </c>
      <c r="N10" s="32"/>
      <c r="O10" s="32">
        <v>1572</v>
      </c>
      <c r="P10" s="32">
        <f>+E10+J10+L10</f>
        <v>10100</v>
      </c>
      <c r="Q10" s="32">
        <f aca="true" t="shared" si="0" ref="Q10:Q52">+I10+K10+M10+O10</f>
        <v>10087</v>
      </c>
      <c r="R10" s="71">
        <f aca="true" t="shared" si="1" ref="R10:R54">+C10-Q10</f>
        <v>6917</v>
      </c>
      <c r="S10" s="72">
        <f aca="true" t="shared" si="2" ref="S10:S54">+Q10/C10</f>
        <v>0.5932133615619855</v>
      </c>
      <c r="T10" s="32">
        <f>5027</f>
        <v>5027</v>
      </c>
      <c r="U10" s="32">
        <f aca="true" t="shared" si="3" ref="U10:U54">+R10+T10</f>
        <v>11944</v>
      </c>
      <c r="V10" s="67">
        <f aca="true" t="shared" si="4" ref="V10:V54">+Q10/C10</f>
        <v>0.5932133615619855</v>
      </c>
      <c r="X10" s="11">
        <f aca="true" t="shared" si="5" ref="X10:X73">+T10+C10</f>
        <v>22031</v>
      </c>
      <c r="Y10" s="67">
        <f>+U10/X10</f>
        <v>0.542145159094004</v>
      </c>
    </row>
    <row r="11" spans="1:24" ht="12.75">
      <c r="A11" s="88"/>
      <c r="B11" s="31" t="s">
        <v>17</v>
      </c>
      <c r="C11" s="33">
        <f>14+10+23+22</f>
        <v>69</v>
      </c>
      <c r="D11" s="32">
        <v>0</v>
      </c>
      <c r="E11" s="32">
        <v>0</v>
      </c>
      <c r="F11" s="32"/>
      <c r="G11" s="32"/>
      <c r="H11" s="32"/>
      <c r="I11" s="32">
        <f>+D11+F11+G11+H11</f>
        <v>0</v>
      </c>
      <c r="J11" s="32">
        <v>28</v>
      </c>
      <c r="K11" s="32">
        <v>28</v>
      </c>
      <c r="L11" s="32">
        <v>199</v>
      </c>
      <c r="M11" s="32">
        <v>199</v>
      </c>
      <c r="N11" s="32"/>
      <c r="O11" s="32">
        <v>10</v>
      </c>
      <c r="P11" s="32">
        <f>+E11+J11+L11</f>
        <v>227</v>
      </c>
      <c r="Q11" s="32">
        <f t="shared" si="0"/>
        <v>237</v>
      </c>
      <c r="R11" s="71">
        <f t="shared" si="1"/>
        <v>-168</v>
      </c>
      <c r="S11" s="72">
        <f t="shared" si="2"/>
        <v>3.4347826086956523</v>
      </c>
      <c r="T11" s="32">
        <f>22</f>
        <v>22</v>
      </c>
      <c r="U11" s="32">
        <f t="shared" si="3"/>
        <v>-146</v>
      </c>
      <c r="V11" s="67">
        <f t="shared" si="4"/>
        <v>3.4347826086956523</v>
      </c>
      <c r="X11" s="11">
        <f t="shared" si="5"/>
        <v>91</v>
      </c>
    </row>
    <row r="12" spans="1:24" ht="12.75">
      <c r="A12" s="88"/>
      <c r="B12" s="31" t="s">
        <v>18</v>
      </c>
      <c r="C12" s="33">
        <f>4+3+5+6</f>
        <v>18</v>
      </c>
      <c r="D12" s="32">
        <v>0</v>
      </c>
      <c r="E12" s="32">
        <v>0</v>
      </c>
      <c r="F12" s="32"/>
      <c r="G12" s="32"/>
      <c r="H12" s="32"/>
      <c r="I12" s="32">
        <v>0</v>
      </c>
      <c r="J12" s="32">
        <v>50</v>
      </c>
      <c r="K12" s="32">
        <v>46</v>
      </c>
      <c r="L12" s="32">
        <v>120</v>
      </c>
      <c r="M12" s="32">
        <v>100</v>
      </c>
      <c r="N12" s="32"/>
      <c r="O12" s="32">
        <v>15</v>
      </c>
      <c r="P12" s="32">
        <f>+E12+J12+L12</f>
        <v>170</v>
      </c>
      <c r="Q12" s="32">
        <f t="shared" si="0"/>
        <v>161</v>
      </c>
      <c r="R12" s="71">
        <f t="shared" si="1"/>
        <v>-143</v>
      </c>
      <c r="S12" s="72">
        <f t="shared" si="2"/>
        <v>8.944444444444445</v>
      </c>
      <c r="T12" s="32">
        <f>6</f>
        <v>6</v>
      </c>
      <c r="U12" s="32">
        <f t="shared" si="3"/>
        <v>-137</v>
      </c>
      <c r="V12" s="67">
        <f t="shared" si="4"/>
        <v>8.944444444444445</v>
      </c>
      <c r="X12" s="11">
        <f t="shared" si="5"/>
        <v>24</v>
      </c>
    </row>
    <row r="13" spans="1:24" ht="21" customHeight="1">
      <c r="A13" s="34" t="s">
        <v>4</v>
      </c>
      <c r="B13" s="35" t="s">
        <v>3</v>
      </c>
      <c r="C13" s="36">
        <f>SUM(C9:C12)</f>
        <v>39018</v>
      </c>
      <c r="D13" s="36">
        <f aca="true" t="shared" si="6" ref="D13:Q13">SUM(D9:D12)</f>
        <v>2408</v>
      </c>
      <c r="E13" s="36">
        <f t="shared" si="6"/>
        <v>7257</v>
      </c>
      <c r="F13" s="36">
        <f t="shared" si="6"/>
        <v>0</v>
      </c>
      <c r="G13" s="36">
        <f t="shared" si="6"/>
        <v>0</v>
      </c>
      <c r="H13" s="36">
        <f t="shared" si="6"/>
        <v>0</v>
      </c>
      <c r="I13" s="36">
        <f t="shared" si="6"/>
        <v>5490</v>
      </c>
      <c r="J13" s="36">
        <f t="shared" si="6"/>
        <v>19812</v>
      </c>
      <c r="K13" s="36">
        <f t="shared" si="6"/>
        <v>11241</v>
      </c>
      <c r="L13" s="36">
        <f t="shared" si="6"/>
        <v>11362</v>
      </c>
      <c r="M13" s="36">
        <f t="shared" si="6"/>
        <v>8652</v>
      </c>
      <c r="N13" s="36"/>
      <c r="O13" s="36">
        <f>SUM(O9:O12)</f>
        <v>12171</v>
      </c>
      <c r="P13" s="36">
        <f t="shared" si="6"/>
        <v>38431</v>
      </c>
      <c r="Q13" s="36">
        <f t="shared" si="6"/>
        <v>37554</v>
      </c>
      <c r="R13" s="36">
        <f t="shared" si="1"/>
        <v>1464</v>
      </c>
      <c r="S13" s="73">
        <f t="shared" si="2"/>
        <v>0.9624788559126557</v>
      </c>
      <c r="T13" s="36">
        <f>SUM(T9:T12)</f>
        <v>11541</v>
      </c>
      <c r="U13" s="36">
        <f t="shared" si="3"/>
        <v>13005</v>
      </c>
      <c r="V13" s="47">
        <f t="shared" si="4"/>
        <v>0.9624788559126557</v>
      </c>
      <c r="X13" s="11">
        <f t="shared" si="5"/>
        <v>50559</v>
      </c>
    </row>
    <row r="14" spans="1:24" ht="14.25" customHeight="1">
      <c r="A14" s="88" t="s">
        <v>19</v>
      </c>
      <c r="B14" s="31" t="s">
        <v>133</v>
      </c>
      <c r="C14" s="37">
        <f>2339+2049+3191+3178</f>
        <v>10757</v>
      </c>
      <c r="D14" s="38">
        <f>280+342+538</f>
        <v>1160</v>
      </c>
      <c r="E14" s="38">
        <f>1460</f>
        <v>1460</v>
      </c>
      <c r="F14" s="32"/>
      <c r="G14" s="32"/>
      <c r="H14" s="32"/>
      <c r="I14" s="32">
        <v>1107</v>
      </c>
      <c r="J14" s="32">
        <v>6309</v>
      </c>
      <c r="K14" s="32">
        <v>4838</v>
      </c>
      <c r="L14" s="32">
        <v>4460</v>
      </c>
      <c r="M14" s="32">
        <v>2821</v>
      </c>
      <c r="N14" s="32"/>
      <c r="O14" s="32">
        <v>2539</v>
      </c>
      <c r="P14" s="32">
        <f>+E14+J14+L14</f>
        <v>12229</v>
      </c>
      <c r="Q14" s="32">
        <f t="shared" si="0"/>
        <v>11305</v>
      </c>
      <c r="R14" s="71">
        <f t="shared" si="1"/>
        <v>-548</v>
      </c>
      <c r="S14" s="72">
        <f t="shared" si="2"/>
        <v>1.0509435716277773</v>
      </c>
      <c r="T14" s="32">
        <f>3178</f>
        <v>3178</v>
      </c>
      <c r="U14" s="32">
        <f t="shared" si="3"/>
        <v>2630</v>
      </c>
      <c r="V14" s="67">
        <f t="shared" si="4"/>
        <v>1.0509435716277773</v>
      </c>
      <c r="X14" s="11">
        <f t="shared" si="5"/>
        <v>13935</v>
      </c>
    </row>
    <row r="15" spans="1:24" ht="12.75">
      <c r="A15" s="88"/>
      <c r="B15" s="31" t="s">
        <v>16</v>
      </c>
      <c r="C15" s="37">
        <f>311873+315841+331219+343568</f>
        <v>1302501</v>
      </c>
      <c r="D15" s="39">
        <f>95058+20+20+120+167773+11+3402</f>
        <v>266404</v>
      </c>
      <c r="E15" s="39">
        <f>444251</f>
        <v>444251</v>
      </c>
      <c r="F15" s="32"/>
      <c r="G15" s="32"/>
      <c r="H15" s="32"/>
      <c r="I15" s="32">
        <f>407475</f>
        <v>407475</v>
      </c>
      <c r="J15" s="32">
        <v>491047</v>
      </c>
      <c r="K15" s="32">
        <v>452541</v>
      </c>
      <c r="L15" s="32">
        <v>555872</v>
      </c>
      <c r="M15" s="32">
        <v>505153</v>
      </c>
      <c r="N15" s="32"/>
      <c r="O15" s="32">
        <v>549353</v>
      </c>
      <c r="P15" s="32">
        <f>+E15+J15+L15</f>
        <v>1491170</v>
      </c>
      <c r="Q15" s="32">
        <f t="shared" si="0"/>
        <v>1914522</v>
      </c>
      <c r="R15" s="71">
        <f t="shared" si="1"/>
        <v>-612021</v>
      </c>
      <c r="S15" s="72">
        <f t="shared" si="2"/>
        <v>1.4698814050814548</v>
      </c>
      <c r="T15" s="32">
        <f>343568</f>
        <v>343568</v>
      </c>
      <c r="U15" s="32">
        <f t="shared" si="3"/>
        <v>-268453</v>
      </c>
      <c r="V15" s="67">
        <f t="shared" si="4"/>
        <v>1.4698814050814548</v>
      </c>
      <c r="X15" s="11">
        <f t="shared" si="5"/>
        <v>1646069</v>
      </c>
    </row>
    <row r="16" spans="1:24" ht="12.75">
      <c r="A16" s="88"/>
      <c r="B16" s="31" t="s">
        <v>17</v>
      </c>
      <c r="C16" s="37">
        <f>12+9+20+20</f>
        <v>61</v>
      </c>
      <c r="D16" s="38">
        <v>0</v>
      </c>
      <c r="E16" s="38">
        <v>0</v>
      </c>
      <c r="F16" s="32"/>
      <c r="G16" s="32"/>
      <c r="H16" s="32"/>
      <c r="I16" s="32">
        <f>+D16+F16+G16+H16</f>
        <v>0</v>
      </c>
      <c r="J16" s="32">
        <v>20</v>
      </c>
      <c r="K16" s="32">
        <v>20</v>
      </c>
      <c r="L16" s="32">
        <v>40</v>
      </c>
      <c r="M16" s="32">
        <v>40</v>
      </c>
      <c r="N16" s="32"/>
      <c r="O16" s="32">
        <v>0</v>
      </c>
      <c r="P16" s="32">
        <f>+E16+J16+L16</f>
        <v>60</v>
      </c>
      <c r="Q16" s="32">
        <f t="shared" si="0"/>
        <v>60</v>
      </c>
      <c r="R16" s="71">
        <f t="shared" si="1"/>
        <v>1</v>
      </c>
      <c r="S16" s="72">
        <f t="shared" si="2"/>
        <v>0.9836065573770492</v>
      </c>
      <c r="T16" s="32">
        <f>20</f>
        <v>20</v>
      </c>
      <c r="U16" s="32">
        <f t="shared" si="3"/>
        <v>21</v>
      </c>
      <c r="V16" s="67">
        <f t="shared" si="4"/>
        <v>0.9836065573770492</v>
      </c>
      <c r="X16" s="11">
        <f t="shared" si="5"/>
        <v>81</v>
      </c>
    </row>
    <row r="17" spans="1:24" ht="12.75">
      <c r="A17" s="88"/>
      <c r="B17" s="31" t="s">
        <v>18</v>
      </c>
      <c r="C17" s="37">
        <f>31+23+52+50</f>
        <v>156</v>
      </c>
      <c r="D17" s="38">
        <v>0</v>
      </c>
      <c r="E17" s="38">
        <f>50</f>
        <v>50</v>
      </c>
      <c r="F17" s="32"/>
      <c r="G17" s="32"/>
      <c r="H17" s="32"/>
      <c r="I17" s="32">
        <f>25</f>
        <v>25</v>
      </c>
      <c r="J17" s="32">
        <v>75</v>
      </c>
      <c r="K17" s="32">
        <v>45</v>
      </c>
      <c r="L17" s="32">
        <v>200</v>
      </c>
      <c r="M17" s="32">
        <v>195</v>
      </c>
      <c r="N17" s="32"/>
      <c r="O17" s="32">
        <v>75</v>
      </c>
      <c r="P17" s="32">
        <f>+E17+J17+L17</f>
        <v>325</v>
      </c>
      <c r="Q17" s="32">
        <f t="shared" si="0"/>
        <v>340</v>
      </c>
      <c r="R17" s="71">
        <f t="shared" si="1"/>
        <v>-184</v>
      </c>
      <c r="S17" s="72">
        <f t="shared" si="2"/>
        <v>2.1794871794871793</v>
      </c>
      <c r="T17" s="32">
        <f>50</f>
        <v>50</v>
      </c>
      <c r="U17" s="32">
        <f t="shared" si="3"/>
        <v>-134</v>
      </c>
      <c r="V17" s="67">
        <f t="shared" si="4"/>
        <v>2.1794871794871793</v>
      </c>
      <c r="X17" s="11">
        <f t="shared" si="5"/>
        <v>206</v>
      </c>
    </row>
    <row r="18" spans="1:24" ht="23.25" customHeight="1">
      <c r="A18" s="34" t="s">
        <v>4</v>
      </c>
      <c r="B18" s="35" t="s">
        <v>3</v>
      </c>
      <c r="C18" s="36">
        <f>SUM(C14:C17)</f>
        <v>1313475</v>
      </c>
      <c r="D18" s="36">
        <f aca="true" t="shared" si="7" ref="D18:L18">SUM(D14:D17)</f>
        <v>267564</v>
      </c>
      <c r="E18" s="36">
        <f t="shared" si="7"/>
        <v>445761</v>
      </c>
      <c r="F18" s="36">
        <f t="shared" si="7"/>
        <v>0</v>
      </c>
      <c r="G18" s="36">
        <f t="shared" si="7"/>
        <v>0</v>
      </c>
      <c r="H18" s="36">
        <f t="shared" si="7"/>
        <v>0</v>
      </c>
      <c r="I18" s="36">
        <f t="shared" si="7"/>
        <v>408607</v>
      </c>
      <c r="J18" s="36">
        <f t="shared" si="7"/>
        <v>497451</v>
      </c>
      <c r="K18" s="36">
        <f t="shared" si="7"/>
        <v>457444</v>
      </c>
      <c r="L18" s="36">
        <f t="shared" si="7"/>
        <v>560572</v>
      </c>
      <c r="M18" s="36">
        <f>SUM(M14:M17)</f>
        <v>508209</v>
      </c>
      <c r="N18" s="36"/>
      <c r="O18" s="36">
        <f>SUM(O14:O17)</f>
        <v>551967</v>
      </c>
      <c r="P18" s="36">
        <f>SUM(P14:P17)</f>
        <v>1503784</v>
      </c>
      <c r="Q18" s="36">
        <f>SUM(Q14:Q17)</f>
        <v>1926227</v>
      </c>
      <c r="R18" s="36">
        <f t="shared" si="1"/>
        <v>-612752</v>
      </c>
      <c r="S18" s="73">
        <f t="shared" si="2"/>
        <v>1.4665121148099507</v>
      </c>
      <c r="T18" s="36">
        <f>SUM(T14:T17)</f>
        <v>346816</v>
      </c>
      <c r="U18" s="36">
        <f t="shared" si="3"/>
        <v>-265936</v>
      </c>
      <c r="V18" s="47">
        <f t="shared" si="4"/>
        <v>1.4665121148099507</v>
      </c>
      <c r="X18" s="11">
        <f t="shared" si="5"/>
        <v>1660291</v>
      </c>
    </row>
    <row r="19" spans="1:24" ht="18" customHeight="1">
      <c r="A19" s="88" t="s">
        <v>20</v>
      </c>
      <c r="B19" s="31" t="s">
        <v>133</v>
      </c>
      <c r="C19" s="38">
        <f>1290+1015+1987+1952</f>
        <v>6244</v>
      </c>
      <c r="D19" s="39">
        <v>2736</v>
      </c>
      <c r="E19" s="39">
        <f>3418</f>
        <v>3418</v>
      </c>
      <c r="F19" s="32"/>
      <c r="G19" s="32"/>
      <c r="H19" s="32"/>
      <c r="I19" s="32">
        <f>3318</f>
        <v>3318</v>
      </c>
      <c r="J19" s="32">
        <v>1300</v>
      </c>
      <c r="K19" s="32">
        <v>809</v>
      </c>
      <c r="L19" s="84">
        <v>2160</v>
      </c>
      <c r="M19" s="84">
        <v>1428</v>
      </c>
      <c r="N19" s="84"/>
      <c r="O19" s="84">
        <v>1361</v>
      </c>
      <c r="P19" s="32">
        <f>+E19+J19+L19</f>
        <v>6878</v>
      </c>
      <c r="Q19" s="32">
        <f t="shared" si="0"/>
        <v>6916</v>
      </c>
      <c r="R19" s="71">
        <f t="shared" si="1"/>
        <v>-672</v>
      </c>
      <c r="S19" s="49">
        <f t="shared" si="2"/>
        <v>1.1076233183856503</v>
      </c>
      <c r="T19" s="32">
        <f>1952</f>
        <v>1952</v>
      </c>
      <c r="U19" s="32">
        <f t="shared" si="3"/>
        <v>1280</v>
      </c>
      <c r="V19" s="67">
        <f t="shared" si="4"/>
        <v>1.1076233183856503</v>
      </c>
      <c r="X19" s="11">
        <f t="shared" si="5"/>
        <v>8196</v>
      </c>
    </row>
    <row r="20" spans="1:30" ht="18.75" customHeight="1">
      <c r="A20" s="88"/>
      <c r="B20" s="31" t="s">
        <v>16</v>
      </c>
      <c r="C20" s="38">
        <f>33984+30481+42837+42227</f>
        <v>149529</v>
      </c>
      <c r="D20" s="39">
        <f>1879+20+20+97+120+50+186+100+6999+120+50+11</f>
        <v>9652</v>
      </c>
      <c r="E20" s="39">
        <f>16489</f>
        <v>16489</v>
      </c>
      <c r="F20" s="32"/>
      <c r="G20" s="32"/>
      <c r="H20" s="32"/>
      <c r="I20" s="32">
        <f>15278</f>
        <v>15278</v>
      </c>
      <c r="J20" s="32">
        <v>47529</v>
      </c>
      <c r="K20" s="32">
        <v>33592</v>
      </c>
      <c r="L20" s="84">
        <v>32540</v>
      </c>
      <c r="M20" s="84">
        <v>31456</v>
      </c>
      <c r="N20" s="84"/>
      <c r="O20" s="84">
        <v>35817</v>
      </c>
      <c r="P20" s="32">
        <f>+E20+J20+L20</f>
        <v>96558</v>
      </c>
      <c r="Q20" s="32">
        <f t="shared" si="0"/>
        <v>116143</v>
      </c>
      <c r="R20" s="71">
        <f t="shared" si="1"/>
        <v>33386</v>
      </c>
      <c r="S20" s="49">
        <f t="shared" si="2"/>
        <v>0.7767255850035779</v>
      </c>
      <c r="T20" s="32">
        <f>42227</f>
        <v>42227</v>
      </c>
      <c r="U20" s="32">
        <f t="shared" si="3"/>
        <v>75613</v>
      </c>
      <c r="V20" s="67">
        <f t="shared" si="4"/>
        <v>0.7767255850035779</v>
      </c>
      <c r="X20" s="11">
        <f t="shared" si="5"/>
        <v>191756</v>
      </c>
      <c r="AD20" s="1" t="s">
        <v>3</v>
      </c>
    </row>
    <row r="21" spans="1:24" ht="21.75" customHeight="1">
      <c r="A21" s="88"/>
      <c r="B21" s="31" t="s">
        <v>17</v>
      </c>
      <c r="C21" s="38">
        <f>7+5+11+11</f>
        <v>34</v>
      </c>
      <c r="D21" s="38">
        <v>0</v>
      </c>
      <c r="E21" s="38">
        <f>80</f>
        <v>80</v>
      </c>
      <c r="F21" s="32"/>
      <c r="G21" s="32"/>
      <c r="H21" s="32"/>
      <c r="I21" s="32">
        <f>+D21+F21+G21+H21</f>
        <v>0</v>
      </c>
      <c r="J21" s="32">
        <v>3</v>
      </c>
      <c r="K21" s="32">
        <v>0</v>
      </c>
      <c r="L21" s="84">
        <v>145</v>
      </c>
      <c r="M21" s="84">
        <v>0</v>
      </c>
      <c r="N21" s="84"/>
      <c r="O21" s="84">
        <v>0</v>
      </c>
      <c r="P21" s="32">
        <f>+E21+J21+L21</f>
        <v>228</v>
      </c>
      <c r="Q21" s="32">
        <f t="shared" si="0"/>
        <v>0</v>
      </c>
      <c r="R21" s="71">
        <f t="shared" si="1"/>
        <v>34</v>
      </c>
      <c r="S21" s="49">
        <f t="shared" si="2"/>
        <v>0</v>
      </c>
      <c r="T21" s="32">
        <f>11</f>
        <v>11</v>
      </c>
      <c r="U21" s="32">
        <f t="shared" si="3"/>
        <v>45</v>
      </c>
      <c r="V21" s="67">
        <f t="shared" si="4"/>
        <v>0</v>
      </c>
      <c r="X21" s="11">
        <f t="shared" si="5"/>
        <v>45</v>
      </c>
    </row>
    <row r="22" spans="1:24" ht="21.75" customHeight="1">
      <c r="A22" s="88"/>
      <c r="B22" s="31" t="s">
        <v>18</v>
      </c>
      <c r="C22" s="38">
        <f>120+88+200+195</f>
        <v>603</v>
      </c>
      <c r="D22" s="38">
        <v>0</v>
      </c>
      <c r="E22" s="38">
        <f>50</f>
        <v>50</v>
      </c>
      <c r="F22" s="32"/>
      <c r="G22" s="32"/>
      <c r="H22" s="32"/>
      <c r="I22" s="32">
        <f>25</f>
        <v>25</v>
      </c>
      <c r="J22" s="32">
        <v>120</v>
      </c>
      <c r="K22" s="32">
        <v>98</v>
      </c>
      <c r="L22" s="84">
        <v>167</v>
      </c>
      <c r="M22" s="84">
        <v>145</v>
      </c>
      <c r="N22" s="84"/>
      <c r="O22" s="84">
        <v>87</v>
      </c>
      <c r="P22" s="32">
        <f>+E22+J22+L22</f>
        <v>337</v>
      </c>
      <c r="Q22" s="32">
        <f t="shared" si="0"/>
        <v>355</v>
      </c>
      <c r="R22" s="71">
        <f t="shared" si="1"/>
        <v>248</v>
      </c>
      <c r="S22" s="49">
        <f t="shared" si="2"/>
        <v>0.5887230514096186</v>
      </c>
      <c r="T22" s="32">
        <f>195</f>
        <v>195</v>
      </c>
      <c r="U22" s="32">
        <f t="shared" si="3"/>
        <v>443</v>
      </c>
      <c r="V22" s="67">
        <f t="shared" si="4"/>
        <v>0.5887230514096186</v>
      </c>
      <c r="X22" s="11">
        <f t="shared" si="5"/>
        <v>798</v>
      </c>
    </row>
    <row r="23" spans="1:24" ht="21.75" customHeight="1">
      <c r="A23" s="34" t="s">
        <v>4</v>
      </c>
      <c r="B23" s="35"/>
      <c r="C23" s="36">
        <f>SUM(C19:C22)</f>
        <v>156410</v>
      </c>
      <c r="D23" s="36">
        <f aca="true" t="shared" si="8" ref="D23:M23">SUM(D19:D22)</f>
        <v>12388</v>
      </c>
      <c r="E23" s="36">
        <f t="shared" si="8"/>
        <v>20037</v>
      </c>
      <c r="F23" s="36">
        <f t="shared" si="8"/>
        <v>0</v>
      </c>
      <c r="G23" s="36">
        <f t="shared" si="8"/>
        <v>0</v>
      </c>
      <c r="H23" s="36">
        <f t="shared" si="8"/>
        <v>0</v>
      </c>
      <c r="I23" s="36">
        <f t="shared" si="8"/>
        <v>18621</v>
      </c>
      <c r="J23" s="36">
        <f t="shared" si="8"/>
        <v>48952</v>
      </c>
      <c r="K23" s="36">
        <f t="shared" si="8"/>
        <v>34499</v>
      </c>
      <c r="L23" s="36">
        <f t="shared" si="8"/>
        <v>35012</v>
      </c>
      <c r="M23" s="36">
        <f t="shared" si="8"/>
        <v>33029</v>
      </c>
      <c r="N23" s="36"/>
      <c r="O23" s="36">
        <f>SUM(O19:O22)</f>
        <v>37265</v>
      </c>
      <c r="P23" s="36">
        <f>SUM(P19:P22)</f>
        <v>104001</v>
      </c>
      <c r="Q23" s="36">
        <f>SUM(Q19:Q22)</f>
        <v>123414</v>
      </c>
      <c r="R23" s="36">
        <f t="shared" si="1"/>
        <v>32996</v>
      </c>
      <c r="S23" s="50">
        <f t="shared" si="2"/>
        <v>0.7890416213797071</v>
      </c>
      <c r="T23" s="36">
        <f>SUM(T19:T22)</f>
        <v>44385</v>
      </c>
      <c r="U23" s="36">
        <f t="shared" si="3"/>
        <v>77381</v>
      </c>
      <c r="V23" s="47">
        <f t="shared" si="4"/>
        <v>0.7890416213797071</v>
      </c>
      <c r="X23" s="11">
        <f t="shared" si="5"/>
        <v>200795</v>
      </c>
    </row>
    <row r="24" spans="1:24" ht="16.5" customHeight="1">
      <c r="A24" s="88" t="s">
        <v>21</v>
      </c>
      <c r="B24" s="31" t="s">
        <v>133</v>
      </c>
      <c r="C24" s="38">
        <f>728+701+868+879</f>
        <v>3176</v>
      </c>
      <c r="D24" s="39">
        <v>2736</v>
      </c>
      <c r="E24" s="39">
        <f>3500</f>
        <v>3500</v>
      </c>
      <c r="F24" s="38"/>
      <c r="G24" s="39"/>
      <c r="H24" s="39"/>
      <c r="I24" s="32">
        <v>2811</v>
      </c>
      <c r="J24" s="32">
        <v>755</v>
      </c>
      <c r="K24" s="32">
        <v>380</v>
      </c>
      <c r="L24" s="32">
        <v>1077</v>
      </c>
      <c r="M24" s="32">
        <v>564</v>
      </c>
      <c r="N24" s="32"/>
      <c r="O24" s="32">
        <v>798</v>
      </c>
      <c r="P24" s="32">
        <f>+E24+J24+L24</f>
        <v>5332</v>
      </c>
      <c r="Q24" s="32">
        <f t="shared" si="0"/>
        <v>4553</v>
      </c>
      <c r="R24" s="71">
        <f t="shared" si="1"/>
        <v>-1377</v>
      </c>
      <c r="S24" s="49">
        <f t="shared" si="2"/>
        <v>1.4335642317380353</v>
      </c>
      <c r="T24" s="32">
        <f>879</f>
        <v>879</v>
      </c>
      <c r="U24" s="32">
        <f t="shared" si="3"/>
        <v>-498</v>
      </c>
      <c r="V24" s="67">
        <f t="shared" si="4"/>
        <v>1.4335642317380353</v>
      </c>
      <c r="X24" s="11">
        <f t="shared" si="5"/>
        <v>4055</v>
      </c>
    </row>
    <row r="25" spans="1:24" ht="17.25" customHeight="1">
      <c r="A25" s="88"/>
      <c r="B25" s="31" t="s">
        <v>16</v>
      </c>
      <c r="C25" s="38">
        <f>9093+8865+10165+9842</f>
        <v>37965</v>
      </c>
      <c r="D25" s="39">
        <f>280+20+50+166+54+166+10</f>
        <v>746</v>
      </c>
      <c r="E25" s="39">
        <f>5946</f>
        <v>5946</v>
      </c>
      <c r="F25" s="38"/>
      <c r="G25" s="39"/>
      <c r="H25" s="39"/>
      <c r="I25" s="32">
        <f>5523</f>
        <v>5523</v>
      </c>
      <c r="J25" s="32">
        <v>5250</v>
      </c>
      <c r="K25" s="32">
        <v>4977</v>
      </c>
      <c r="L25" s="32">
        <v>31663</v>
      </c>
      <c r="M25" s="32">
        <v>30393</v>
      </c>
      <c r="N25" s="32"/>
      <c r="O25" s="32">
        <v>7424</v>
      </c>
      <c r="P25" s="32">
        <f>+E25+J25+L25</f>
        <v>42859</v>
      </c>
      <c r="Q25" s="32">
        <f t="shared" si="0"/>
        <v>48317</v>
      </c>
      <c r="R25" s="71">
        <f t="shared" si="1"/>
        <v>-10352</v>
      </c>
      <c r="S25" s="49">
        <f t="shared" si="2"/>
        <v>1.2726721980771762</v>
      </c>
      <c r="T25" s="32">
        <f>9842</f>
        <v>9842</v>
      </c>
      <c r="U25" s="32">
        <f t="shared" si="3"/>
        <v>-510</v>
      </c>
      <c r="V25" s="67">
        <f t="shared" si="4"/>
        <v>1.2726721980771762</v>
      </c>
      <c r="X25" s="11">
        <f t="shared" si="5"/>
        <v>47807</v>
      </c>
    </row>
    <row r="26" spans="1:24" ht="18" customHeight="1">
      <c r="A26" s="88"/>
      <c r="B26" s="31" t="s">
        <v>17</v>
      </c>
      <c r="C26" s="38">
        <f>222+207+279+278</f>
        <v>986</v>
      </c>
      <c r="D26" s="39">
        <v>0</v>
      </c>
      <c r="E26" s="39">
        <f>266</f>
        <v>266</v>
      </c>
      <c r="F26" s="38"/>
      <c r="G26" s="39"/>
      <c r="H26" s="39"/>
      <c r="I26" s="32">
        <f>174</f>
        <v>174</v>
      </c>
      <c r="J26" s="32">
        <v>300</v>
      </c>
      <c r="K26" s="32">
        <v>155</v>
      </c>
      <c r="L26" s="32">
        <v>484</v>
      </c>
      <c r="M26" s="32">
        <v>372</v>
      </c>
      <c r="N26" s="32"/>
      <c r="O26" s="32">
        <v>566</v>
      </c>
      <c r="P26" s="32">
        <f>+E26+J26+L26</f>
        <v>1050</v>
      </c>
      <c r="Q26" s="32">
        <f t="shared" si="0"/>
        <v>1267</v>
      </c>
      <c r="R26" s="71">
        <f t="shared" si="1"/>
        <v>-281</v>
      </c>
      <c r="S26" s="49">
        <f t="shared" si="2"/>
        <v>1.2849898580121704</v>
      </c>
      <c r="T26" s="32">
        <f>278</f>
        <v>278</v>
      </c>
      <c r="U26" s="32">
        <f t="shared" si="3"/>
        <v>-3</v>
      </c>
      <c r="V26" s="67">
        <f t="shared" si="4"/>
        <v>1.2849898580121704</v>
      </c>
      <c r="X26" s="11">
        <f t="shared" si="5"/>
        <v>1264</v>
      </c>
    </row>
    <row r="27" spans="1:29" s="4" customFormat="1" ht="20.25" customHeight="1">
      <c r="A27" s="88"/>
      <c r="B27" s="31" t="s">
        <v>18</v>
      </c>
      <c r="C27" s="38">
        <f>384+387+428+437</f>
        <v>1636</v>
      </c>
      <c r="D27" s="38">
        <v>466</v>
      </c>
      <c r="E27" s="39">
        <f>844</f>
        <v>844</v>
      </c>
      <c r="F27" s="38"/>
      <c r="G27" s="39"/>
      <c r="H27" s="39"/>
      <c r="I27" s="32">
        <f>466</f>
        <v>466</v>
      </c>
      <c r="J27" s="32">
        <v>524</v>
      </c>
      <c r="K27" s="32">
        <v>303</v>
      </c>
      <c r="L27" s="32">
        <v>1185</v>
      </c>
      <c r="M27" s="32">
        <v>1039</v>
      </c>
      <c r="N27" s="32"/>
      <c r="O27" s="32">
        <v>589</v>
      </c>
      <c r="P27" s="32">
        <f>+E27+J27+L27</f>
        <v>2553</v>
      </c>
      <c r="Q27" s="32">
        <f t="shared" si="0"/>
        <v>2397</v>
      </c>
      <c r="R27" s="71">
        <f t="shared" si="1"/>
        <v>-761</v>
      </c>
      <c r="S27" s="49">
        <f t="shared" si="2"/>
        <v>1.465158924205379</v>
      </c>
      <c r="T27" s="32">
        <f>437</f>
        <v>437</v>
      </c>
      <c r="U27" s="32">
        <f t="shared" si="3"/>
        <v>-324</v>
      </c>
      <c r="V27" s="67">
        <f t="shared" si="4"/>
        <v>1.465158924205379</v>
      </c>
      <c r="W27" s="17"/>
      <c r="X27" s="11">
        <f t="shared" si="5"/>
        <v>2073</v>
      </c>
      <c r="Y27" s="17"/>
      <c r="Z27" s="17"/>
      <c r="AA27" s="17"/>
      <c r="AB27" s="17"/>
      <c r="AC27" s="17"/>
    </row>
    <row r="28" spans="1:29" s="4" customFormat="1" ht="30.75" customHeight="1">
      <c r="A28" s="34" t="s">
        <v>4</v>
      </c>
      <c r="B28" s="35"/>
      <c r="C28" s="36">
        <f>SUM(C24:C27)</f>
        <v>43763</v>
      </c>
      <c r="D28" s="36">
        <f aca="true" t="shared" si="9" ref="D28:M28">SUM(D24:D27)</f>
        <v>3948</v>
      </c>
      <c r="E28" s="36">
        <f t="shared" si="9"/>
        <v>10556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8974</v>
      </c>
      <c r="J28" s="36">
        <f t="shared" si="9"/>
        <v>6829</v>
      </c>
      <c r="K28" s="36">
        <f t="shared" si="9"/>
        <v>5815</v>
      </c>
      <c r="L28" s="36">
        <f t="shared" si="9"/>
        <v>34409</v>
      </c>
      <c r="M28" s="36">
        <f t="shared" si="9"/>
        <v>32368</v>
      </c>
      <c r="N28" s="36"/>
      <c r="O28" s="36">
        <f>SUM(O24:O27)</f>
        <v>9377</v>
      </c>
      <c r="P28" s="36">
        <f>SUM(P24:P27)</f>
        <v>51794</v>
      </c>
      <c r="Q28" s="36">
        <f>SUM(Q24:Q27)</f>
        <v>56534</v>
      </c>
      <c r="R28" s="36">
        <f t="shared" si="1"/>
        <v>-12771</v>
      </c>
      <c r="S28" s="50">
        <f t="shared" si="2"/>
        <v>1.2918218586477161</v>
      </c>
      <c r="T28" s="36">
        <f>SUM(T24:T27)</f>
        <v>11436</v>
      </c>
      <c r="U28" s="36">
        <f t="shared" si="3"/>
        <v>-1335</v>
      </c>
      <c r="V28" s="47">
        <f t="shared" si="4"/>
        <v>1.2918218586477161</v>
      </c>
      <c r="W28" s="17"/>
      <c r="X28" s="11">
        <f t="shared" si="5"/>
        <v>55199</v>
      </c>
      <c r="Y28" s="17"/>
      <c r="Z28" s="17"/>
      <c r="AA28" s="17"/>
      <c r="AB28" s="17"/>
      <c r="AC28" s="17"/>
    </row>
    <row r="29" spans="1:29" s="4" customFormat="1" ht="21.75" customHeight="1">
      <c r="A29" s="88" t="s">
        <v>22</v>
      </c>
      <c r="B29" s="31" t="s">
        <v>133</v>
      </c>
      <c r="C29" s="38">
        <f>760+555+1254+1224</f>
        <v>3793</v>
      </c>
      <c r="D29" s="38">
        <v>1696</v>
      </c>
      <c r="E29" s="39">
        <f>3310</f>
        <v>3310</v>
      </c>
      <c r="F29" s="38"/>
      <c r="G29" s="39"/>
      <c r="H29" s="39"/>
      <c r="I29" s="32">
        <v>2854</v>
      </c>
      <c r="J29" s="32">
        <v>948</v>
      </c>
      <c r="K29" s="32">
        <v>536</v>
      </c>
      <c r="L29" s="32">
        <v>1703</v>
      </c>
      <c r="M29" s="32">
        <v>1176</v>
      </c>
      <c r="N29" s="32"/>
      <c r="O29" s="32">
        <v>1775</v>
      </c>
      <c r="P29" s="32">
        <f>+E29+J29+L29</f>
        <v>5961</v>
      </c>
      <c r="Q29" s="32">
        <f t="shared" si="0"/>
        <v>6341</v>
      </c>
      <c r="R29" s="71">
        <f t="shared" si="1"/>
        <v>-2548</v>
      </c>
      <c r="S29" s="49">
        <f t="shared" si="2"/>
        <v>1.671763775375692</v>
      </c>
      <c r="T29" s="32">
        <f>1224</f>
        <v>1224</v>
      </c>
      <c r="U29" s="32">
        <f t="shared" si="3"/>
        <v>-1324</v>
      </c>
      <c r="V29" s="67">
        <f t="shared" si="4"/>
        <v>1.671763775375692</v>
      </c>
      <c r="W29" s="17"/>
      <c r="X29" s="11">
        <f t="shared" si="5"/>
        <v>5017</v>
      </c>
      <c r="Y29" s="17"/>
      <c r="Z29" s="17"/>
      <c r="AA29" s="17"/>
      <c r="AB29" s="17"/>
      <c r="AC29" s="17"/>
    </row>
    <row r="30" spans="1:29" s="4" customFormat="1" ht="28.5" customHeight="1">
      <c r="A30" s="88"/>
      <c r="B30" s="31" t="s">
        <v>16</v>
      </c>
      <c r="C30" s="38">
        <f>917+851+1119+1116</f>
        <v>4003</v>
      </c>
      <c r="D30" s="39">
        <f>20+20+29+98+1</f>
        <v>168</v>
      </c>
      <c r="E30" s="39">
        <f>1168</f>
        <v>1168</v>
      </c>
      <c r="F30" s="38"/>
      <c r="G30" s="39"/>
      <c r="H30" s="39"/>
      <c r="I30" s="32">
        <v>972</v>
      </c>
      <c r="J30" s="32">
        <v>1326</v>
      </c>
      <c r="K30" s="32">
        <v>1255</v>
      </c>
      <c r="L30" s="32">
        <v>2802</v>
      </c>
      <c r="M30" s="32">
        <v>2087</v>
      </c>
      <c r="N30" s="32"/>
      <c r="O30" s="32">
        <v>942</v>
      </c>
      <c r="P30" s="32">
        <f>+E30+J30+L30</f>
        <v>5296</v>
      </c>
      <c r="Q30" s="32">
        <f t="shared" si="0"/>
        <v>5256</v>
      </c>
      <c r="R30" s="71">
        <f t="shared" si="1"/>
        <v>-1253</v>
      </c>
      <c r="S30" s="49">
        <f t="shared" si="2"/>
        <v>1.3130152385710716</v>
      </c>
      <c r="T30" s="32">
        <f>1116</f>
        <v>1116</v>
      </c>
      <c r="U30" s="32">
        <f t="shared" si="3"/>
        <v>-137</v>
      </c>
      <c r="V30" s="67">
        <f t="shared" si="4"/>
        <v>1.3130152385710716</v>
      </c>
      <c r="W30" s="17"/>
      <c r="X30" s="11">
        <f t="shared" si="5"/>
        <v>5119</v>
      </c>
      <c r="Y30" s="17"/>
      <c r="Z30" s="17"/>
      <c r="AA30" s="17"/>
      <c r="AB30" s="17"/>
      <c r="AC30" s="17"/>
    </row>
    <row r="31" spans="1:29" s="4" customFormat="1" ht="17.25" customHeight="1">
      <c r="A31" s="88"/>
      <c r="B31" s="31" t="s">
        <v>17</v>
      </c>
      <c r="C31" s="38">
        <f>63+52+89+87</f>
        <v>291</v>
      </c>
      <c r="D31" s="38">
        <v>0</v>
      </c>
      <c r="E31" s="39">
        <v>0</v>
      </c>
      <c r="F31" s="38"/>
      <c r="G31" s="39"/>
      <c r="H31" s="39"/>
      <c r="I31" s="32">
        <v>0</v>
      </c>
      <c r="J31" s="32">
        <v>0</v>
      </c>
      <c r="K31" s="32">
        <v>0</v>
      </c>
      <c r="L31" s="32">
        <v>6</v>
      </c>
      <c r="M31" s="32">
        <v>6</v>
      </c>
      <c r="N31" s="32"/>
      <c r="O31" s="32">
        <v>0</v>
      </c>
      <c r="P31" s="32">
        <f>+E31+J31+L31</f>
        <v>6</v>
      </c>
      <c r="Q31" s="32">
        <f t="shared" si="0"/>
        <v>6</v>
      </c>
      <c r="R31" s="71">
        <f t="shared" si="1"/>
        <v>285</v>
      </c>
      <c r="S31" s="49">
        <f t="shared" si="2"/>
        <v>0.020618556701030927</v>
      </c>
      <c r="T31" s="32">
        <f>87</f>
        <v>87</v>
      </c>
      <c r="U31" s="32">
        <f t="shared" si="3"/>
        <v>372</v>
      </c>
      <c r="V31" s="67">
        <f t="shared" si="4"/>
        <v>0.020618556701030927</v>
      </c>
      <c r="W31" s="17"/>
      <c r="X31" s="11">
        <f t="shared" si="5"/>
        <v>378</v>
      </c>
      <c r="Y31" s="17"/>
      <c r="Z31" s="17">
        <f>118120535+269452679</f>
        <v>387573214</v>
      </c>
      <c r="AA31" s="17"/>
      <c r="AB31" s="17"/>
      <c r="AC31" s="17"/>
    </row>
    <row r="32" spans="1:29" s="4" customFormat="1" ht="25.5" customHeight="1">
      <c r="A32" s="88"/>
      <c r="B32" s="31" t="s">
        <v>18</v>
      </c>
      <c r="C32" s="38">
        <f>9+6+15+14</f>
        <v>44</v>
      </c>
      <c r="D32" s="38">
        <v>0</v>
      </c>
      <c r="E32" s="39">
        <v>0</v>
      </c>
      <c r="F32" s="38"/>
      <c r="G32" s="39"/>
      <c r="H32" s="39"/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/>
      <c r="O32" s="32">
        <v>15</v>
      </c>
      <c r="P32" s="32">
        <f>+E32+J32+L32</f>
        <v>0</v>
      </c>
      <c r="Q32" s="32">
        <f t="shared" si="0"/>
        <v>15</v>
      </c>
      <c r="R32" s="71">
        <f t="shared" si="1"/>
        <v>29</v>
      </c>
      <c r="S32" s="49">
        <f t="shared" si="2"/>
        <v>0.3409090909090909</v>
      </c>
      <c r="T32" s="32">
        <f>14</f>
        <v>14</v>
      </c>
      <c r="U32" s="32">
        <f t="shared" si="3"/>
        <v>43</v>
      </c>
      <c r="V32" s="67">
        <f t="shared" si="4"/>
        <v>0.3409090909090909</v>
      </c>
      <c r="W32" s="17"/>
      <c r="X32" s="11">
        <f t="shared" si="5"/>
        <v>58</v>
      </c>
      <c r="Y32" s="17"/>
      <c r="Z32" s="11">
        <f>34621536+73472852</f>
        <v>108094388</v>
      </c>
      <c r="AA32" s="17"/>
      <c r="AB32" s="17"/>
      <c r="AC32" s="17"/>
    </row>
    <row r="33" spans="1:29" s="4" customFormat="1" ht="25.5" customHeight="1">
      <c r="A33" s="34" t="s">
        <v>4</v>
      </c>
      <c r="B33" s="35"/>
      <c r="C33" s="36">
        <f>SUM(C29:C32)</f>
        <v>8131</v>
      </c>
      <c r="D33" s="36">
        <f aca="true" t="shared" si="10" ref="D33:M33">SUM(D29:D32)</f>
        <v>1864</v>
      </c>
      <c r="E33" s="36">
        <f t="shared" si="10"/>
        <v>4478</v>
      </c>
      <c r="F33" s="36">
        <f t="shared" si="10"/>
        <v>0</v>
      </c>
      <c r="G33" s="36">
        <f t="shared" si="10"/>
        <v>0</v>
      </c>
      <c r="H33" s="36">
        <f t="shared" si="10"/>
        <v>0</v>
      </c>
      <c r="I33" s="36">
        <f t="shared" si="10"/>
        <v>3826</v>
      </c>
      <c r="J33" s="36">
        <f t="shared" si="10"/>
        <v>2274</v>
      </c>
      <c r="K33" s="36">
        <f t="shared" si="10"/>
        <v>1791</v>
      </c>
      <c r="L33" s="36">
        <f t="shared" si="10"/>
        <v>4511</v>
      </c>
      <c r="M33" s="36">
        <f t="shared" si="10"/>
        <v>3269</v>
      </c>
      <c r="N33" s="36"/>
      <c r="O33" s="36">
        <f>SUM(O29:O32)</f>
        <v>2732</v>
      </c>
      <c r="P33" s="36">
        <f>SUM(P29:P32)</f>
        <v>11263</v>
      </c>
      <c r="Q33" s="36">
        <f>SUM(Q29:Q32)</f>
        <v>11618</v>
      </c>
      <c r="R33" s="36">
        <f t="shared" si="1"/>
        <v>-3487</v>
      </c>
      <c r="S33" s="50">
        <f t="shared" si="2"/>
        <v>1.428852539663018</v>
      </c>
      <c r="T33" s="36">
        <f>SUM(T29:T32)</f>
        <v>2441</v>
      </c>
      <c r="U33" s="36">
        <f t="shared" si="3"/>
        <v>-1046</v>
      </c>
      <c r="V33" s="47">
        <f t="shared" si="4"/>
        <v>1.428852539663018</v>
      </c>
      <c r="W33" s="17"/>
      <c r="X33" s="11">
        <f t="shared" si="5"/>
        <v>10572</v>
      </c>
      <c r="Y33" s="17"/>
      <c r="Z33" s="17"/>
      <c r="AA33" s="17"/>
      <c r="AB33" s="17"/>
      <c r="AC33" s="17"/>
    </row>
    <row r="34" spans="1:29" s="4" customFormat="1" ht="18.75" customHeight="1">
      <c r="A34" s="88" t="s">
        <v>23</v>
      </c>
      <c r="B34" s="31" t="s">
        <v>15</v>
      </c>
      <c r="C34" s="38">
        <f>736+537+1215+1186</f>
        <v>3674</v>
      </c>
      <c r="D34" s="39">
        <f>6+126+113+36</f>
        <v>281</v>
      </c>
      <c r="E34" s="39">
        <f>724</f>
        <v>724</v>
      </c>
      <c r="F34" s="38"/>
      <c r="G34" s="39"/>
      <c r="H34" s="39"/>
      <c r="I34" s="32">
        <v>331</v>
      </c>
      <c r="J34" s="32">
        <v>990</v>
      </c>
      <c r="K34" s="32">
        <v>818</v>
      </c>
      <c r="L34" s="32">
        <v>2103</v>
      </c>
      <c r="M34" s="32">
        <v>1776</v>
      </c>
      <c r="N34" s="32"/>
      <c r="O34" s="32">
        <v>1140</v>
      </c>
      <c r="P34" s="32">
        <f>+E34+J34+L34</f>
        <v>3817</v>
      </c>
      <c r="Q34" s="32">
        <f t="shared" si="0"/>
        <v>4065</v>
      </c>
      <c r="R34" s="71">
        <f t="shared" si="1"/>
        <v>-391</v>
      </c>
      <c r="S34" s="49">
        <f t="shared" si="2"/>
        <v>1.1064235166031573</v>
      </c>
      <c r="T34" s="32">
        <f>1186</f>
        <v>1186</v>
      </c>
      <c r="U34" s="32">
        <f t="shared" si="3"/>
        <v>795</v>
      </c>
      <c r="V34" s="67">
        <f t="shared" si="4"/>
        <v>1.1064235166031573</v>
      </c>
      <c r="W34" s="17"/>
      <c r="X34" s="11">
        <f t="shared" si="5"/>
        <v>4860</v>
      </c>
      <c r="Y34" s="17"/>
      <c r="Z34" s="17">
        <f>1096600+51521000</f>
        <v>52617600</v>
      </c>
      <c r="AA34" s="17"/>
      <c r="AB34" s="17"/>
      <c r="AC34" s="17"/>
    </row>
    <row r="35" spans="1:29" s="4" customFormat="1" ht="18.75" customHeight="1">
      <c r="A35" s="88"/>
      <c r="B35" s="31" t="s">
        <v>16</v>
      </c>
      <c r="C35" s="38">
        <f>117271+120709+124540+128244</f>
        <v>490764</v>
      </c>
      <c r="D35" s="39">
        <f>8128+20+26000+49350</f>
        <v>83498</v>
      </c>
      <c r="E35" s="39">
        <f>103643</f>
        <v>103643</v>
      </c>
      <c r="F35" s="38"/>
      <c r="G35" s="39"/>
      <c r="H35" s="39"/>
      <c r="I35" s="32">
        <f>102470</f>
        <v>102470</v>
      </c>
      <c r="J35" s="32">
        <v>40879</v>
      </c>
      <c r="K35" s="32">
        <v>39198</v>
      </c>
      <c r="L35" s="32">
        <v>39819</v>
      </c>
      <c r="M35" s="32">
        <v>39518</v>
      </c>
      <c r="N35" s="32"/>
      <c r="O35" s="32">
        <v>40773</v>
      </c>
      <c r="P35" s="32">
        <f>+E35+J35+L35</f>
        <v>184341</v>
      </c>
      <c r="Q35" s="32">
        <f t="shared" si="0"/>
        <v>221959</v>
      </c>
      <c r="R35" s="71">
        <f t="shared" si="1"/>
        <v>268805</v>
      </c>
      <c r="S35" s="49">
        <f t="shared" si="2"/>
        <v>0.4522723753168529</v>
      </c>
      <c r="T35" s="32">
        <f>128244</f>
        <v>128244</v>
      </c>
      <c r="U35" s="32">
        <f t="shared" si="3"/>
        <v>397049</v>
      </c>
      <c r="V35" s="67">
        <f t="shared" si="4"/>
        <v>0.4522723753168529</v>
      </c>
      <c r="W35" s="17"/>
      <c r="X35" s="11">
        <f t="shared" si="5"/>
        <v>619008</v>
      </c>
      <c r="Y35" s="17"/>
      <c r="Z35" s="17">
        <f>24120960+30000000</f>
        <v>54120960</v>
      </c>
      <c r="AA35" s="17"/>
      <c r="AB35" s="17"/>
      <c r="AC35" s="17"/>
    </row>
    <row r="36" spans="1:29" s="4" customFormat="1" ht="18.75" customHeight="1">
      <c r="A36" s="88"/>
      <c r="B36" s="31" t="s">
        <v>17</v>
      </c>
      <c r="C36" s="38">
        <f>4+7+6+5</f>
        <v>22</v>
      </c>
      <c r="D36" s="39">
        <v>0</v>
      </c>
      <c r="E36" s="39">
        <v>0</v>
      </c>
      <c r="F36" s="38"/>
      <c r="G36" s="39"/>
      <c r="H36" s="39"/>
      <c r="I36" s="32">
        <v>0</v>
      </c>
      <c r="J36" s="32">
        <v>3</v>
      </c>
      <c r="K36" s="32">
        <v>0</v>
      </c>
      <c r="L36" s="32">
        <v>5</v>
      </c>
      <c r="M36" s="32">
        <v>5</v>
      </c>
      <c r="N36" s="32"/>
      <c r="O36" s="32">
        <v>0</v>
      </c>
      <c r="P36" s="32">
        <f>+E36+J36+L36</f>
        <v>8</v>
      </c>
      <c r="Q36" s="32">
        <f t="shared" si="0"/>
        <v>5</v>
      </c>
      <c r="R36" s="71">
        <f t="shared" si="1"/>
        <v>17</v>
      </c>
      <c r="S36" s="49">
        <f t="shared" si="2"/>
        <v>0.22727272727272727</v>
      </c>
      <c r="T36" s="32">
        <f>5</f>
        <v>5</v>
      </c>
      <c r="U36" s="32">
        <f t="shared" si="3"/>
        <v>22</v>
      </c>
      <c r="V36" s="67">
        <f t="shared" si="4"/>
        <v>0.22727272727272727</v>
      </c>
      <c r="W36" s="17"/>
      <c r="X36" s="11">
        <f t="shared" si="5"/>
        <v>27</v>
      </c>
      <c r="Y36" s="17"/>
      <c r="Z36" s="17">
        <f>80000000+220672000</f>
        <v>300672000</v>
      </c>
      <c r="AA36" s="17"/>
      <c r="AB36" s="17"/>
      <c r="AC36" s="17"/>
    </row>
    <row r="37" spans="1:29" s="4" customFormat="1" ht="18" customHeight="1">
      <c r="A37" s="88"/>
      <c r="B37" s="31" t="s">
        <v>18</v>
      </c>
      <c r="C37" s="38">
        <f>6555+6546+6571+6570</f>
        <v>26242</v>
      </c>
      <c r="D37" s="39">
        <v>6208</v>
      </c>
      <c r="E37" s="39">
        <f>6410</f>
        <v>6410</v>
      </c>
      <c r="F37" s="38"/>
      <c r="G37" s="39"/>
      <c r="H37" s="39"/>
      <c r="I37" s="32">
        <v>6374</v>
      </c>
      <c r="J37" s="32">
        <v>7520</v>
      </c>
      <c r="K37" s="32">
        <v>7044</v>
      </c>
      <c r="L37" s="32">
        <v>7915</v>
      </c>
      <c r="M37" s="32">
        <v>6788</v>
      </c>
      <c r="N37" s="32"/>
      <c r="O37" s="32">
        <v>21150</v>
      </c>
      <c r="P37" s="32">
        <f>+E37+J37+L37</f>
        <v>21845</v>
      </c>
      <c r="Q37" s="32">
        <f t="shared" si="0"/>
        <v>41356</v>
      </c>
      <c r="R37" s="71">
        <f t="shared" si="1"/>
        <v>-15114</v>
      </c>
      <c r="S37" s="49">
        <f t="shared" si="2"/>
        <v>1.5759469552625562</v>
      </c>
      <c r="T37" s="32">
        <f>6570</f>
        <v>6570</v>
      </c>
      <c r="U37" s="32">
        <f t="shared" si="3"/>
        <v>-8544</v>
      </c>
      <c r="V37" s="67">
        <f t="shared" si="4"/>
        <v>1.5759469552625562</v>
      </c>
      <c r="W37" s="17"/>
      <c r="X37" s="11">
        <f t="shared" si="5"/>
        <v>32812</v>
      </c>
      <c r="Y37" s="17"/>
      <c r="Z37" s="17">
        <f>8787360+30300000</f>
        <v>39087360</v>
      </c>
      <c r="AA37" s="17"/>
      <c r="AB37" s="17"/>
      <c r="AC37" s="17"/>
    </row>
    <row r="38" spans="1:29" s="4" customFormat="1" ht="21.75" customHeight="1">
      <c r="A38" s="34" t="s">
        <v>4</v>
      </c>
      <c r="B38" s="35"/>
      <c r="C38" s="36">
        <f>SUM(C34:C37)</f>
        <v>520702</v>
      </c>
      <c r="D38" s="36">
        <f aca="true" t="shared" si="11" ref="D38:M38">SUM(D34:D37)</f>
        <v>89987</v>
      </c>
      <c r="E38" s="36">
        <f t="shared" si="11"/>
        <v>110777</v>
      </c>
      <c r="F38" s="36">
        <f t="shared" si="11"/>
        <v>0</v>
      </c>
      <c r="G38" s="36">
        <f t="shared" si="11"/>
        <v>0</v>
      </c>
      <c r="H38" s="36">
        <f t="shared" si="11"/>
        <v>0</v>
      </c>
      <c r="I38" s="36">
        <f t="shared" si="11"/>
        <v>109175</v>
      </c>
      <c r="J38" s="36">
        <f t="shared" si="11"/>
        <v>49392</v>
      </c>
      <c r="K38" s="36">
        <f t="shared" si="11"/>
        <v>47060</v>
      </c>
      <c r="L38" s="36">
        <f t="shared" si="11"/>
        <v>49842</v>
      </c>
      <c r="M38" s="36">
        <f t="shared" si="11"/>
        <v>48087</v>
      </c>
      <c r="N38" s="36"/>
      <c r="O38" s="36">
        <f>SUM(O34:O37)</f>
        <v>63063</v>
      </c>
      <c r="P38" s="36">
        <f>SUM(P34:P37)</f>
        <v>210011</v>
      </c>
      <c r="Q38" s="36">
        <f>SUM(Q34:Q37)</f>
        <v>267385</v>
      </c>
      <c r="R38" s="36">
        <f t="shared" si="1"/>
        <v>253317</v>
      </c>
      <c r="S38" s="50">
        <f t="shared" si="2"/>
        <v>0.5135086863503501</v>
      </c>
      <c r="T38" s="36">
        <f>SUM(T34:T37)</f>
        <v>136005</v>
      </c>
      <c r="U38" s="36">
        <f t="shared" si="3"/>
        <v>389322</v>
      </c>
      <c r="V38" s="47">
        <f t="shared" si="4"/>
        <v>0.5135086863503501</v>
      </c>
      <c r="W38" s="17"/>
      <c r="X38" s="11">
        <f t="shared" si="5"/>
        <v>656707</v>
      </c>
      <c r="Y38" s="17"/>
      <c r="Z38" s="17"/>
      <c r="AA38" s="17"/>
      <c r="AB38" s="17"/>
      <c r="AC38" s="17"/>
    </row>
    <row r="39" spans="1:29" s="4" customFormat="1" ht="27.75" customHeight="1">
      <c r="A39" s="88" t="s">
        <v>24</v>
      </c>
      <c r="B39" s="31" t="s">
        <v>27</v>
      </c>
      <c r="C39" s="38">
        <f>315+294+363+360</f>
        <v>1332</v>
      </c>
      <c r="D39" s="38">
        <v>0</v>
      </c>
      <c r="E39" s="39">
        <f>100</f>
        <v>100</v>
      </c>
      <c r="F39" s="38"/>
      <c r="G39" s="39"/>
      <c r="H39" s="39"/>
      <c r="I39" s="32">
        <f>100</f>
        <v>100</v>
      </c>
      <c r="J39" s="32">
        <v>250</v>
      </c>
      <c r="K39" s="32">
        <v>239</v>
      </c>
      <c r="L39" s="32">
        <v>1592</v>
      </c>
      <c r="M39" s="32">
        <v>1548</v>
      </c>
      <c r="N39" s="32"/>
      <c r="O39" s="32">
        <v>900</v>
      </c>
      <c r="P39" s="32">
        <f>+E39+J39+L39</f>
        <v>1942</v>
      </c>
      <c r="Q39" s="32">
        <f t="shared" si="0"/>
        <v>2787</v>
      </c>
      <c r="R39" s="71">
        <f t="shared" si="1"/>
        <v>-1455</v>
      </c>
      <c r="S39" s="49">
        <f t="shared" si="2"/>
        <v>2.0923423423423424</v>
      </c>
      <c r="T39" s="32">
        <f>360</f>
        <v>360</v>
      </c>
      <c r="U39" s="32">
        <f t="shared" si="3"/>
        <v>-1095</v>
      </c>
      <c r="V39" s="67">
        <f t="shared" si="4"/>
        <v>2.0923423423423424</v>
      </c>
      <c r="W39" s="17"/>
      <c r="X39" s="11">
        <f t="shared" si="5"/>
        <v>1692</v>
      </c>
      <c r="Y39" s="17"/>
      <c r="Z39" s="17"/>
      <c r="AA39" s="17"/>
      <c r="AB39" s="17"/>
      <c r="AC39" s="17"/>
    </row>
    <row r="40" spans="1:29" s="4" customFormat="1" ht="18" customHeight="1">
      <c r="A40" s="88"/>
      <c r="B40" s="31" t="s">
        <v>28</v>
      </c>
      <c r="C40" s="38">
        <f>1271+1248+1330+1327</f>
        <v>5176</v>
      </c>
      <c r="D40" s="38">
        <v>119</v>
      </c>
      <c r="E40" s="39">
        <v>250</v>
      </c>
      <c r="F40" s="38"/>
      <c r="G40" s="39"/>
      <c r="H40" s="39"/>
      <c r="I40" s="32">
        <v>0</v>
      </c>
      <c r="J40" s="32">
        <v>250</v>
      </c>
      <c r="K40" s="32">
        <v>247</v>
      </c>
      <c r="L40" s="32">
        <v>300</v>
      </c>
      <c r="M40" s="32">
        <v>300</v>
      </c>
      <c r="N40" s="32"/>
      <c r="O40" s="32">
        <v>0</v>
      </c>
      <c r="P40" s="32">
        <f>+E40+J40+L40</f>
        <v>800</v>
      </c>
      <c r="Q40" s="32">
        <f t="shared" si="0"/>
        <v>547</v>
      </c>
      <c r="R40" s="71">
        <f t="shared" si="1"/>
        <v>4629</v>
      </c>
      <c r="S40" s="49">
        <f t="shared" si="2"/>
        <v>0.10568006182380216</v>
      </c>
      <c r="T40" s="32">
        <f>1327</f>
        <v>1327</v>
      </c>
      <c r="U40" s="32">
        <f t="shared" si="3"/>
        <v>5956</v>
      </c>
      <c r="V40" s="67">
        <f t="shared" si="4"/>
        <v>0.10568006182380216</v>
      </c>
      <c r="W40" s="17"/>
      <c r="X40" s="11">
        <f t="shared" si="5"/>
        <v>6503</v>
      </c>
      <c r="Y40" s="17"/>
      <c r="Z40" s="17"/>
      <c r="AA40" s="17"/>
      <c r="AB40" s="17"/>
      <c r="AC40" s="17"/>
    </row>
    <row r="41" spans="1:29" s="4" customFormat="1" ht="18" customHeight="1">
      <c r="A41" s="88"/>
      <c r="B41" s="31" t="s">
        <v>29</v>
      </c>
      <c r="C41" s="38">
        <f>4261+4462+5596+5743</f>
        <v>20062</v>
      </c>
      <c r="D41" s="39">
        <v>0</v>
      </c>
      <c r="E41" s="39">
        <f>4609</f>
        <v>4609</v>
      </c>
      <c r="F41" s="38"/>
      <c r="G41" s="39"/>
      <c r="H41" s="39"/>
      <c r="I41" s="32">
        <f>3553</f>
        <v>3553</v>
      </c>
      <c r="J41" s="32">
        <v>7058</v>
      </c>
      <c r="K41" s="32">
        <v>5073</v>
      </c>
      <c r="L41" s="32">
        <v>10798</v>
      </c>
      <c r="M41" s="32">
        <v>7427</v>
      </c>
      <c r="N41" s="32"/>
      <c r="O41" s="32">
        <v>8269</v>
      </c>
      <c r="P41" s="32">
        <f>+E41+J41+L41</f>
        <v>22465</v>
      </c>
      <c r="Q41" s="32">
        <f t="shared" si="0"/>
        <v>24322</v>
      </c>
      <c r="R41" s="71">
        <f t="shared" si="1"/>
        <v>-4260</v>
      </c>
      <c r="S41" s="49">
        <f t="shared" si="2"/>
        <v>1.2123417406041272</v>
      </c>
      <c r="T41" s="32">
        <f>5743</f>
        <v>5743</v>
      </c>
      <c r="U41" s="32">
        <f t="shared" si="3"/>
        <v>1483</v>
      </c>
      <c r="V41" s="67">
        <f t="shared" si="4"/>
        <v>1.2123417406041272</v>
      </c>
      <c r="W41" s="17"/>
      <c r="X41" s="11">
        <f t="shared" si="5"/>
        <v>25805</v>
      </c>
      <c r="Y41" s="17"/>
      <c r="Z41" s="17"/>
      <c r="AA41" s="17"/>
      <c r="AB41" s="17"/>
      <c r="AC41" s="17"/>
    </row>
    <row r="42" spans="1:29" s="4" customFormat="1" ht="30.75" customHeight="1">
      <c r="A42" s="34" t="s">
        <v>4</v>
      </c>
      <c r="B42" s="35"/>
      <c r="C42" s="36">
        <f>SUM(C39:C41)</f>
        <v>26570</v>
      </c>
      <c r="D42" s="36">
        <f aca="true" t="shared" si="12" ref="D42:M42">SUM(D39:D41)</f>
        <v>119</v>
      </c>
      <c r="E42" s="36">
        <f t="shared" si="12"/>
        <v>4959</v>
      </c>
      <c r="F42" s="36">
        <f t="shared" si="12"/>
        <v>0</v>
      </c>
      <c r="G42" s="36">
        <f t="shared" si="12"/>
        <v>0</v>
      </c>
      <c r="H42" s="36">
        <f t="shared" si="12"/>
        <v>0</v>
      </c>
      <c r="I42" s="36">
        <f t="shared" si="12"/>
        <v>3653</v>
      </c>
      <c r="J42" s="36">
        <f t="shared" si="12"/>
        <v>7558</v>
      </c>
      <c r="K42" s="36">
        <f t="shared" si="12"/>
        <v>5559</v>
      </c>
      <c r="L42" s="36">
        <f t="shared" si="12"/>
        <v>12690</v>
      </c>
      <c r="M42" s="36">
        <f t="shared" si="12"/>
        <v>9275</v>
      </c>
      <c r="N42" s="36"/>
      <c r="O42" s="36">
        <f>SUM(O39:O41)</f>
        <v>9169</v>
      </c>
      <c r="P42" s="36">
        <f>SUM(P39:P41)</f>
        <v>25207</v>
      </c>
      <c r="Q42" s="36">
        <f>SUM(Q39:Q41)</f>
        <v>27656</v>
      </c>
      <c r="R42" s="36">
        <f t="shared" si="1"/>
        <v>-1086</v>
      </c>
      <c r="S42" s="50">
        <f t="shared" si="2"/>
        <v>1.0408731652239367</v>
      </c>
      <c r="T42" s="36">
        <f>SUM(T39:T41)</f>
        <v>7430</v>
      </c>
      <c r="U42" s="36">
        <f t="shared" si="3"/>
        <v>6344</v>
      </c>
      <c r="V42" s="47">
        <f t="shared" si="4"/>
        <v>1.0408731652239367</v>
      </c>
      <c r="W42" s="17"/>
      <c r="X42" s="11">
        <f t="shared" si="5"/>
        <v>34000</v>
      </c>
      <c r="Y42" s="17"/>
      <c r="Z42" s="17"/>
      <c r="AA42" s="17"/>
      <c r="AB42" s="17"/>
      <c r="AC42" s="17"/>
    </row>
    <row r="43" spans="1:29" s="4" customFormat="1" ht="27" customHeight="1">
      <c r="A43" s="88" t="s">
        <v>25</v>
      </c>
      <c r="B43" s="31" t="s">
        <v>30</v>
      </c>
      <c r="C43" s="38">
        <f>10918+7970+18027+17597</f>
        <v>54512</v>
      </c>
      <c r="D43" s="39">
        <f>342+487</f>
        <v>829</v>
      </c>
      <c r="E43" s="39">
        <f>6250</f>
        <v>6250</v>
      </c>
      <c r="F43" s="38"/>
      <c r="G43" s="39"/>
      <c r="H43" s="39"/>
      <c r="I43" s="32">
        <v>6200</v>
      </c>
      <c r="J43" s="32">
        <v>21327</v>
      </c>
      <c r="K43" s="32">
        <v>21248</v>
      </c>
      <c r="L43" s="32">
        <v>11428</v>
      </c>
      <c r="M43" s="32">
        <v>10751</v>
      </c>
      <c r="N43" s="32"/>
      <c r="O43" s="32">
        <v>31005</v>
      </c>
      <c r="P43" s="32">
        <f>+E43+J43+L43</f>
        <v>39005</v>
      </c>
      <c r="Q43" s="32">
        <f t="shared" si="0"/>
        <v>69204</v>
      </c>
      <c r="R43" s="71">
        <f t="shared" si="1"/>
        <v>-14692</v>
      </c>
      <c r="S43" s="49">
        <f t="shared" si="2"/>
        <v>1.2695186380980334</v>
      </c>
      <c r="T43" s="32">
        <f>17597</f>
        <v>17597</v>
      </c>
      <c r="U43" s="32">
        <f t="shared" si="3"/>
        <v>2905</v>
      </c>
      <c r="V43" s="67">
        <f t="shared" si="4"/>
        <v>1.2695186380980334</v>
      </c>
      <c r="W43" s="17"/>
      <c r="X43" s="11">
        <f t="shared" si="5"/>
        <v>72109</v>
      </c>
      <c r="Y43" s="17"/>
      <c r="Z43" s="17"/>
      <c r="AA43" s="17"/>
      <c r="AB43" s="17"/>
      <c r="AC43" s="17"/>
    </row>
    <row r="44" spans="1:29" s="4" customFormat="1" ht="25.5" customHeight="1">
      <c r="A44" s="88"/>
      <c r="B44" s="31" t="s">
        <v>31</v>
      </c>
      <c r="C44" s="38">
        <f>113680+116771+121217+124760</f>
        <v>476428</v>
      </c>
      <c r="D44" s="39">
        <f>3391+10+300+247+85219</f>
        <v>89167</v>
      </c>
      <c r="E44" s="39">
        <f>121883</f>
        <v>121883</v>
      </c>
      <c r="F44" s="38"/>
      <c r="G44" s="39"/>
      <c r="H44" s="39"/>
      <c r="I44" s="32">
        <f>112925</f>
        <v>112925</v>
      </c>
      <c r="J44" s="32">
        <v>82573</v>
      </c>
      <c r="K44" s="32">
        <v>73139</v>
      </c>
      <c r="L44" s="32">
        <v>89265</v>
      </c>
      <c r="M44" s="32">
        <v>73768</v>
      </c>
      <c r="N44" s="32"/>
      <c r="O44" s="32">
        <v>83673</v>
      </c>
      <c r="P44" s="32">
        <f>+E44+J44+L44</f>
        <v>293721</v>
      </c>
      <c r="Q44" s="32">
        <f t="shared" si="0"/>
        <v>343505</v>
      </c>
      <c r="R44" s="71">
        <f t="shared" si="1"/>
        <v>132923</v>
      </c>
      <c r="S44" s="49">
        <f t="shared" si="2"/>
        <v>0.7210008647686534</v>
      </c>
      <c r="T44" s="32">
        <f>124760</f>
        <v>124760</v>
      </c>
      <c r="U44" s="32">
        <f t="shared" si="3"/>
        <v>257683</v>
      </c>
      <c r="V44" s="67">
        <f t="shared" si="4"/>
        <v>0.7210008647686534</v>
      </c>
      <c r="W44" s="17"/>
      <c r="X44" s="11">
        <f t="shared" si="5"/>
        <v>601188</v>
      </c>
      <c r="Y44" s="17"/>
      <c r="Z44" s="17"/>
      <c r="AA44" s="17"/>
      <c r="AB44" s="17"/>
      <c r="AC44" s="17"/>
    </row>
    <row r="45" spans="1:29" s="4" customFormat="1" ht="27" customHeight="1">
      <c r="A45" s="88"/>
      <c r="B45" s="31" t="s">
        <v>32</v>
      </c>
      <c r="C45" s="38">
        <f>85+68+131+129</f>
        <v>413</v>
      </c>
      <c r="D45" s="39">
        <v>10</v>
      </c>
      <c r="E45" s="39">
        <f>149</f>
        <v>149</v>
      </c>
      <c r="F45" s="38"/>
      <c r="G45" s="39"/>
      <c r="H45" s="39"/>
      <c r="I45" s="32">
        <v>149</v>
      </c>
      <c r="J45" s="32">
        <v>120</v>
      </c>
      <c r="K45" s="32">
        <v>82</v>
      </c>
      <c r="L45" s="32">
        <v>121</v>
      </c>
      <c r="M45" s="32">
        <v>117</v>
      </c>
      <c r="N45" s="32"/>
      <c r="O45" s="32">
        <v>90</v>
      </c>
      <c r="P45" s="32">
        <f>+E45+J45+L45</f>
        <v>390</v>
      </c>
      <c r="Q45" s="32">
        <f t="shared" si="0"/>
        <v>438</v>
      </c>
      <c r="R45" s="71">
        <f t="shared" si="1"/>
        <v>-25</v>
      </c>
      <c r="S45" s="49">
        <f t="shared" si="2"/>
        <v>1.0605326876513317</v>
      </c>
      <c r="T45" s="32">
        <f>129</f>
        <v>129</v>
      </c>
      <c r="U45" s="32">
        <f t="shared" si="3"/>
        <v>104</v>
      </c>
      <c r="V45" s="67">
        <f t="shared" si="4"/>
        <v>1.0605326876513317</v>
      </c>
      <c r="W45" s="17"/>
      <c r="X45" s="11">
        <f t="shared" si="5"/>
        <v>542</v>
      </c>
      <c r="Y45" s="17"/>
      <c r="Z45" s="17"/>
      <c r="AA45" s="17"/>
      <c r="AB45" s="17"/>
      <c r="AC45" s="17"/>
    </row>
    <row r="46" spans="1:29" s="4" customFormat="1" ht="27" customHeight="1">
      <c r="A46" s="88"/>
      <c r="B46" s="31" t="s">
        <v>33</v>
      </c>
      <c r="C46" s="38">
        <f>12733+12593+13087+13064</f>
        <v>51477</v>
      </c>
      <c r="D46" s="39">
        <f>10+7324+129</f>
        <v>7463</v>
      </c>
      <c r="E46" s="39">
        <f>15923</f>
        <v>15923</v>
      </c>
      <c r="F46" s="38"/>
      <c r="G46" s="39"/>
      <c r="H46" s="39"/>
      <c r="I46" s="32">
        <f>15787</f>
        <v>15787</v>
      </c>
      <c r="J46" s="32">
        <v>14264</v>
      </c>
      <c r="K46" s="32">
        <v>12829</v>
      </c>
      <c r="L46" s="32">
        <v>16027</v>
      </c>
      <c r="M46" s="32">
        <v>11616</v>
      </c>
      <c r="N46" s="32"/>
      <c r="O46" s="32">
        <v>13730</v>
      </c>
      <c r="P46" s="32">
        <f>+E46+J46+L46</f>
        <v>46214</v>
      </c>
      <c r="Q46" s="32">
        <f t="shared" si="0"/>
        <v>53962</v>
      </c>
      <c r="R46" s="71">
        <f t="shared" si="1"/>
        <v>-2485</v>
      </c>
      <c r="S46" s="49">
        <f t="shared" si="2"/>
        <v>1.0482739864405464</v>
      </c>
      <c r="T46" s="32">
        <f>13064</f>
        <v>13064</v>
      </c>
      <c r="U46" s="32">
        <f t="shared" si="3"/>
        <v>10579</v>
      </c>
      <c r="V46" s="67">
        <f t="shared" si="4"/>
        <v>1.0482739864405464</v>
      </c>
      <c r="W46" s="17"/>
      <c r="X46" s="11">
        <f t="shared" si="5"/>
        <v>64541</v>
      </c>
      <c r="Y46" s="17"/>
      <c r="Z46" s="17"/>
      <c r="AA46" s="17"/>
      <c r="AB46" s="17"/>
      <c r="AC46" s="17"/>
    </row>
    <row r="47" spans="1:29" s="4" customFormat="1" ht="27" customHeight="1">
      <c r="A47" s="88"/>
      <c r="B47" s="31" t="s">
        <v>34</v>
      </c>
      <c r="C47" s="38">
        <f>63794+65337+68148+70036</f>
        <v>267315</v>
      </c>
      <c r="D47" s="39">
        <f>254+10+1487+334+70248</f>
        <v>72333</v>
      </c>
      <c r="E47" s="39">
        <f>65157</f>
        <v>65157</v>
      </c>
      <c r="F47" s="38"/>
      <c r="G47" s="39"/>
      <c r="H47" s="39"/>
      <c r="I47" s="32">
        <f>64250</f>
        <v>64250</v>
      </c>
      <c r="J47" s="32">
        <v>86836</v>
      </c>
      <c r="K47" s="32">
        <v>85197</v>
      </c>
      <c r="L47" s="32">
        <v>109338</v>
      </c>
      <c r="M47" s="32">
        <v>106676</v>
      </c>
      <c r="N47" s="32"/>
      <c r="O47" s="32">
        <v>109683</v>
      </c>
      <c r="P47" s="32">
        <f>+E47+J47+L47</f>
        <v>261331</v>
      </c>
      <c r="Q47" s="32">
        <f t="shared" si="0"/>
        <v>365806</v>
      </c>
      <c r="R47" s="71">
        <f t="shared" si="1"/>
        <v>-98491</v>
      </c>
      <c r="S47" s="49">
        <f t="shared" si="2"/>
        <v>1.3684454669584571</v>
      </c>
      <c r="T47" s="32">
        <f>70036</f>
        <v>70036</v>
      </c>
      <c r="U47" s="32">
        <f t="shared" si="3"/>
        <v>-28455</v>
      </c>
      <c r="V47" s="67">
        <f t="shared" si="4"/>
        <v>1.3684454669584571</v>
      </c>
      <c r="W47" s="17"/>
      <c r="X47" s="11">
        <f t="shared" si="5"/>
        <v>337351</v>
      </c>
      <c r="Y47" s="17"/>
      <c r="Z47" s="17"/>
      <c r="AA47" s="17"/>
      <c r="AB47" s="17"/>
      <c r="AC47" s="17"/>
    </row>
    <row r="48" spans="1:29" s="4" customFormat="1" ht="30.75" customHeight="1">
      <c r="A48" s="34" t="s">
        <v>4</v>
      </c>
      <c r="B48" s="35"/>
      <c r="C48" s="36">
        <f>SUM(C43:C47)</f>
        <v>850145</v>
      </c>
      <c r="D48" s="36">
        <f>SUM(D43:D47)</f>
        <v>169802</v>
      </c>
      <c r="E48" s="36">
        <f>SUM(E43:E47)</f>
        <v>209362</v>
      </c>
      <c r="F48" s="36" t="e">
        <f>+#REF!</f>
        <v>#REF!</v>
      </c>
      <c r="G48" s="36" t="e">
        <f>+#REF!</f>
        <v>#REF!</v>
      </c>
      <c r="H48" s="36" t="e">
        <f>+#REF!</f>
        <v>#REF!</v>
      </c>
      <c r="I48" s="36">
        <f aca="true" t="shared" si="13" ref="I48:Q48">SUM(I43:I47)</f>
        <v>199311</v>
      </c>
      <c r="J48" s="36">
        <f t="shared" si="13"/>
        <v>205120</v>
      </c>
      <c r="K48" s="36">
        <f t="shared" si="13"/>
        <v>192495</v>
      </c>
      <c r="L48" s="36">
        <f t="shared" si="13"/>
        <v>226179</v>
      </c>
      <c r="M48" s="36">
        <f t="shared" si="13"/>
        <v>202928</v>
      </c>
      <c r="N48" s="36"/>
      <c r="O48" s="36">
        <f>SUM(O43:O47)</f>
        <v>238181</v>
      </c>
      <c r="P48" s="36">
        <f t="shared" si="13"/>
        <v>640661</v>
      </c>
      <c r="Q48" s="36">
        <f t="shared" si="13"/>
        <v>832915</v>
      </c>
      <c r="R48" s="36">
        <f t="shared" si="1"/>
        <v>17230</v>
      </c>
      <c r="S48" s="50">
        <f t="shared" si="2"/>
        <v>0.9797328690988008</v>
      </c>
      <c r="T48" s="36">
        <f>SUM(T43:T47)</f>
        <v>225586</v>
      </c>
      <c r="U48" s="36">
        <f t="shared" si="3"/>
        <v>242816</v>
      </c>
      <c r="V48" s="47">
        <f t="shared" si="4"/>
        <v>0.9797328690988008</v>
      </c>
      <c r="W48" s="17"/>
      <c r="X48" s="11">
        <f t="shared" si="5"/>
        <v>1075731</v>
      </c>
      <c r="Y48" s="17"/>
      <c r="Z48" s="17"/>
      <c r="AA48" s="17"/>
      <c r="AB48" s="17"/>
      <c r="AC48" s="17"/>
    </row>
    <row r="49" spans="1:29" s="4" customFormat="1" ht="25.5" customHeight="1">
      <c r="A49" s="88" t="s">
        <v>134</v>
      </c>
      <c r="B49" s="31" t="s">
        <v>35</v>
      </c>
      <c r="C49" s="38">
        <f>451+357+681+667</f>
        <v>2156</v>
      </c>
      <c r="D49" s="39">
        <v>219</v>
      </c>
      <c r="E49" s="39">
        <f>719</f>
        <v>719</v>
      </c>
      <c r="F49" s="38"/>
      <c r="G49" s="39"/>
      <c r="H49" s="39"/>
      <c r="I49" s="32">
        <f>719</f>
        <v>719</v>
      </c>
      <c r="J49" s="32">
        <v>730</v>
      </c>
      <c r="K49" s="32">
        <v>692</v>
      </c>
      <c r="L49" s="32">
        <v>1320</v>
      </c>
      <c r="M49" s="32">
        <v>828</v>
      </c>
      <c r="N49" s="32"/>
      <c r="O49" s="32">
        <v>272</v>
      </c>
      <c r="P49" s="32">
        <f>+E49+J49+L49</f>
        <v>2769</v>
      </c>
      <c r="Q49" s="32">
        <f t="shared" si="0"/>
        <v>2511</v>
      </c>
      <c r="R49" s="71">
        <f t="shared" si="1"/>
        <v>-355</v>
      </c>
      <c r="S49" s="49">
        <f t="shared" si="2"/>
        <v>1.164656771799629</v>
      </c>
      <c r="T49" s="32">
        <f>667</f>
        <v>667</v>
      </c>
      <c r="U49" s="32">
        <f t="shared" si="3"/>
        <v>312</v>
      </c>
      <c r="V49" s="67">
        <f t="shared" si="4"/>
        <v>1.164656771799629</v>
      </c>
      <c r="W49" s="17"/>
      <c r="X49" s="11">
        <f t="shared" si="5"/>
        <v>2823</v>
      </c>
      <c r="Y49" s="17"/>
      <c r="Z49" s="17"/>
      <c r="AA49" s="17"/>
      <c r="AB49" s="17"/>
      <c r="AC49" s="17"/>
    </row>
    <row r="50" spans="1:29" s="4" customFormat="1" ht="22.5" customHeight="1">
      <c r="A50" s="88"/>
      <c r="B50" s="31" t="s">
        <v>36</v>
      </c>
      <c r="C50" s="38">
        <f>29+21+49+48</f>
        <v>147</v>
      </c>
      <c r="D50" s="39">
        <v>0</v>
      </c>
      <c r="E50" s="39">
        <v>30</v>
      </c>
      <c r="F50" s="38"/>
      <c r="G50" s="39"/>
      <c r="H50" s="39"/>
      <c r="I50" s="32">
        <v>0</v>
      </c>
      <c r="J50" s="32">
        <v>0</v>
      </c>
      <c r="K50" s="32">
        <v>0</v>
      </c>
      <c r="L50" s="32">
        <v>84</v>
      </c>
      <c r="M50" s="32">
        <v>84</v>
      </c>
      <c r="N50" s="32"/>
      <c r="O50" s="85">
        <v>0</v>
      </c>
      <c r="P50" s="32">
        <f>+E50+J50+L50</f>
        <v>114</v>
      </c>
      <c r="Q50" s="32">
        <f t="shared" si="0"/>
        <v>84</v>
      </c>
      <c r="R50" s="71">
        <f t="shared" si="1"/>
        <v>63</v>
      </c>
      <c r="S50" s="49">
        <f t="shared" si="2"/>
        <v>0.5714285714285714</v>
      </c>
      <c r="T50" s="32">
        <f>48</f>
        <v>48</v>
      </c>
      <c r="U50" s="32">
        <f t="shared" si="3"/>
        <v>111</v>
      </c>
      <c r="V50" s="67">
        <f t="shared" si="4"/>
        <v>0.5714285714285714</v>
      </c>
      <c r="W50" s="17"/>
      <c r="X50" s="11">
        <f t="shared" si="5"/>
        <v>195</v>
      </c>
      <c r="Y50" s="17"/>
      <c r="Z50" s="17"/>
      <c r="AA50" s="17"/>
      <c r="AB50" s="17"/>
      <c r="AC50" s="17"/>
    </row>
    <row r="51" spans="1:29" s="4" customFormat="1" ht="30.75" customHeight="1">
      <c r="A51" s="34" t="s">
        <v>4</v>
      </c>
      <c r="B51" s="35"/>
      <c r="C51" s="36">
        <f>SUM(C49:C50)</f>
        <v>2303</v>
      </c>
      <c r="D51" s="36">
        <f aca="true" t="shared" si="14" ref="D51:M51">SUM(D49:D50)</f>
        <v>219</v>
      </c>
      <c r="E51" s="36">
        <f t="shared" si="14"/>
        <v>749</v>
      </c>
      <c r="F51" s="36">
        <f t="shared" si="14"/>
        <v>0</v>
      </c>
      <c r="G51" s="36">
        <f t="shared" si="14"/>
        <v>0</v>
      </c>
      <c r="H51" s="36">
        <f t="shared" si="14"/>
        <v>0</v>
      </c>
      <c r="I51" s="36">
        <f t="shared" si="14"/>
        <v>719</v>
      </c>
      <c r="J51" s="36">
        <f t="shared" si="14"/>
        <v>730</v>
      </c>
      <c r="K51" s="36">
        <f t="shared" si="14"/>
        <v>692</v>
      </c>
      <c r="L51" s="36">
        <f t="shared" si="14"/>
        <v>1404</v>
      </c>
      <c r="M51" s="36">
        <f t="shared" si="14"/>
        <v>912</v>
      </c>
      <c r="N51" s="36"/>
      <c r="O51" s="36">
        <f>SUM(O49:O50)</f>
        <v>272</v>
      </c>
      <c r="P51" s="36">
        <f>SUM(P49:P50)</f>
        <v>2883</v>
      </c>
      <c r="Q51" s="36">
        <f>SUM(Q49:Q50)</f>
        <v>2595</v>
      </c>
      <c r="R51" s="36">
        <f t="shared" si="1"/>
        <v>-292</v>
      </c>
      <c r="S51" s="50">
        <f t="shared" si="2"/>
        <v>1.1267911419887104</v>
      </c>
      <c r="T51" s="36">
        <f>SUM(T49:T50)</f>
        <v>715</v>
      </c>
      <c r="U51" s="36">
        <f t="shared" si="3"/>
        <v>423</v>
      </c>
      <c r="V51" s="47">
        <f t="shared" si="4"/>
        <v>1.1267911419887104</v>
      </c>
      <c r="W51" s="17"/>
      <c r="X51" s="11">
        <f t="shared" si="5"/>
        <v>3018</v>
      </c>
      <c r="Y51" s="17"/>
      <c r="Z51" s="17"/>
      <c r="AA51" s="17"/>
      <c r="AB51" s="17"/>
      <c r="AC51" s="17"/>
    </row>
    <row r="52" spans="1:29" s="4" customFormat="1" ht="44.25" customHeight="1">
      <c r="A52" s="45" t="s">
        <v>26</v>
      </c>
      <c r="B52" s="31" t="s">
        <v>37</v>
      </c>
      <c r="C52" s="38">
        <f>19777+18738+23438+24637</f>
        <v>86590</v>
      </c>
      <c r="D52" s="38">
        <f>14776+1200</f>
        <v>15976</v>
      </c>
      <c r="E52" s="39">
        <f>34930</f>
        <v>34930</v>
      </c>
      <c r="F52" s="38"/>
      <c r="G52" s="39"/>
      <c r="H52" s="39"/>
      <c r="I52" s="32">
        <f>31059</f>
        <v>31059</v>
      </c>
      <c r="J52" s="32">
        <v>48263</v>
      </c>
      <c r="K52" s="32">
        <v>34919</v>
      </c>
      <c r="L52" s="32">
        <v>33449</v>
      </c>
      <c r="M52" s="32">
        <v>31421</v>
      </c>
      <c r="N52" s="32"/>
      <c r="O52" s="32">
        <v>40490</v>
      </c>
      <c r="P52" s="32">
        <f>+E52+J52+L52</f>
        <v>116642</v>
      </c>
      <c r="Q52" s="32">
        <f t="shared" si="0"/>
        <v>137889</v>
      </c>
      <c r="R52" s="71">
        <f t="shared" si="1"/>
        <v>-51299</v>
      </c>
      <c r="S52" s="49">
        <f t="shared" si="2"/>
        <v>1.592435616121954</v>
      </c>
      <c r="T52" s="32">
        <f>24637</f>
        <v>24637</v>
      </c>
      <c r="U52" s="32">
        <f t="shared" si="3"/>
        <v>-26662</v>
      </c>
      <c r="V52" s="67">
        <f t="shared" si="4"/>
        <v>1.592435616121954</v>
      </c>
      <c r="W52" s="17"/>
      <c r="X52" s="11">
        <f t="shared" si="5"/>
        <v>111227</v>
      </c>
      <c r="Y52" s="17"/>
      <c r="Z52" s="17"/>
      <c r="AA52" s="17"/>
      <c r="AB52" s="17"/>
      <c r="AC52" s="17"/>
    </row>
    <row r="53" spans="1:29" s="4" customFormat="1" ht="30.75" customHeight="1">
      <c r="A53" s="34" t="s">
        <v>4</v>
      </c>
      <c r="B53" s="35"/>
      <c r="C53" s="36">
        <f>+C52</f>
        <v>86590</v>
      </c>
      <c r="D53" s="36">
        <f>+D52</f>
        <v>15976</v>
      </c>
      <c r="E53" s="36">
        <f>+E52</f>
        <v>34930</v>
      </c>
      <c r="F53" s="36">
        <f>SUM(F51:F52)</f>
        <v>0</v>
      </c>
      <c r="G53" s="36">
        <f>SUM(G51:G52)</f>
        <v>0</v>
      </c>
      <c r="H53" s="36">
        <f>SUM(H51:H52)</f>
        <v>0</v>
      </c>
      <c r="I53" s="36">
        <f>+I52</f>
        <v>31059</v>
      </c>
      <c r="J53" s="36">
        <f>+J52</f>
        <v>48263</v>
      </c>
      <c r="K53" s="36">
        <f>+K52</f>
        <v>34919</v>
      </c>
      <c r="L53" s="36">
        <f>+L52</f>
        <v>33449</v>
      </c>
      <c r="M53" s="36">
        <f>+M52</f>
        <v>31421</v>
      </c>
      <c r="N53" s="36"/>
      <c r="O53" s="36">
        <f>+O52</f>
        <v>40490</v>
      </c>
      <c r="P53" s="36">
        <f>SUM(P52)</f>
        <v>116642</v>
      </c>
      <c r="Q53" s="36">
        <f>SUM(Q52)</f>
        <v>137889</v>
      </c>
      <c r="R53" s="36">
        <f t="shared" si="1"/>
        <v>-51299</v>
      </c>
      <c r="S53" s="50">
        <f t="shared" si="2"/>
        <v>1.592435616121954</v>
      </c>
      <c r="T53" s="36">
        <f>+T52</f>
        <v>24637</v>
      </c>
      <c r="U53" s="36">
        <f t="shared" si="3"/>
        <v>-26662</v>
      </c>
      <c r="V53" s="47">
        <f t="shared" si="4"/>
        <v>1.592435616121954</v>
      </c>
      <c r="W53" s="17"/>
      <c r="X53" s="11">
        <f t="shared" si="5"/>
        <v>111227</v>
      </c>
      <c r="Y53" s="17"/>
      <c r="Z53" s="17"/>
      <c r="AA53" s="17"/>
      <c r="AB53" s="17"/>
      <c r="AC53" s="17"/>
    </row>
    <row r="54" spans="1:24" ht="32.25" customHeight="1">
      <c r="A54" s="27" t="s">
        <v>81</v>
      </c>
      <c r="B54" s="40"/>
      <c r="C54" s="82">
        <f>+C13+C18+C23+C28+C33+C38+C42+C48+C51+C53</f>
        <v>3047107</v>
      </c>
      <c r="D54" s="26">
        <f>+D13+D18+D23+D28+D33+D38+D42+D48+D51+D53</f>
        <v>564275</v>
      </c>
      <c r="E54" s="26">
        <f>+E13+E18+E23+E28+E33+E38+E42+E48+E51+E53</f>
        <v>848866</v>
      </c>
      <c r="F54" s="26" t="e">
        <f>+F13+F18+F23+F28+F33+F38+F42+F48+F51</f>
        <v>#REF!</v>
      </c>
      <c r="G54" s="26" t="e">
        <f>+G13+G18+G23+G28+G33+G38+G42+G48+G51</f>
        <v>#REF!</v>
      </c>
      <c r="H54" s="26" t="e">
        <f>+H13+H18+H23+H28+H33+H38+H42+H48+H51</f>
        <v>#REF!</v>
      </c>
      <c r="I54" s="26">
        <f>+I13+I18+I23+I28+I33+I38+I42+I48+I51+I53</f>
        <v>789435</v>
      </c>
      <c r="J54" s="69">
        <f aca="true" t="shared" si="15" ref="J54:Q54">+J13+J18+J23+J28+J33+J38+J42+J48+J51+J53</f>
        <v>886381</v>
      </c>
      <c r="K54" s="69">
        <f t="shared" si="15"/>
        <v>791515</v>
      </c>
      <c r="L54" s="77">
        <f t="shared" si="15"/>
        <v>969430</v>
      </c>
      <c r="M54" s="77">
        <f t="shared" si="15"/>
        <v>878150</v>
      </c>
      <c r="N54" s="82"/>
      <c r="O54" s="82">
        <f>+O13+O18+O23+O28+O33+O38+O42+O48+O51+O53</f>
        <v>964687</v>
      </c>
      <c r="P54" s="46">
        <f t="shared" si="15"/>
        <v>2704677</v>
      </c>
      <c r="Q54" s="46">
        <f t="shared" si="15"/>
        <v>3423787</v>
      </c>
      <c r="R54" s="62">
        <f t="shared" si="1"/>
        <v>-376680</v>
      </c>
      <c r="S54" s="51">
        <f t="shared" si="2"/>
        <v>1.1236188949058894</v>
      </c>
      <c r="T54" s="48">
        <f>+T13+T18+T23+T28+T33+T38+T42+T48+T51+T53</f>
        <v>810992</v>
      </c>
      <c r="U54" s="62">
        <f t="shared" si="3"/>
        <v>434312</v>
      </c>
      <c r="V54" s="68">
        <f t="shared" si="4"/>
        <v>1.1236188949058894</v>
      </c>
      <c r="X54" s="11">
        <f t="shared" si="5"/>
        <v>3858099</v>
      </c>
    </row>
    <row r="55" spans="1:24" ht="22.5" customHeight="1">
      <c r="A55" s="6"/>
      <c r="B55" s="9"/>
      <c r="C55" s="5"/>
      <c r="D55" s="5"/>
      <c r="E55" s="5" t="s">
        <v>3</v>
      </c>
      <c r="F55" s="5"/>
      <c r="G55" s="5"/>
      <c r="H55" s="5"/>
      <c r="I55" s="5"/>
      <c r="J55" s="75"/>
      <c r="K55" s="75"/>
      <c r="L55" s="75"/>
      <c r="M55" s="75"/>
      <c r="N55" s="75"/>
      <c r="O55" s="75"/>
      <c r="P55" s="5" t="s">
        <v>3</v>
      </c>
      <c r="Q55" s="5" t="s">
        <v>3</v>
      </c>
      <c r="R55" s="5"/>
      <c r="S55" s="7"/>
      <c r="T55" s="55"/>
      <c r="U55" s="55"/>
      <c r="X55" s="11">
        <f t="shared" si="5"/>
        <v>0</v>
      </c>
    </row>
    <row r="56" spans="1:24" ht="11.25" customHeight="1">
      <c r="A56" s="95"/>
      <c r="B56" s="95"/>
      <c r="C56" s="25"/>
      <c r="D56" s="8"/>
      <c r="E56" s="8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56"/>
      <c r="U56" s="56"/>
      <c r="V56" s="13"/>
      <c r="X56" s="11">
        <f t="shared" si="5"/>
        <v>0</v>
      </c>
    </row>
    <row r="57" spans="1:24" ht="16.5" customHeight="1">
      <c r="A57" s="89" t="s">
        <v>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X57" s="11">
        <f t="shared" si="5"/>
        <v>0</v>
      </c>
    </row>
    <row r="58" spans="1:24" ht="11.25" customHeight="1">
      <c r="A58" s="92" t="s">
        <v>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X58" s="11">
        <f t="shared" si="5"/>
        <v>0</v>
      </c>
    </row>
    <row r="59" spans="1:24" ht="12.75" customHeight="1">
      <c r="A59" s="92" t="s">
        <v>159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X59" s="11">
        <f t="shared" si="5"/>
        <v>0</v>
      </c>
    </row>
    <row r="60" spans="1:24" ht="18" customHeight="1">
      <c r="A60" s="89" t="s">
        <v>38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X60" s="11">
        <f t="shared" si="5"/>
        <v>0</v>
      </c>
    </row>
    <row r="61" spans="1:24" ht="13.5" customHeight="1">
      <c r="A61" s="92" t="s">
        <v>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52"/>
      <c r="U61" s="52"/>
      <c r="V61" s="52"/>
      <c r="X61" s="11">
        <f t="shared" si="5"/>
        <v>0</v>
      </c>
    </row>
    <row r="62" spans="1:24" ht="12.75">
      <c r="A62" s="97" t="s">
        <v>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53"/>
      <c r="U62" s="53"/>
      <c r="V62" s="53"/>
      <c r="X62" s="11">
        <f t="shared" si="5"/>
        <v>0</v>
      </c>
    </row>
    <row r="63" spans="1:24" ht="12.75" customHeight="1">
      <c r="A63" s="94" t="s">
        <v>0</v>
      </c>
      <c r="B63" s="94" t="s">
        <v>1</v>
      </c>
      <c r="C63" s="94" t="s">
        <v>158</v>
      </c>
      <c r="D63" s="87" t="s">
        <v>10</v>
      </c>
      <c r="E63" s="87" t="s">
        <v>140</v>
      </c>
      <c r="F63" s="87" t="s">
        <v>11</v>
      </c>
      <c r="G63" s="87" t="s">
        <v>12</v>
      </c>
      <c r="H63" s="87" t="s">
        <v>13</v>
      </c>
      <c r="I63" s="87" t="s">
        <v>144</v>
      </c>
      <c r="J63" s="87" t="s">
        <v>142</v>
      </c>
      <c r="K63" s="87" t="s">
        <v>143</v>
      </c>
      <c r="L63" s="87" t="s">
        <v>150</v>
      </c>
      <c r="M63" s="87" t="s">
        <v>151</v>
      </c>
      <c r="N63" s="80"/>
      <c r="O63" s="87" t="s">
        <v>157</v>
      </c>
      <c r="P63" s="90" t="s">
        <v>152</v>
      </c>
      <c r="Q63" s="90" t="s">
        <v>153</v>
      </c>
      <c r="R63" s="90" t="s">
        <v>154</v>
      </c>
      <c r="S63" s="94" t="s">
        <v>138</v>
      </c>
      <c r="T63" s="107" t="s">
        <v>155</v>
      </c>
      <c r="U63" s="87" t="s">
        <v>147</v>
      </c>
      <c r="V63" s="87" t="s">
        <v>148</v>
      </c>
      <c r="X63" s="11" t="e">
        <f t="shared" si="5"/>
        <v>#VALUE!</v>
      </c>
    </row>
    <row r="64" spans="1:24" ht="37.5" customHeight="1">
      <c r="A64" s="94"/>
      <c r="B64" s="94"/>
      <c r="C64" s="94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1"/>
      <c r="O64" s="87"/>
      <c r="P64" s="91"/>
      <c r="Q64" s="91"/>
      <c r="R64" s="91"/>
      <c r="S64" s="94"/>
      <c r="T64" s="107"/>
      <c r="U64" s="87"/>
      <c r="V64" s="87" t="s">
        <v>148</v>
      </c>
      <c r="X64" s="11">
        <f t="shared" si="5"/>
        <v>0</v>
      </c>
    </row>
    <row r="65" spans="1:24" ht="33" customHeight="1">
      <c r="A65" s="102" t="s">
        <v>39</v>
      </c>
      <c r="B65" s="31" t="s">
        <v>47</v>
      </c>
      <c r="C65" s="37">
        <f>1642+1269+2542+2488</f>
        <v>7941</v>
      </c>
      <c r="D65" s="32">
        <v>0</v>
      </c>
      <c r="E65" s="39">
        <f>563</f>
        <v>563</v>
      </c>
      <c r="F65" s="38"/>
      <c r="G65" s="39"/>
      <c r="H65" s="39"/>
      <c r="I65" s="32">
        <v>0</v>
      </c>
      <c r="J65" s="32">
        <v>2946</v>
      </c>
      <c r="K65" s="32">
        <v>2932</v>
      </c>
      <c r="L65" s="32">
        <v>3310</v>
      </c>
      <c r="M65" s="32">
        <v>3310</v>
      </c>
      <c r="N65" s="32"/>
      <c r="O65" s="32">
        <v>3561</v>
      </c>
      <c r="P65" s="32">
        <f>+E65+J65+L65</f>
        <v>6819</v>
      </c>
      <c r="Q65" s="32">
        <f>+I65+K65+M65+O65</f>
        <v>9803</v>
      </c>
      <c r="R65" s="32">
        <f aca="true" t="shared" si="16" ref="R65:R100">+C65-Q65</f>
        <v>-1862</v>
      </c>
      <c r="S65" s="41">
        <f>+Q65/C65</f>
        <v>1.2344792847248458</v>
      </c>
      <c r="T65" s="54">
        <f>2488</f>
        <v>2488</v>
      </c>
      <c r="U65" s="32">
        <f aca="true" t="shared" si="17" ref="U65:U100">+R65+T65</f>
        <v>626</v>
      </c>
      <c r="V65" s="67">
        <f aca="true" t="shared" si="18" ref="V65:V100">+Q65/C65</f>
        <v>1.2344792847248458</v>
      </c>
      <c r="W65" s="66">
        <f>+S65+V65</f>
        <v>2.4689585694496916</v>
      </c>
      <c r="X65" s="11">
        <f t="shared" si="5"/>
        <v>10429</v>
      </c>
    </row>
    <row r="66" spans="1:24" ht="38.25">
      <c r="A66" s="102"/>
      <c r="B66" s="31" t="s">
        <v>48</v>
      </c>
      <c r="C66" s="37">
        <f>151+110+249+243</f>
        <v>753</v>
      </c>
      <c r="D66" s="32">
        <v>0</v>
      </c>
      <c r="E66" s="39">
        <v>0</v>
      </c>
      <c r="F66" s="38"/>
      <c r="G66" s="39"/>
      <c r="H66" s="39"/>
      <c r="I66" s="32">
        <v>0</v>
      </c>
      <c r="J66" s="32">
        <v>416</v>
      </c>
      <c r="K66" s="32">
        <v>16</v>
      </c>
      <c r="L66" s="32">
        <v>680</v>
      </c>
      <c r="M66" s="32">
        <v>657</v>
      </c>
      <c r="N66" s="32"/>
      <c r="O66" s="32">
        <v>10</v>
      </c>
      <c r="P66" s="32">
        <f>+E66+J66+L66</f>
        <v>1096</v>
      </c>
      <c r="Q66" s="32">
        <f>+I66+K66+M66+O66</f>
        <v>683</v>
      </c>
      <c r="R66" s="32">
        <f t="shared" si="16"/>
        <v>70</v>
      </c>
      <c r="S66" s="41">
        <f aca="true" t="shared" si="19" ref="S66:S100">+Q66/C66</f>
        <v>0.9070385126162018</v>
      </c>
      <c r="T66" s="54">
        <f>243</f>
        <v>243</v>
      </c>
      <c r="U66" s="32">
        <f t="shared" si="17"/>
        <v>313</v>
      </c>
      <c r="V66" s="67">
        <f t="shared" si="18"/>
        <v>0.9070385126162018</v>
      </c>
      <c r="W66" s="12" t="s">
        <v>3</v>
      </c>
      <c r="X66" s="11">
        <f t="shared" si="5"/>
        <v>996</v>
      </c>
    </row>
    <row r="67" spans="1:24" ht="30" customHeight="1">
      <c r="A67" s="34" t="s">
        <v>4</v>
      </c>
      <c r="B67" s="42" t="s">
        <v>3</v>
      </c>
      <c r="C67" s="36">
        <f>SUM(C65:C66)</f>
        <v>8694</v>
      </c>
      <c r="D67" s="36">
        <f aca="true" t="shared" si="20" ref="D67:T67">SUM(D65:D66)</f>
        <v>0</v>
      </c>
      <c r="E67" s="36">
        <f t="shared" si="20"/>
        <v>563</v>
      </c>
      <c r="F67" s="36">
        <f t="shared" si="20"/>
        <v>0</v>
      </c>
      <c r="G67" s="36">
        <f t="shared" si="20"/>
        <v>0</v>
      </c>
      <c r="H67" s="36">
        <f t="shared" si="20"/>
        <v>0</v>
      </c>
      <c r="I67" s="36">
        <f t="shared" si="20"/>
        <v>0</v>
      </c>
      <c r="J67" s="36">
        <f t="shared" si="20"/>
        <v>3362</v>
      </c>
      <c r="K67" s="36">
        <f t="shared" si="20"/>
        <v>2948</v>
      </c>
      <c r="L67" s="36">
        <f t="shared" si="20"/>
        <v>3990</v>
      </c>
      <c r="M67" s="36">
        <f t="shared" si="20"/>
        <v>3967</v>
      </c>
      <c r="N67" s="36"/>
      <c r="O67" s="36">
        <f>SUM(O65:O66)</f>
        <v>3571</v>
      </c>
      <c r="P67" s="36">
        <f t="shared" si="20"/>
        <v>7915</v>
      </c>
      <c r="Q67" s="36">
        <f t="shared" si="20"/>
        <v>10486</v>
      </c>
      <c r="R67" s="36">
        <f t="shared" si="16"/>
        <v>-1792</v>
      </c>
      <c r="S67" s="47">
        <f t="shared" si="19"/>
        <v>1.2061191626409018</v>
      </c>
      <c r="T67" s="36">
        <f t="shared" si="20"/>
        <v>2731</v>
      </c>
      <c r="U67" s="36">
        <f t="shared" si="17"/>
        <v>939</v>
      </c>
      <c r="V67" s="47">
        <f t="shared" si="18"/>
        <v>1.2061191626409018</v>
      </c>
      <c r="X67" s="11">
        <f t="shared" si="5"/>
        <v>11425</v>
      </c>
    </row>
    <row r="68" spans="1:24" ht="25.5" customHeight="1">
      <c r="A68" s="88" t="s">
        <v>40</v>
      </c>
      <c r="B68" s="31" t="s">
        <v>49</v>
      </c>
      <c r="C68" s="38">
        <f>7217+7434+7657+7886</f>
        <v>30194</v>
      </c>
      <c r="D68" s="39">
        <f>92+753</f>
        <v>845</v>
      </c>
      <c r="E68" s="39">
        <f>12695</f>
        <v>12695</v>
      </c>
      <c r="F68" s="38"/>
      <c r="G68" s="39"/>
      <c r="H68" s="39"/>
      <c r="I68" s="32">
        <v>7445</v>
      </c>
      <c r="J68" s="32">
        <v>15498</v>
      </c>
      <c r="K68" s="32">
        <v>12457</v>
      </c>
      <c r="L68" s="32">
        <v>11788</v>
      </c>
      <c r="M68" s="32">
        <v>7870</v>
      </c>
      <c r="N68" s="32"/>
      <c r="O68" s="32">
        <v>23218</v>
      </c>
      <c r="P68" s="32">
        <f>+E68+J68+L68</f>
        <v>39981</v>
      </c>
      <c r="Q68" s="32">
        <f>+I68+K68+M68+O68</f>
        <v>50990</v>
      </c>
      <c r="R68" s="32">
        <f t="shared" si="16"/>
        <v>-20796</v>
      </c>
      <c r="S68" s="41">
        <f t="shared" si="19"/>
        <v>1.6887461084983773</v>
      </c>
      <c r="T68" s="54">
        <f>7886</f>
        <v>7886</v>
      </c>
      <c r="U68" s="32">
        <f t="shared" si="17"/>
        <v>-12910</v>
      </c>
      <c r="V68" s="67">
        <f t="shared" si="18"/>
        <v>1.6887461084983773</v>
      </c>
      <c r="X68" s="11">
        <f t="shared" si="5"/>
        <v>38080</v>
      </c>
    </row>
    <row r="69" spans="1:24" ht="25.5">
      <c r="A69" s="88"/>
      <c r="B69" s="31" t="s">
        <v>50</v>
      </c>
      <c r="C69" s="38">
        <f>262+214+378+372</f>
        <v>1226</v>
      </c>
      <c r="D69" s="39">
        <v>0</v>
      </c>
      <c r="E69" s="39">
        <f>288</f>
        <v>288</v>
      </c>
      <c r="F69" s="38"/>
      <c r="G69" s="39"/>
      <c r="H69" s="39"/>
      <c r="I69" s="32">
        <v>288</v>
      </c>
      <c r="J69" s="32">
        <v>530</v>
      </c>
      <c r="K69" s="32">
        <v>530</v>
      </c>
      <c r="L69" s="32">
        <v>1000</v>
      </c>
      <c r="M69" s="32">
        <v>365</v>
      </c>
      <c r="N69" s="32"/>
      <c r="O69" s="32">
        <v>255</v>
      </c>
      <c r="P69" s="32">
        <f>+E69+J69+L69</f>
        <v>1818</v>
      </c>
      <c r="Q69" s="32">
        <f>+I69+K69+M69+O69</f>
        <v>1438</v>
      </c>
      <c r="R69" s="32">
        <f t="shared" si="16"/>
        <v>-212</v>
      </c>
      <c r="S69" s="41">
        <f t="shared" si="19"/>
        <v>1.1729200652528549</v>
      </c>
      <c r="T69" s="54">
        <f>372</f>
        <v>372</v>
      </c>
      <c r="U69" s="32">
        <f t="shared" si="17"/>
        <v>160</v>
      </c>
      <c r="V69" s="67">
        <f t="shared" si="18"/>
        <v>1.1729200652528549</v>
      </c>
      <c r="X69" s="11">
        <f t="shared" si="5"/>
        <v>1598</v>
      </c>
    </row>
    <row r="70" spans="1:24" ht="20.25" customHeight="1">
      <c r="A70" s="88"/>
      <c r="B70" s="31" t="s">
        <v>51</v>
      </c>
      <c r="C70" s="38">
        <f>316+244+490+480</f>
        <v>1530</v>
      </c>
      <c r="D70" s="39">
        <v>71</v>
      </c>
      <c r="E70" s="39">
        <f>476</f>
        <v>476</v>
      </c>
      <c r="F70" s="38"/>
      <c r="G70" s="39"/>
      <c r="H70" s="39"/>
      <c r="I70" s="32">
        <v>476</v>
      </c>
      <c r="J70" s="32">
        <v>220</v>
      </c>
      <c r="K70" s="32">
        <v>219</v>
      </c>
      <c r="L70" s="32">
        <v>300</v>
      </c>
      <c r="M70" s="32">
        <v>300</v>
      </c>
      <c r="N70" s="32"/>
      <c r="O70" s="32">
        <v>399</v>
      </c>
      <c r="P70" s="32">
        <f>+E70+J70+L70</f>
        <v>996</v>
      </c>
      <c r="Q70" s="32">
        <f>+I70+K70+M70+O70</f>
        <v>1394</v>
      </c>
      <c r="R70" s="32">
        <f t="shared" si="16"/>
        <v>136</v>
      </c>
      <c r="S70" s="41">
        <f t="shared" si="19"/>
        <v>0.9111111111111111</v>
      </c>
      <c r="T70" s="54">
        <f>480</f>
        <v>480</v>
      </c>
      <c r="U70" s="32">
        <f t="shared" si="17"/>
        <v>616</v>
      </c>
      <c r="V70" s="67">
        <f t="shared" si="18"/>
        <v>0.9111111111111111</v>
      </c>
      <c r="X70" s="11">
        <f t="shared" si="5"/>
        <v>2010</v>
      </c>
    </row>
    <row r="71" spans="1:24" ht="25.5">
      <c r="A71" s="88"/>
      <c r="B71" s="31" t="s">
        <v>52</v>
      </c>
      <c r="C71" s="38">
        <f>39+28+65+63</f>
        <v>195</v>
      </c>
      <c r="D71" s="39">
        <v>0</v>
      </c>
      <c r="E71" s="39">
        <v>0</v>
      </c>
      <c r="F71" s="38"/>
      <c r="G71" s="39"/>
      <c r="H71" s="39"/>
      <c r="I71" s="32">
        <v>0</v>
      </c>
      <c r="J71" s="32">
        <v>20</v>
      </c>
      <c r="K71" s="32">
        <v>20</v>
      </c>
      <c r="L71" s="32">
        <v>100</v>
      </c>
      <c r="M71" s="32">
        <v>100</v>
      </c>
      <c r="N71" s="32"/>
      <c r="O71" s="32">
        <v>40</v>
      </c>
      <c r="P71" s="32">
        <f>+E71+J71+L71</f>
        <v>120</v>
      </c>
      <c r="Q71" s="32">
        <f>+I71+K71+M71+O71</f>
        <v>160</v>
      </c>
      <c r="R71" s="32">
        <f t="shared" si="16"/>
        <v>35</v>
      </c>
      <c r="S71" s="41">
        <f t="shared" si="19"/>
        <v>0.8205128205128205</v>
      </c>
      <c r="T71" s="54">
        <f>63</f>
        <v>63</v>
      </c>
      <c r="U71" s="32">
        <f t="shared" si="17"/>
        <v>98</v>
      </c>
      <c r="V71" s="67">
        <f t="shared" si="18"/>
        <v>0.8205128205128205</v>
      </c>
      <c r="X71" s="11">
        <f t="shared" si="5"/>
        <v>258</v>
      </c>
    </row>
    <row r="72" spans="1:32" ht="30" customHeight="1">
      <c r="A72" s="34" t="s">
        <v>4</v>
      </c>
      <c r="B72" s="42" t="s">
        <v>3</v>
      </c>
      <c r="C72" s="36">
        <f>SUM(C68:C71)</f>
        <v>33145</v>
      </c>
      <c r="D72" s="36">
        <f>SUM(D68:D71)</f>
        <v>916</v>
      </c>
      <c r="E72" s="36">
        <f>SUM(E68:E71)</f>
        <v>13459</v>
      </c>
      <c r="F72" s="36">
        <f>SUM(F70:F71)</f>
        <v>0</v>
      </c>
      <c r="G72" s="36">
        <f>SUM(G70:G71)</f>
        <v>0</v>
      </c>
      <c r="H72" s="36">
        <f>SUM(H70:H71)</f>
        <v>0</v>
      </c>
      <c r="I72" s="36">
        <f aca="true" t="shared" si="21" ref="I72:Q72">SUM(I68:I71)</f>
        <v>8209</v>
      </c>
      <c r="J72" s="36">
        <f t="shared" si="21"/>
        <v>16268</v>
      </c>
      <c r="K72" s="36">
        <f t="shared" si="21"/>
        <v>13226</v>
      </c>
      <c r="L72" s="36">
        <f t="shared" si="21"/>
        <v>13188</v>
      </c>
      <c r="M72" s="36">
        <f t="shared" si="21"/>
        <v>8635</v>
      </c>
      <c r="N72" s="36"/>
      <c r="O72" s="36">
        <f>SUM(O68:O71)</f>
        <v>23912</v>
      </c>
      <c r="P72" s="36">
        <f t="shared" si="21"/>
        <v>42915</v>
      </c>
      <c r="Q72" s="36">
        <f t="shared" si="21"/>
        <v>53982</v>
      </c>
      <c r="R72" s="36">
        <f t="shared" si="16"/>
        <v>-20837</v>
      </c>
      <c r="S72" s="47">
        <f t="shared" si="19"/>
        <v>1.6286619399607785</v>
      </c>
      <c r="T72" s="36">
        <f>SUM(T68:T71)</f>
        <v>8801</v>
      </c>
      <c r="U72" s="36">
        <f t="shared" si="17"/>
        <v>-12036</v>
      </c>
      <c r="V72" s="47">
        <f t="shared" si="18"/>
        <v>1.6286619399607785</v>
      </c>
      <c r="X72" s="11">
        <f t="shared" si="5"/>
        <v>41946</v>
      </c>
      <c r="AF72" s="1" t="s">
        <v>3</v>
      </c>
    </row>
    <row r="73" spans="1:27" ht="38.25" customHeight="1">
      <c r="A73" s="88" t="s">
        <v>41</v>
      </c>
      <c r="B73" s="31" t="s">
        <v>53</v>
      </c>
      <c r="C73" s="37">
        <f>51693+89625+54208+55202</f>
        <v>250728</v>
      </c>
      <c r="D73" s="39">
        <v>42472</v>
      </c>
      <c r="E73" s="39">
        <f>54336</f>
        <v>54336</v>
      </c>
      <c r="F73" s="38"/>
      <c r="G73" s="39"/>
      <c r="H73" s="39"/>
      <c r="I73" s="32">
        <v>48147</v>
      </c>
      <c r="J73" s="32">
        <v>52640</v>
      </c>
      <c r="K73" s="32">
        <v>52640</v>
      </c>
      <c r="L73" s="32">
        <v>58463</v>
      </c>
      <c r="M73" s="32">
        <v>58463</v>
      </c>
      <c r="N73" s="32"/>
      <c r="O73" s="32">
        <v>27875</v>
      </c>
      <c r="P73" s="32">
        <f>+E73+J73+L73</f>
        <v>165439</v>
      </c>
      <c r="Q73" s="32">
        <f>+I73+K73+M73+O73</f>
        <v>187125</v>
      </c>
      <c r="R73" s="32">
        <f t="shared" si="16"/>
        <v>63603</v>
      </c>
      <c r="S73" s="41">
        <f t="shared" si="19"/>
        <v>0.746326696659328</v>
      </c>
      <c r="T73" s="54">
        <f>55202</f>
        <v>55202</v>
      </c>
      <c r="U73" s="32">
        <f t="shared" si="17"/>
        <v>118805</v>
      </c>
      <c r="V73" s="67">
        <f t="shared" si="18"/>
        <v>0.746326696659328</v>
      </c>
      <c r="X73" s="11">
        <f t="shared" si="5"/>
        <v>305930</v>
      </c>
      <c r="AA73" s="12">
        <f>37805+8233+9164</f>
        <v>55202</v>
      </c>
    </row>
    <row r="74" spans="1:27" ht="18.75" customHeight="1">
      <c r="A74" s="88"/>
      <c r="B74" s="31" t="s">
        <v>54</v>
      </c>
      <c r="C74" s="37">
        <f>13291+13617+14436+14774</f>
        <v>56118</v>
      </c>
      <c r="D74" s="39">
        <v>6500</v>
      </c>
      <c r="E74" s="39">
        <f>6500</f>
        <v>6500</v>
      </c>
      <c r="F74" s="38"/>
      <c r="G74" s="39"/>
      <c r="H74" s="39"/>
      <c r="I74" s="32">
        <v>6500</v>
      </c>
      <c r="J74" s="32">
        <v>4730</v>
      </c>
      <c r="K74" s="32">
        <v>4730</v>
      </c>
      <c r="L74" s="32">
        <v>10000</v>
      </c>
      <c r="M74" s="32">
        <v>10000</v>
      </c>
      <c r="N74" s="32"/>
      <c r="O74" s="32">
        <v>5940</v>
      </c>
      <c r="P74" s="32">
        <f>+E74+J74+L74</f>
        <v>21230</v>
      </c>
      <c r="Q74" s="32">
        <f>+I74+K74+M74+O74</f>
        <v>27170</v>
      </c>
      <c r="R74" s="32">
        <f t="shared" si="16"/>
        <v>28948</v>
      </c>
      <c r="S74" s="41">
        <f t="shared" si="19"/>
        <v>0.48415838055525856</v>
      </c>
      <c r="T74" s="54">
        <f>14774</f>
        <v>14774</v>
      </c>
      <c r="U74" s="32">
        <f t="shared" si="17"/>
        <v>43722</v>
      </c>
      <c r="V74" s="67">
        <f t="shared" si="18"/>
        <v>0.48415838055525856</v>
      </c>
      <c r="X74" s="11">
        <f aca="true" t="shared" si="22" ref="X74:X137">+T74+C74</f>
        <v>70892</v>
      </c>
      <c r="AA74" s="12">
        <f>9196+3158+2420</f>
        <v>14774</v>
      </c>
    </row>
    <row r="75" spans="1:24" ht="17.25" customHeight="1">
      <c r="A75" s="88"/>
      <c r="B75" s="31" t="s">
        <v>139</v>
      </c>
      <c r="C75" s="37">
        <v>0</v>
      </c>
      <c r="D75" s="39"/>
      <c r="E75" s="39">
        <v>0</v>
      </c>
      <c r="F75" s="38"/>
      <c r="G75" s="39"/>
      <c r="H75" s="39"/>
      <c r="I75" s="32">
        <v>0</v>
      </c>
      <c r="J75" s="32">
        <v>224</v>
      </c>
      <c r="K75" s="32">
        <v>224</v>
      </c>
      <c r="L75" s="32">
        <v>0</v>
      </c>
      <c r="M75" s="32">
        <v>0</v>
      </c>
      <c r="N75" s="32"/>
      <c r="O75" s="32">
        <v>4031</v>
      </c>
      <c r="P75" s="32">
        <f>+E75+J75+L75</f>
        <v>224</v>
      </c>
      <c r="Q75" s="32">
        <f>+I75+K75+M75+O75</f>
        <v>4255</v>
      </c>
      <c r="R75" s="32">
        <f t="shared" si="16"/>
        <v>-4255</v>
      </c>
      <c r="S75" s="41">
        <v>0</v>
      </c>
      <c r="T75" s="54">
        <v>0</v>
      </c>
      <c r="U75" s="32">
        <f t="shared" si="17"/>
        <v>-4255</v>
      </c>
      <c r="V75" s="67">
        <v>0</v>
      </c>
      <c r="X75" s="11">
        <f t="shared" si="22"/>
        <v>0</v>
      </c>
    </row>
    <row r="76" spans="1:27" ht="21.75" customHeight="1">
      <c r="A76" s="88"/>
      <c r="B76" s="31" t="s">
        <v>55</v>
      </c>
      <c r="C76" s="37">
        <f>4817+4929+4761+5126</f>
        <v>19633</v>
      </c>
      <c r="D76" s="39">
        <v>0</v>
      </c>
      <c r="E76" s="39">
        <v>0</v>
      </c>
      <c r="F76" s="38"/>
      <c r="G76" s="39"/>
      <c r="H76" s="39"/>
      <c r="I76" s="32">
        <v>0</v>
      </c>
      <c r="J76" s="32">
        <v>1781</v>
      </c>
      <c r="K76" s="32">
        <v>1781</v>
      </c>
      <c r="L76" s="32">
        <v>0</v>
      </c>
      <c r="M76" s="32">
        <v>0</v>
      </c>
      <c r="N76" s="32"/>
      <c r="O76" s="32">
        <v>5700</v>
      </c>
      <c r="P76" s="32">
        <f>+E76+J76+L76</f>
        <v>1781</v>
      </c>
      <c r="Q76" s="32">
        <f>+I76+K76+M76+O76</f>
        <v>7481</v>
      </c>
      <c r="R76" s="32">
        <f t="shared" si="16"/>
        <v>12152</v>
      </c>
      <c r="S76" s="41">
        <f t="shared" si="19"/>
        <v>0.3810421229562471</v>
      </c>
      <c r="T76" s="54">
        <f>5126</f>
        <v>5126</v>
      </c>
      <c r="U76" s="32">
        <f t="shared" si="17"/>
        <v>17278</v>
      </c>
      <c r="V76" s="67">
        <f t="shared" si="18"/>
        <v>0.3810421229562471</v>
      </c>
      <c r="X76" s="11">
        <f t="shared" si="22"/>
        <v>24759</v>
      </c>
      <c r="AA76" s="12">
        <f>4087+1039</f>
        <v>5126</v>
      </c>
    </row>
    <row r="77" spans="1:27" ht="29.25" customHeight="1">
      <c r="A77" s="34" t="s">
        <v>4</v>
      </c>
      <c r="B77" s="42" t="s">
        <v>3</v>
      </c>
      <c r="C77" s="36">
        <f>SUM(C73:C76)</f>
        <v>326479</v>
      </c>
      <c r="D77" s="36">
        <f>SUM(D73:D76)</f>
        <v>48972</v>
      </c>
      <c r="E77" s="36">
        <f>SUM(E73:E76)</f>
        <v>60836</v>
      </c>
      <c r="F77" s="36">
        <f>SUM(F65:F68)</f>
        <v>0</v>
      </c>
      <c r="G77" s="36">
        <f>SUM(G65:G68)</f>
        <v>0</v>
      </c>
      <c r="H77" s="36">
        <f>SUM(H65:H68)</f>
        <v>0</v>
      </c>
      <c r="I77" s="36">
        <f aca="true" t="shared" si="23" ref="I77:Q77">SUM(I73:I76)</f>
        <v>54647</v>
      </c>
      <c r="J77" s="36">
        <f t="shared" si="23"/>
        <v>59375</v>
      </c>
      <c r="K77" s="36">
        <f t="shared" si="23"/>
        <v>59375</v>
      </c>
      <c r="L77" s="36">
        <f t="shared" si="23"/>
        <v>68463</v>
      </c>
      <c r="M77" s="36">
        <f t="shared" si="23"/>
        <v>68463</v>
      </c>
      <c r="N77" s="36"/>
      <c r="O77" s="36">
        <f>SUM(O73:O76)</f>
        <v>43546</v>
      </c>
      <c r="P77" s="36">
        <f t="shared" si="23"/>
        <v>188674</v>
      </c>
      <c r="Q77" s="36">
        <f t="shared" si="23"/>
        <v>226031</v>
      </c>
      <c r="R77" s="36">
        <f t="shared" si="16"/>
        <v>100448</v>
      </c>
      <c r="S77" s="47">
        <f t="shared" si="19"/>
        <v>0.6923293688108577</v>
      </c>
      <c r="T77" s="36">
        <f>SUM(T73:T76)</f>
        <v>75102</v>
      </c>
      <c r="U77" s="36">
        <f t="shared" si="17"/>
        <v>175550</v>
      </c>
      <c r="V77" s="47">
        <f t="shared" si="18"/>
        <v>0.6923293688108577</v>
      </c>
      <c r="X77" s="11">
        <f t="shared" si="22"/>
        <v>401581</v>
      </c>
      <c r="AA77" s="12">
        <f>SUM(AA73:AA76)</f>
        <v>75102</v>
      </c>
    </row>
    <row r="78" spans="1:24" ht="25.5" customHeight="1">
      <c r="A78" s="88" t="s">
        <v>42</v>
      </c>
      <c r="B78" s="31" t="s">
        <v>56</v>
      </c>
      <c r="C78" s="38">
        <f>1792+2451+2518+1939</f>
        <v>8700</v>
      </c>
      <c r="D78" s="39">
        <f>30+77+200+400+60+500+30+100+150+500+120</f>
        <v>2167</v>
      </c>
      <c r="E78" s="39">
        <f>5005</f>
        <v>5005</v>
      </c>
      <c r="F78" s="38"/>
      <c r="G78" s="39"/>
      <c r="H78" s="39"/>
      <c r="I78" s="32">
        <v>4930</v>
      </c>
      <c r="J78" s="32">
        <v>17033</v>
      </c>
      <c r="K78" s="32">
        <v>15611</v>
      </c>
      <c r="L78" s="32">
        <v>11674</v>
      </c>
      <c r="M78" s="32">
        <v>7097</v>
      </c>
      <c r="N78" s="32"/>
      <c r="O78" s="32">
        <v>11110</v>
      </c>
      <c r="P78" s="32">
        <f>+E78+J78+L78</f>
        <v>33712</v>
      </c>
      <c r="Q78" s="32">
        <f>+I78+K78+M78+O78</f>
        <v>38748</v>
      </c>
      <c r="R78" s="32">
        <f t="shared" si="16"/>
        <v>-30048</v>
      </c>
      <c r="S78" s="41">
        <f t="shared" si="19"/>
        <v>4.453793103448276</v>
      </c>
      <c r="T78" s="54">
        <f>1939</f>
        <v>1939</v>
      </c>
      <c r="U78" s="32">
        <f t="shared" si="17"/>
        <v>-28109</v>
      </c>
      <c r="V78" s="67">
        <f t="shared" si="18"/>
        <v>4.453793103448276</v>
      </c>
      <c r="X78" s="11">
        <f t="shared" si="22"/>
        <v>10639</v>
      </c>
    </row>
    <row r="79" spans="1:24" ht="25.5">
      <c r="A79" s="88"/>
      <c r="B79" s="31" t="s">
        <v>57</v>
      </c>
      <c r="C79" s="38">
        <f>1883+1940+1998+2058</f>
        <v>7879</v>
      </c>
      <c r="D79" s="39">
        <v>0</v>
      </c>
      <c r="E79" s="39">
        <v>0</v>
      </c>
      <c r="F79" s="38"/>
      <c r="G79" s="39"/>
      <c r="H79" s="39"/>
      <c r="I79" s="32">
        <v>0</v>
      </c>
      <c r="J79" s="32">
        <v>700</v>
      </c>
      <c r="K79" s="32">
        <v>700</v>
      </c>
      <c r="L79" s="32">
        <v>2859</v>
      </c>
      <c r="M79" s="32">
        <v>2859</v>
      </c>
      <c r="N79" s="32"/>
      <c r="O79" s="32">
        <v>2000</v>
      </c>
      <c r="P79" s="32">
        <f>+E79+J79+L79</f>
        <v>3559</v>
      </c>
      <c r="Q79" s="32">
        <f>+I79+K79+M79+O79</f>
        <v>5559</v>
      </c>
      <c r="R79" s="32">
        <f t="shared" si="16"/>
        <v>2320</v>
      </c>
      <c r="S79" s="41">
        <f t="shared" si="19"/>
        <v>0.7055463891356771</v>
      </c>
      <c r="T79" s="54">
        <f>2058</f>
        <v>2058</v>
      </c>
      <c r="U79" s="32">
        <f t="shared" si="17"/>
        <v>4378</v>
      </c>
      <c r="V79" s="67">
        <f t="shared" si="18"/>
        <v>0.7055463891356771</v>
      </c>
      <c r="X79" s="11">
        <f t="shared" si="22"/>
        <v>9937</v>
      </c>
    </row>
    <row r="80" spans="1:24" ht="21.75" customHeight="1">
      <c r="A80" s="88"/>
      <c r="B80" s="31" t="s">
        <v>58</v>
      </c>
      <c r="C80" s="38">
        <f>612+630+649+669</f>
        <v>2560</v>
      </c>
      <c r="D80" s="39">
        <v>87</v>
      </c>
      <c r="E80" s="39">
        <f>1506</f>
        <v>1506</v>
      </c>
      <c r="F80" s="38"/>
      <c r="G80" s="39"/>
      <c r="H80" s="39"/>
      <c r="I80" s="32">
        <f>1504</f>
        <v>1504</v>
      </c>
      <c r="J80" s="32">
        <v>1730</v>
      </c>
      <c r="K80" s="32">
        <v>1471</v>
      </c>
      <c r="L80" s="32">
        <v>749</v>
      </c>
      <c r="M80" s="32">
        <v>746</v>
      </c>
      <c r="N80" s="32"/>
      <c r="O80" s="32">
        <v>10348</v>
      </c>
      <c r="P80" s="32">
        <f>+E80+J80+L80</f>
        <v>3985</v>
      </c>
      <c r="Q80" s="32">
        <f>+I80+K80+M80+O80</f>
        <v>14069</v>
      </c>
      <c r="R80" s="32">
        <f t="shared" si="16"/>
        <v>-11509</v>
      </c>
      <c r="S80" s="41">
        <f t="shared" si="19"/>
        <v>5.495703125</v>
      </c>
      <c r="T80" s="54">
        <f>669</f>
        <v>669</v>
      </c>
      <c r="U80" s="32">
        <f t="shared" si="17"/>
        <v>-10840</v>
      </c>
      <c r="V80" s="67">
        <f t="shared" si="18"/>
        <v>5.495703125</v>
      </c>
      <c r="X80" s="11">
        <f t="shared" si="22"/>
        <v>3229</v>
      </c>
    </row>
    <row r="81" spans="1:24" ht="53.25" customHeight="1">
      <c r="A81" s="88"/>
      <c r="B81" s="31" t="s">
        <v>59</v>
      </c>
      <c r="C81" s="38">
        <f>2645+2687+2729+2772</f>
        <v>10833</v>
      </c>
      <c r="D81" s="39">
        <v>500</v>
      </c>
      <c r="E81" s="39">
        <f>1250</f>
        <v>1250</v>
      </c>
      <c r="F81" s="38"/>
      <c r="G81" s="39"/>
      <c r="H81" s="39"/>
      <c r="I81" s="32">
        <v>1066</v>
      </c>
      <c r="J81" s="32">
        <v>719</v>
      </c>
      <c r="K81" s="32">
        <v>630</v>
      </c>
      <c r="L81" s="32">
        <v>3755</v>
      </c>
      <c r="M81" s="32">
        <v>2181</v>
      </c>
      <c r="N81" s="32"/>
      <c r="O81" s="32">
        <v>2046</v>
      </c>
      <c r="P81" s="32">
        <f>+E81+J81+L81</f>
        <v>5724</v>
      </c>
      <c r="Q81" s="32">
        <f>+I81+K81+M81+O81</f>
        <v>5923</v>
      </c>
      <c r="R81" s="32">
        <f t="shared" si="16"/>
        <v>4910</v>
      </c>
      <c r="S81" s="41">
        <f t="shared" si="19"/>
        <v>0.5467552847779932</v>
      </c>
      <c r="T81" s="54">
        <f>2772</f>
        <v>2772</v>
      </c>
      <c r="U81" s="32">
        <f t="shared" si="17"/>
        <v>7682</v>
      </c>
      <c r="V81" s="67">
        <f t="shared" si="18"/>
        <v>0.5467552847779932</v>
      </c>
      <c r="X81" s="11">
        <f t="shared" si="22"/>
        <v>13605</v>
      </c>
    </row>
    <row r="82" spans="1:24" ht="29.25" customHeight="1">
      <c r="A82" s="34" t="s">
        <v>4</v>
      </c>
      <c r="B82" s="42" t="s">
        <v>3</v>
      </c>
      <c r="C82" s="36">
        <f>SUM(C78:C81)</f>
        <v>29972</v>
      </c>
      <c r="D82" s="36">
        <f>SUM(D78:D81)</f>
        <v>2754</v>
      </c>
      <c r="E82" s="36">
        <f>SUM(E78:E81)</f>
        <v>7761</v>
      </c>
      <c r="F82" s="36">
        <f>SUM(F70:F73)</f>
        <v>0</v>
      </c>
      <c r="G82" s="36">
        <f>SUM(G70:G73)</f>
        <v>0</v>
      </c>
      <c r="H82" s="36">
        <f>SUM(H70:H73)</f>
        <v>0</v>
      </c>
      <c r="I82" s="36">
        <f aca="true" t="shared" si="24" ref="I82:Q82">SUM(I78:I81)</f>
        <v>7500</v>
      </c>
      <c r="J82" s="36">
        <f t="shared" si="24"/>
        <v>20182</v>
      </c>
      <c r="K82" s="36">
        <f t="shared" si="24"/>
        <v>18412</v>
      </c>
      <c r="L82" s="36">
        <f t="shared" si="24"/>
        <v>19037</v>
      </c>
      <c r="M82" s="36">
        <f t="shared" si="24"/>
        <v>12883</v>
      </c>
      <c r="N82" s="36"/>
      <c r="O82" s="36">
        <f>SUM(O78:O81)</f>
        <v>25504</v>
      </c>
      <c r="P82" s="36">
        <f t="shared" si="24"/>
        <v>46980</v>
      </c>
      <c r="Q82" s="36">
        <f t="shared" si="24"/>
        <v>64299</v>
      </c>
      <c r="R82" s="36">
        <f t="shared" si="16"/>
        <v>-34327</v>
      </c>
      <c r="S82" s="47">
        <f t="shared" si="19"/>
        <v>2.145302282129988</v>
      </c>
      <c r="T82" s="36">
        <f>SUM(T78:T81)</f>
        <v>7438</v>
      </c>
      <c r="U82" s="36">
        <f t="shared" si="17"/>
        <v>-26889</v>
      </c>
      <c r="V82" s="47">
        <f t="shared" si="18"/>
        <v>2.145302282129988</v>
      </c>
      <c r="X82" s="11">
        <f t="shared" si="22"/>
        <v>37410</v>
      </c>
    </row>
    <row r="83" spans="1:24" ht="16.5" customHeight="1">
      <c r="A83" s="88" t="s">
        <v>43</v>
      </c>
      <c r="B83" s="31" t="s">
        <v>60</v>
      </c>
      <c r="C83" s="38">
        <f>528+537+546+555</f>
        <v>2166</v>
      </c>
      <c r="D83" s="39">
        <v>0</v>
      </c>
      <c r="E83" s="39">
        <v>0</v>
      </c>
      <c r="F83" s="38"/>
      <c r="G83" s="39"/>
      <c r="H83" s="39"/>
      <c r="I83" s="32">
        <v>0</v>
      </c>
      <c r="J83" s="32">
        <v>194</v>
      </c>
      <c r="K83" s="32">
        <v>147</v>
      </c>
      <c r="L83" s="32">
        <v>200</v>
      </c>
      <c r="M83" s="32">
        <v>200</v>
      </c>
      <c r="N83" s="32"/>
      <c r="O83" s="32">
        <v>0</v>
      </c>
      <c r="P83" s="32">
        <f>+E83+J83+L83</f>
        <v>394</v>
      </c>
      <c r="Q83" s="32">
        <f>+I83+K83+M83+O83</f>
        <v>347</v>
      </c>
      <c r="R83" s="32">
        <f t="shared" si="16"/>
        <v>1819</v>
      </c>
      <c r="S83" s="41">
        <f t="shared" si="19"/>
        <v>0.16020313942751616</v>
      </c>
      <c r="T83" s="54">
        <f>555</f>
        <v>555</v>
      </c>
      <c r="U83" s="32">
        <f t="shared" si="17"/>
        <v>2374</v>
      </c>
      <c r="V83" s="67">
        <f t="shared" si="18"/>
        <v>0.16020313942751616</v>
      </c>
      <c r="X83" s="11">
        <f t="shared" si="22"/>
        <v>2721</v>
      </c>
    </row>
    <row r="84" spans="1:24" ht="18" customHeight="1">
      <c r="A84" s="88"/>
      <c r="B84" s="31" t="s">
        <v>61</v>
      </c>
      <c r="C84" s="38">
        <f>3859+3268+3270+3920</f>
        <v>14317</v>
      </c>
      <c r="D84" s="39">
        <v>27</v>
      </c>
      <c r="E84" s="39">
        <f>217</f>
        <v>217</v>
      </c>
      <c r="F84" s="38"/>
      <c r="G84" s="39"/>
      <c r="H84" s="39"/>
      <c r="I84" s="32">
        <v>212</v>
      </c>
      <c r="J84" s="32">
        <v>1531</v>
      </c>
      <c r="K84" s="32">
        <v>1406</v>
      </c>
      <c r="L84" s="32">
        <v>800</v>
      </c>
      <c r="M84" s="32">
        <v>674</v>
      </c>
      <c r="N84" s="32"/>
      <c r="O84" s="32">
        <v>757</v>
      </c>
      <c r="P84" s="32">
        <f>+E84+J84+L84</f>
        <v>2548</v>
      </c>
      <c r="Q84" s="32">
        <f>+I84+K84+M84+O84</f>
        <v>3049</v>
      </c>
      <c r="R84" s="32">
        <f t="shared" si="16"/>
        <v>11268</v>
      </c>
      <c r="S84" s="41">
        <f t="shared" si="19"/>
        <v>0.21296360969476846</v>
      </c>
      <c r="T84" s="54">
        <f>3920</f>
        <v>3920</v>
      </c>
      <c r="U84" s="32">
        <f t="shared" si="17"/>
        <v>15188</v>
      </c>
      <c r="V84" s="67">
        <f t="shared" si="18"/>
        <v>0.21296360969476846</v>
      </c>
      <c r="X84" s="11">
        <f t="shared" si="22"/>
        <v>18237</v>
      </c>
    </row>
    <row r="85" spans="1:24" ht="15" customHeight="1">
      <c r="A85" s="88"/>
      <c r="B85" s="31" t="s">
        <v>62</v>
      </c>
      <c r="C85" s="38">
        <f>141+122+187+185</f>
        <v>635</v>
      </c>
      <c r="D85" s="39">
        <v>0</v>
      </c>
      <c r="E85" s="39">
        <v>0</v>
      </c>
      <c r="F85" s="38"/>
      <c r="G85" s="39"/>
      <c r="H85" s="39"/>
      <c r="I85" s="32">
        <v>0</v>
      </c>
      <c r="J85" s="32">
        <v>64</v>
      </c>
      <c r="K85" s="32">
        <v>39</v>
      </c>
      <c r="L85" s="32">
        <v>40</v>
      </c>
      <c r="M85" s="32">
        <v>40</v>
      </c>
      <c r="N85" s="32"/>
      <c r="O85" s="32">
        <v>0</v>
      </c>
      <c r="P85" s="32">
        <f>+E85+J85+L85</f>
        <v>104</v>
      </c>
      <c r="Q85" s="32">
        <f>+I85+K85+M85+O85</f>
        <v>79</v>
      </c>
      <c r="R85" s="32">
        <f t="shared" si="16"/>
        <v>556</v>
      </c>
      <c r="S85" s="41">
        <f t="shared" si="19"/>
        <v>0.12440944881889764</v>
      </c>
      <c r="T85" s="54">
        <f>185</f>
        <v>185</v>
      </c>
      <c r="U85" s="32">
        <f t="shared" si="17"/>
        <v>741</v>
      </c>
      <c r="V85" s="67">
        <f t="shared" si="18"/>
        <v>0.12440944881889764</v>
      </c>
      <c r="X85" s="11">
        <f t="shared" si="22"/>
        <v>820</v>
      </c>
    </row>
    <row r="86" spans="1:24" ht="29.25" customHeight="1">
      <c r="A86" s="88"/>
      <c r="B86" s="31" t="s">
        <v>135</v>
      </c>
      <c r="C86" s="38">
        <f>995+994+1075+1092</f>
        <v>4156</v>
      </c>
      <c r="D86" s="39">
        <v>0</v>
      </c>
      <c r="E86" s="39">
        <f>1225</f>
        <v>1225</v>
      </c>
      <c r="F86" s="38"/>
      <c r="G86" s="39"/>
      <c r="H86" s="39"/>
      <c r="I86" s="32">
        <v>1225</v>
      </c>
      <c r="J86" s="32">
        <v>1000</v>
      </c>
      <c r="K86" s="32">
        <v>870</v>
      </c>
      <c r="L86" s="32">
        <v>820</v>
      </c>
      <c r="M86" s="32">
        <v>820</v>
      </c>
      <c r="N86" s="32"/>
      <c r="O86" s="32">
        <v>1194</v>
      </c>
      <c r="P86" s="32">
        <f>+E86+J86+L86</f>
        <v>3045</v>
      </c>
      <c r="Q86" s="32">
        <f>+I86+K86+M86+O86</f>
        <v>4109</v>
      </c>
      <c r="R86" s="32">
        <f t="shared" si="16"/>
        <v>47</v>
      </c>
      <c r="S86" s="41">
        <f t="shared" si="19"/>
        <v>0.9886910490856593</v>
      </c>
      <c r="T86" s="54">
        <f>1092</f>
        <v>1092</v>
      </c>
      <c r="U86" s="32">
        <f t="shared" si="17"/>
        <v>1139</v>
      </c>
      <c r="V86" s="67">
        <f t="shared" si="18"/>
        <v>0.9886910490856593</v>
      </c>
      <c r="X86" s="11">
        <f t="shared" si="22"/>
        <v>5248</v>
      </c>
    </row>
    <row r="87" spans="1:24" ht="38.25">
      <c r="A87" s="88"/>
      <c r="B87" s="31" t="s">
        <v>63</v>
      </c>
      <c r="C87" s="38">
        <f>1699+1714+1730+1745</f>
        <v>6888</v>
      </c>
      <c r="D87" s="39">
        <f>199+50</f>
        <v>249</v>
      </c>
      <c r="E87" s="39">
        <f>449</f>
        <v>449</v>
      </c>
      <c r="F87" s="38"/>
      <c r="G87" s="39"/>
      <c r="H87" s="39"/>
      <c r="I87" s="32">
        <v>449</v>
      </c>
      <c r="J87" s="32">
        <v>291</v>
      </c>
      <c r="K87" s="32">
        <v>241</v>
      </c>
      <c r="L87" s="32">
        <v>3307</v>
      </c>
      <c r="M87" s="32">
        <v>1406</v>
      </c>
      <c r="N87" s="32"/>
      <c r="O87" s="32">
        <v>1662</v>
      </c>
      <c r="P87" s="32">
        <f>+E87+J87+L87</f>
        <v>4047</v>
      </c>
      <c r="Q87" s="32">
        <f>+I87+K87+M87+O87</f>
        <v>3758</v>
      </c>
      <c r="R87" s="32">
        <f t="shared" si="16"/>
        <v>3130</v>
      </c>
      <c r="S87" s="41">
        <f t="shared" si="19"/>
        <v>0.5455865272938444</v>
      </c>
      <c r="T87" s="54">
        <f>1745</f>
        <v>1745</v>
      </c>
      <c r="U87" s="32">
        <f t="shared" si="17"/>
        <v>4875</v>
      </c>
      <c r="V87" s="67">
        <f t="shared" si="18"/>
        <v>0.5455865272938444</v>
      </c>
      <c r="X87" s="11">
        <f t="shared" si="22"/>
        <v>8633</v>
      </c>
    </row>
    <row r="88" spans="1:24" ht="29.25" customHeight="1">
      <c r="A88" s="34" t="s">
        <v>4</v>
      </c>
      <c r="B88" s="42" t="s">
        <v>3</v>
      </c>
      <c r="C88" s="36">
        <f>SUM(C83:C87)</f>
        <v>28162</v>
      </c>
      <c r="D88" s="36">
        <f>SUM(D83:D87)</f>
        <v>276</v>
      </c>
      <c r="E88" s="36">
        <f>SUM(E83:E87)</f>
        <v>1891</v>
      </c>
      <c r="F88" s="36">
        <f>SUM(F77:F80)</f>
        <v>0</v>
      </c>
      <c r="G88" s="36">
        <f>SUM(G77:G80)</f>
        <v>0</v>
      </c>
      <c r="H88" s="36">
        <f>SUM(H77:H80)</f>
        <v>0</v>
      </c>
      <c r="I88" s="36">
        <f aca="true" t="shared" si="25" ref="I88:Q88">SUM(I83:I87)</f>
        <v>1886</v>
      </c>
      <c r="J88" s="36">
        <f t="shared" si="25"/>
        <v>3080</v>
      </c>
      <c r="K88" s="36">
        <f t="shared" si="25"/>
        <v>2703</v>
      </c>
      <c r="L88" s="36">
        <f t="shared" si="25"/>
        <v>5167</v>
      </c>
      <c r="M88" s="36">
        <f t="shared" si="25"/>
        <v>3140</v>
      </c>
      <c r="N88" s="36"/>
      <c r="O88" s="36">
        <f>SUM(O83:O87)</f>
        <v>3613</v>
      </c>
      <c r="P88" s="36">
        <f t="shared" si="25"/>
        <v>10138</v>
      </c>
      <c r="Q88" s="36">
        <f t="shared" si="25"/>
        <v>11342</v>
      </c>
      <c r="R88" s="36">
        <f t="shared" si="16"/>
        <v>16820</v>
      </c>
      <c r="S88" s="47">
        <f t="shared" si="19"/>
        <v>0.40274128257936226</v>
      </c>
      <c r="T88" s="36">
        <f>SUM(T83:T87)</f>
        <v>7497</v>
      </c>
      <c r="U88" s="36">
        <f t="shared" si="17"/>
        <v>24317</v>
      </c>
      <c r="V88" s="47">
        <f t="shared" si="18"/>
        <v>0.40274128257936226</v>
      </c>
      <c r="X88" s="11">
        <f t="shared" si="22"/>
        <v>35659</v>
      </c>
    </row>
    <row r="89" spans="1:24" ht="25.5" customHeight="1">
      <c r="A89" s="88" t="s">
        <v>44</v>
      </c>
      <c r="B89" s="31" t="s">
        <v>64</v>
      </c>
      <c r="C89" s="38">
        <f>90+66+150+146</f>
        <v>452</v>
      </c>
      <c r="D89" s="39">
        <v>0</v>
      </c>
      <c r="E89" s="39">
        <v>0</v>
      </c>
      <c r="F89" s="38"/>
      <c r="G89" s="39"/>
      <c r="H89" s="39"/>
      <c r="I89" s="32">
        <v>0</v>
      </c>
      <c r="J89" s="32">
        <v>262</v>
      </c>
      <c r="K89" s="32">
        <v>262</v>
      </c>
      <c r="L89" s="32">
        <v>524</v>
      </c>
      <c r="M89" s="32">
        <v>124</v>
      </c>
      <c r="N89" s="32"/>
      <c r="O89" s="32">
        <v>360</v>
      </c>
      <c r="P89" s="32">
        <f>+E89+J89+L89</f>
        <v>786</v>
      </c>
      <c r="Q89" s="32">
        <f>+I89+K89+M89+O89</f>
        <v>746</v>
      </c>
      <c r="R89" s="32">
        <f t="shared" si="16"/>
        <v>-294</v>
      </c>
      <c r="S89" s="41">
        <f t="shared" si="19"/>
        <v>1.6504424778761062</v>
      </c>
      <c r="T89" s="54">
        <f>146</f>
        <v>146</v>
      </c>
      <c r="U89" s="32">
        <f t="shared" si="17"/>
        <v>-148</v>
      </c>
      <c r="V89" s="67">
        <f t="shared" si="18"/>
        <v>1.6504424778761062</v>
      </c>
      <c r="X89" s="11">
        <f t="shared" si="22"/>
        <v>598</v>
      </c>
    </row>
    <row r="90" spans="1:24" ht="38.25">
      <c r="A90" s="88"/>
      <c r="B90" s="31" t="s">
        <v>65</v>
      </c>
      <c r="C90" s="38">
        <f>373+272+616+602</f>
        <v>1863</v>
      </c>
      <c r="D90" s="39">
        <v>35</v>
      </c>
      <c r="E90" s="39">
        <f>131</f>
        <v>131</v>
      </c>
      <c r="F90" s="38"/>
      <c r="G90" s="39"/>
      <c r="H90" s="39"/>
      <c r="I90" s="32">
        <v>83</v>
      </c>
      <c r="J90" s="32">
        <v>229</v>
      </c>
      <c r="K90" s="32">
        <v>229</v>
      </c>
      <c r="L90" s="32">
        <v>3618</v>
      </c>
      <c r="M90" s="32">
        <v>2871</v>
      </c>
      <c r="N90" s="32"/>
      <c r="O90" s="32">
        <v>6229</v>
      </c>
      <c r="P90" s="32">
        <f>+E90+J90+L90</f>
        <v>3978</v>
      </c>
      <c r="Q90" s="32">
        <f>+I90+K90+M90+O90</f>
        <v>9412</v>
      </c>
      <c r="R90" s="32">
        <f t="shared" si="16"/>
        <v>-7549</v>
      </c>
      <c r="S90" s="41">
        <f t="shared" si="19"/>
        <v>5.052066559312936</v>
      </c>
      <c r="T90" s="54">
        <f>602</f>
        <v>602</v>
      </c>
      <c r="U90" s="32">
        <f t="shared" si="17"/>
        <v>-6947</v>
      </c>
      <c r="V90" s="67">
        <f t="shared" si="18"/>
        <v>5.052066559312936</v>
      </c>
      <c r="X90" s="11">
        <f t="shared" si="22"/>
        <v>2465</v>
      </c>
    </row>
    <row r="91" spans="1:24" ht="25.5">
      <c r="A91" s="88"/>
      <c r="B91" s="31" t="s">
        <v>66</v>
      </c>
      <c r="C91" s="38">
        <f>88+64+146+143</f>
        <v>441</v>
      </c>
      <c r="D91" s="39">
        <v>0</v>
      </c>
      <c r="E91" s="39">
        <v>0</v>
      </c>
      <c r="F91" s="38"/>
      <c r="G91" s="39"/>
      <c r="H91" s="39"/>
      <c r="I91" s="32">
        <v>0</v>
      </c>
      <c r="J91" s="32">
        <v>100</v>
      </c>
      <c r="K91" s="32">
        <v>100</v>
      </c>
      <c r="L91" s="32">
        <v>100</v>
      </c>
      <c r="M91" s="32">
        <v>98</v>
      </c>
      <c r="N91" s="32"/>
      <c r="O91" s="32">
        <v>89</v>
      </c>
      <c r="P91" s="32">
        <f>+E91+J91+L91</f>
        <v>200</v>
      </c>
      <c r="Q91" s="32">
        <f>+I91+K91+M91+O91</f>
        <v>287</v>
      </c>
      <c r="R91" s="32">
        <f t="shared" si="16"/>
        <v>154</v>
      </c>
      <c r="S91" s="41">
        <f t="shared" si="19"/>
        <v>0.6507936507936508</v>
      </c>
      <c r="T91" s="54">
        <f>143</f>
        <v>143</v>
      </c>
      <c r="U91" s="32">
        <f t="shared" si="17"/>
        <v>297</v>
      </c>
      <c r="V91" s="67">
        <f t="shared" si="18"/>
        <v>0.6507936507936508</v>
      </c>
      <c r="X91" s="11">
        <f t="shared" si="22"/>
        <v>584</v>
      </c>
    </row>
    <row r="92" spans="1:24" ht="29.25" customHeight="1">
      <c r="A92" s="34" t="s">
        <v>4</v>
      </c>
      <c r="B92" s="42" t="s">
        <v>3</v>
      </c>
      <c r="C92" s="36">
        <f>SUM(C89:C91)</f>
        <v>2756</v>
      </c>
      <c r="D92" s="36">
        <f>SUM(D89:D91)</f>
        <v>35</v>
      </c>
      <c r="E92" s="36">
        <f>SUM(E89:E91)</f>
        <v>131</v>
      </c>
      <c r="F92" s="36">
        <f>SUM(F81:F84)</f>
        <v>0</v>
      </c>
      <c r="G92" s="36">
        <f>SUM(G81:G84)</f>
        <v>0</v>
      </c>
      <c r="H92" s="36">
        <f>SUM(H81:H84)</f>
        <v>0</v>
      </c>
      <c r="I92" s="36">
        <f aca="true" t="shared" si="26" ref="I92:Q92">SUM(I89:I91)</f>
        <v>83</v>
      </c>
      <c r="J92" s="36">
        <f t="shared" si="26"/>
        <v>591</v>
      </c>
      <c r="K92" s="36">
        <f t="shared" si="26"/>
        <v>591</v>
      </c>
      <c r="L92" s="36">
        <f t="shared" si="26"/>
        <v>4242</v>
      </c>
      <c r="M92" s="36">
        <f t="shared" si="26"/>
        <v>3093</v>
      </c>
      <c r="N92" s="36"/>
      <c r="O92" s="36">
        <f>SUM(O89:O91)</f>
        <v>6678</v>
      </c>
      <c r="P92" s="36">
        <f t="shared" si="26"/>
        <v>4964</v>
      </c>
      <c r="Q92" s="36">
        <f t="shared" si="26"/>
        <v>10445</v>
      </c>
      <c r="R92" s="36">
        <f t="shared" si="16"/>
        <v>-7689</v>
      </c>
      <c r="S92" s="47">
        <f t="shared" si="19"/>
        <v>3.789912917271408</v>
      </c>
      <c r="T92" s="36">
        <f>SUM(T89:T91)</f>
        <v>891</v>
      </c>
      <c r="U92" s="36">
        <f t="shared" si="17"/>
        <v>-6798</v>
      </c>
      <c r="V92" s="47">
        <f t="shared" si="18"/>
        <v>3.789912917271408</v>
      </c>
      <c r="X92" s="11">
        <f t="shared" si="22"/>
        <v>3647</v>
      </c>
    </row>
    <row r="93" spans="1:24" ht="38.25" customHeight="1">
      <c r="A93" s="88" t="s">
        <v>45</v>
      </c>
      <c r="B93" s="31" t="s">
        <v>67</v>
      </c>
      <c r="C93" s="38">
        <f>4006+3521+5176+5105</f>
        <v>17808</v>
      </c>
      <c r="D93" s="39">
        <v>1096</v>
      </c>
      <c r="E93" s="39">
        <f>5624</f>
        <v>5624</v>
      </c>
      <c r="F93" s="38"/>
      <c r="G93" s="39"/>
      <c r="H93" s="39"/>
      <c r="I93" s="32">
        <f>4106</f>
        <v>4106</v>
      </c>
      <c r="J93" s="32">
        <v>9784</v>
      </c>
      <c r="K93" s="32">
        <v>8110</v>
      </c>
      <c r="L93" s="32">
        <v>16695</v>
      </c>
      <c r="M93" s="32">
        <v>14139</v>
      </c>
      <c r="N93" s="32"/>
      <c r="O93" s="32">
        <v>17686</v>
      </c>
      <c r="P93" s="32">
        <f>+E93+J93+L93</f>
        <v>32103</v>
      </c>
      <c r="Q93" s="32">
        <f>+I93+K93+M93+O93</f>
        <v>44041</v>
      </c>
      <c r="R93" s="32">
        <f t="shared" si="16"/>
        <v>-26233</v>
      </c>
      <c r="S93" s="41">
        <f t="shared" si="19"/>
        <v>2.4731019766397124</v>
      </c>
      <c r="T93" s="54">
        <f>5105</f>
        <v>5105</v>
      </c>
      <c r="U93" s="32">
        <f t="shared" si="17"/>
        <v>-21128</v>
      </c>
      <c r="V93" s="67">
        <f t="shared" si="18"/>
        <v>2.4731019766397124</v>
      </c>
      <c r="X93" s="11">
        <f t="shared" si="22"/>
        <v>22913</v>
      </c>
    </row>
    <row r="94" spans="1:24" ht="25.5">
      <c r="A94" s="88"/>
      <c r="B94" s="31" t="s">
        <v>68</v>
      </c>
      <c r="C94" s="38">
        <f>435+382+563+555</f>
        <v>1935</v>
      </c>
      <c r="D94" s="39">
        <v>0</v>
      </c>
      <c r="E94" s="39">
        <v>0</v>
      </c>
      <c r="F94" s="38"/>
      <c r="G94" s="39"/>
      <c r="H94" s="39"/>
      <c r="I94" s="32">
        <v>0</v>
      </c>
      <c r="J94" s="32">
        <v>801</v>
      </c>
      <c r="K94" s="32">
        <v>801</v>
      </c>
      <c r="L94" s="32">
        <v>428</v>
      </c>
      <c r="M94" s="32">
        <v>340</v>
      </c>
      <c r="N94" s="32"/>
      <c r="O94" s="32">
        <v>80</v>
      </c>
      <c r="P94" s="32">
        <f>+E94+J94+L94</f>
        <v>1229</v>
      </c>
      <c r="Q94" s="32">
        <f>+I94+K94+M94+O94</f>
        <v>1221</v>
      </c>
      <c r="R94" s="32">
        <f t="shared" si="16"/>
        <v>714</v>
      </c>
      <c r="S94" s="41">
        <f t="shared" si="19"/>
        <v>0.6310077519379845</v>
      </c>
      <c r="T94" s="54">
        <f>555</f>
        <v>555</v>
      </c>
      <c r="U94" s="32">
        <f t="shared" si="17"/>
        <v>1269</v>
      </c>
      <c r="V94" s="67">
        <f t="shared" si="18"/>
        <v>0.6310077519379845</v>
      </c>
      <c r="X94" s="11">
        <f t="shared" si="22"/>
        <v>2490</v>
      </c>
    </row>
    <row r="95" spans="1:24" ht="29.25" customHeight="1">
      <c r="A95" s="34" t="s">
        <v>4</v>
      </c>
      <c r="B95" s="42" t="s">
        <v>3</v>
      </c>
      <c r="C95" s="36">
        <f>SUM(C93:C94)</f>
        <v>19743</v>
      </c>
      <c r="D95" s="36">
        <f>SUM(D93:D94)</f>
        <v>1096</v>
      </c>
      <c r="E95" s="36">
        <f>SUM(E93:E94)</f>
        <v>5624</v>
      </c>
      <c r="F95" s="36">
        <f>SUM(F84:F87)</f>
        <v>0</v>
      </c>
      <c r="G95" s="36">
        <f>SUM(G84:G87)</f>
        <v>0</v>
      </c>
      <c r="H95" s="36">
        <f>SUM(H84:H87)</f>
        <v>0</v>
      </c>
      <c r="I95" s="36">
        <f aca="true" t="shared" si="27" ref="I95:Q95">SUM(I93:I94)</f>
        <v>4106</v>
      </c>
      <c r="J95" s="36">
        <f t="shared" si="27"/>
        <v>10585</v>
      </c>
      <c r="K95" s="36">
        <f t="shared" si="27"/>
        <v>8911</v>
      </c>
      <c r="L95" s="36">
        <f t="shared" si="27"/>
        <v>17123</v>
      </c>
      <c r="M95" s="36">
        <f t="shared" si="27"/>
        <v>14479</v>
      </c>
      <c r="N95" s="36"/>
      <c r="O95" s="36">
        <f>SUM(O93:O94)</f>
        <v>17766</v>
      </c>
      <c r="P95" s="36">
        <f t="shared" si="27"/>
        <v>33332</v>
      </c>
      <c r="Q95" s="36">
        <f t="shared" si="27"/>
        <v>45262</v>
      </c>
      <c r="R95" s="36">
        <f t="shared" si="16"/>
        <v>-25519</v>
      </c>
      <c r="S95" s="47">
        <f t="shared" si="19"/>
        <v>2.2925593881375677</v>
      </c>
      <c r="T95" s="36">
        <f>SUM(T93:T94)</f>
        <v>5660</v>
      </c>
      <c r="U95" s="36">
        <f t="shared" si="17"/>
        <v>-19859</v>
      </c>
      <c r="V95" s="47">
        <f t="shared" si="18"/>
        <v>2.2925593881375677</v>
      </c>
      <c r="X95" s="11">
        <f t="shared" si="22"/>
        <v>25403</v>
      </c>
    </row>
    <row r="96" spans="1:24" ht="45.75" customHeight="1">
      <c r="A96" s="88" t="s">
        <v>46</v>
      </c>
      <c r="B96" s="31" t="s">
        <v>69</v>
      </c>
      <c r="C96" s="38">
        <f>1764+1485+2435+2394</f>
        <v>8078</v>
      </c>
      <c r="D96" s="39">
        <f>200+450</f>
        <v>650</v>
      </c>
      <c r="E96" s="39">
        <f>1350</f>
        <v>1350</v>
      </c>
      <c r="F96" s="38"/>
      <c r="G96" s="39"/>
      <c r="H96" s="39"/>
      <c r="I96" s="32">
        <f>1350</f>
        <v>1350</v>
      </c>
      <c r="J96" s="32">
        <v>952</v>
      </c>
      <c r="K96" s="32">
        <v>952</v>
      </c>
      <c r="L96" s="32">
        <v>1600</v>
      </c>
      <c r="M96" s="32">
        <v>1600</v>
      </c>
      <c r="N96" s="32"/>
      <c r="O96" s="32">
        <v>1166</v>
      </c>
      <c r="P96" s="32">
        <f>+E96+J96+L96</f>
        <v>3902</v>
      </c>
      <c r="Q96" s="32">
        <f>+I96+K96+M96+O96</f>
        <v>5068</v>
      </c>
      <c r="R96" s="32">
        <f t="shared" si="16"/>
        <v>3010</v>
      </c>
      <c r="S96" s="41">
        <f t="shared" si="19"/>
        <v>0.6273830155979203</v>
      </c>
      <c r="T96" s="54">
        <f>2394</f>
        <v>2394</v>
      </c>
      <c r="U96" s="32">
        <f t="shared" si="17"/>
        <v>5404</v>
      </c>
      <c r="V96" s="67">
        <f t="shared" si="18"/>
        <v>0.6273830155979203</v>
      </c>
      <c r="X96" s="11">
        <f t="shared" si="22"/>
        <v>10472</v>
      </c>
    </row>
    <row r="97" spans="1:24" ht="55.5" customHeight="1">
      <c r="A97" s="88"/>
      <c r="B97" s="31" t="s">
        <v>70</v>
      </c>
      <c r="C97" s="38">
        <f>35+26+59+57</f>
        <v>177</v>
      </c>
      <c r="D97" s="39">
        <v>0</v>
      </c>
      <c r="E97" s="39">
        <v>0</v>
      </c>
      <c r="F97" s="38"/>
      <c r="G97" s="39"/>
      <c r="H97" s="39"/>
      <c r="I97" s="32">
        <v>0</v>
      </c>
      <c r="J97" s="32">
        <v>76</v>
      </c>
      <c r="K97" s="32">
        <v>76</v>
      </c>
      <c r="L97" s="32">
        <v>60</v>
      </c>
      <c r="M97" s="32">
        <v>60</v>
      </c>
      <c r="N97" s="32"/>
      <c r="O97" s="32">
        <v>30</v>
      </c>
      <c r="P97" s="32">
        <f>+E97+J97+L97</f>
        <v>136</v>
      </c>
      <c r="Q97" s="32">
        <f>+I97+K97+M97+O97</f>
        <v>166</v>
      </c>
      <c r="R97" s="32">
        <f t="shared" si="16"/>
        <v>11</v>
      </c>
      <c r="S97" s="41">
        <f t="shared" si="19"/>
        <v>0.9378531073446328</v>
      </c>
      <c r="T97" s="54">
        <f>57</f>
        <v>57</v>
      </c>
      <c r="U97" s="32">
        <f t="shared" si="17"/>
        <v>68</v>
      </c>
      <c r="V97" s="67">
        <f t="shared" si="18"/>
        <v>0.9378531073446328</v>
      </c>
      <c r="X97" s="11">
        <f t="shared" si="22"/>
        <v>234</v>
      </c>
    </row>
    <row r="98" spans="1:24" ht="53.25" customHeight="1">
      <c r="A98" s="88"/>
      <c r="B98" s="31" t="s">
        <v>71</v>
      </c>
      <c r="C98" s="38">
        <f>13+9+22+21</f>
        <v>65</v>
      </c>
      <c r="D98" s="39">
        <v>0</v>
      </c>
      <c r="E98" s="39">
        <v>0</v>
      </c>
      <c r="F98" s="38"/>
      <c r="G98" s="39"/>
      <c r="H98" s="39"/>
      <c r="I98" s="32">
        <v>0</v>
      </c>
      <c r="J98" s="32">
        <v>159</v>
      </c>
      <c r="K98" s="32">
        <v>159</v>
      </c>
      <c r="L98" s="32">
        <v>7</v>
      </c>
      <c r="M98" s="32">
        <v>7</v>
      </c>
      <c r="N98" s="32"/>
      <c r="O98" s="32">
        <v>20</v>
      </c>
      <c r="P98" s="32">
        <f>+E98+J98+L98</f>
        <v>166</v>
      </c>
      <c r="Q98" s="32">
        <f>+I98+K98+M98+O98</f>
        <v>186</v>
      </c>
      <c r="R98" s="32">
        <f t="shared" si="16"/>
        <v>-121</v>
      </c>
      <c r="S98" s="41">
        <f t="shared" si="19"/>
        <v>2.8615384615384616</v>
      </c>
      <c r="T98" s="54">
        <f>21</f>
        <v>21</v>
      </c>
      <c r="U98" s="32">
        <f t="shared" si="17"/>
        <v>-100</v>
      </c>
      <c r="V98" s="67">
        <f t="shared" si="18"/>
        <v>2.8615384615384616</v>
      </c>
      <c r="X98" s="11">
        <f t="shared" si="22"/>
        <v>86</v>
      </c>
    </row>
    <row r="99" spans="1:24" ht="29.25" customHeight="1">
      <c r="A99" s="34" t="s">
        <v>4</v>
      </c>
      <c r="B99" s="42" t="s">
        <v>3</v>
      </c>
      <c r="C99" s="36">
        <f>SUM(C96:C98)</f>
        <v>8320</v>
      </c>
      <c r="D99" s="36">
        <f>SUM(D96:D98)</f>
        <v>650</v>
      </c>
      <c r="E99" s="36">
        <f>SUM(E96:E98)</f>
        <v>1350</v>
      </c>
      <c r="F99" s="36">
        <f>SUM(F68:F71)</f>
        <v>0</v>
      </c>
      <c r="G99" s="36">
        <f>SUM(G68:G71)</f>
        <v>0</v>
      </c>
      <c r="H99" s="36">
        <f>SUM(H68:H71)</f>
        <v>0</v>
      </c>
      <c r="I99" s="36">
        <f aca="true" t="shared" si="28" ref="I99:Q99">SUM(I96:I98)</f>
        <v>1350</v>
      </c>
      <c r="J99" s="36">
        <f t="shared" si="28"/>
        <v>1187</v>
      </c>
      <c r="K99" s="36">
        <f t="shared" si="28"/>
        <v>1187</v>
      </c>
      <c r="L99" s="36">
        <f t="shared" si="28"/>
        <v>1667</v>
      </c>
      <c r="M99" s="36">
        <f t="shared" si="28"/>
        <v>1667</v>
      </c>
      <c r="N99" s="36"/>
      <c r="O99" s="36">
        <f>SUM(O96:O98)</f>
        <v>1216</v>
      </c>
      <c r="P99" s="36">
        <f t="shared" si="28"/>
        <v>4204</v>
      </c>
      <c r="Q99" s="36">
        <f t="shared" si="28"/>
        <v>5420</v>
      </c>
      <c r="R99" s="36">
        <f t="shared" si="16"/>
        <v>2900</v>
      </c>
      <c r="S99" s="47">
        <f t="shared" si="19"/>
        <v>0.6514423076923077</v>
      </c>
      <c r="T99" s="36">
        <f>SUM(T96:T98)</f>
        <v>2472</v>
      </c>
      <c r="U99" s="36">
        <f t="shared" si="17"/>
        <v>5372</v>
      </c>
      <c r="V99" s="47">
        <f t="shared" si="18"/>
        <v>0.6514423076923077</v>
      </c>
      <c r="X99" s="11">
        <f t="shared" si="22"/>
        <v>10792</v>
      </c>
    </row>
    <row r="100" spans="1:24" ht="25.5" customHeight="1">
      <c r="A100" s="27" t="s">
        <v>80</v>
      </c>
      <c r="B100" s="43"/>
      <c r="C100" s="82">
        <f>+C99+C95+C92+C88+C82+C77+C72+C67</f>
        <v>457271</v>
      </c>
      <c r="D100" s="62">
        <f>+D99+D95+D92+D88+D82+D77+D72+D67</f>
        <v>54699</v>
      </c>
      <c r="E100" s="62">
        <f>+E99+E95+E92+E88+E82+E77+E72+E67</f>
        <v>91615</v>
      </c>
      <c r="F100" s="62">
        <f>+F67+F99</f>
        <v>0</v>
      </c>
      <c r="G100" s="62">
        <f>+G67+G99</f>
        <v>0</v>
      </c>
      <c r="H100" s="62">
        <f>+H67+H99</f>
        <v>0</v>
      </c>
      <c r="I100" s="62">
        <f aca="true" t="shared" si="29" ref="I100:Q100">+I99+I95+I92+I88+I82+I77+I72+I67</f>
        <v>77781</v>
      </c>
      <c r="J100" s="69">
        <f t="shared" si="29"/>
        <v>114630</v>
      </c>
      <c r="K100" s="69">
        <f t="shared" si="29"/>
        <v>107353</v>
      </c>
      <c r="L100" s="77">
        <f t="shared" si="29"/>
        <v>132877</v>
      </c>
      <c r="M100" s="77">
        <f t="shared" si="29"/>
        <v>116327</v>
      </c>
      <c r="N100" s="82"/>
      <c r="O100" s="82">
        <f>+O99+O95+O92+O88+O82+O77+O72+O67</f>
        <v>125806</v>
      </c>
      <c r="P100" s="62">
        <f t="shared" si="29"/>
        <v>339122</v>
      </c>
      <c r="Q100" s="62">
        <f t="shared" si="29"/>
        <v>427267</v>
      </c>
      <c r="R100" s="62">
        <f t="shared" si="16"/>
        <v>30004</v>
      </c>
      <c r="S100" s="44">
        <f t="shared" si="19"/>
        <v>0.9343846428048138</v>
      </c>
      <c r="T100" s="62">
        <f>+T99+T95+T92+T88+T82+T77+T72+T67</f>
        <v>110592</v>
      </c>
      <c r="U100" s="62">
        <f t="shared" si="17"/>
        <v>140596</v>
      </c>
      <c r="V100" s="68">
        <f t="shared" si="18"/>
        <v>0.9343846428048138</v>
      </c>
      <c r="X100" s="11">
        <f t="shared" si="22"/>
        <v>567863</v>
      </c>
    </row>
    <row r="101" spans="1:24" ht="26.25" customHeight="1">
      <c r="A101" s="13"/>
      <c r="B101" s="28"/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 t="s">
        <v>3</v>
      </c>
      <c r="Q101" s="30" t="s">
        <v>3</v>
      </c>
      <c r="R101" s="30"/>
      <c r="S101" s="13"/>
      <c r="T101" s="57" t="s">
        <v>3</v>
      </c>
      <c r="U101" s="57"/>
      <c r="X101" s="11" t="e">
        <f t="shared" si="22"/>
        <v>#VALUE!</v>
      </c>
    </row>
    <row r="102" spans="1:24" ht="12.75">
      <c r="A102" s="13"/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13"/>
      <c r="T102" s="57"/>
      <c r="U102" s="57"/>
      <c r="X102" s="11">
        <f t="shared" si="22"/>
        <v>0</v>
      </c>
    </row>
    <row r="103" spans="1:24" ht="12.75">
      <c r="A103" s="89" t="s">
        <v>7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X103" s="11">
        <f t="shared" si="22"/>
        <v>0</v>
      </c>
    </row>
    <row r="104" spans="1:24" ht="12.75">
      <c r="A104" s="92" t="s">
        <v>8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X104" s="11">
        <f t="shared" si="22"/>
        <v>0</v>
      </c>
    </row>
    <row r="105" spans="1:24" ht="12.75">
      <c r="A105" s="92" t="s">
        <v>159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X105" s="11">
        <f t="shared" si="22"/>
        <v>0</v>
      </c>
    </row>
    <row r="106" spans="1:24" ht="12.75" customHeight="1">
      <c r="A106" s="89" t="s">
        <v>72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X106" s="11">
        <f t="shared" si="22"/>
        <v>0</v>
      </c>
    </row>
    <row r="107" spans="1:24" ht="12.75">
      <c r="A107" s="92" t="s">
        <v>3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52"/>
      <c r="U107" s="52"/>
      <c r="V107" s="52"/>
      <c r="X107" s="11">
        <f t="shared" si="22"/>
        <v>0</v>
      </c>
    </row>
    <row r="108" spans="1:24" ht="12.75">
      <c r="A108" s="97" t="s">
        <v>2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53"/>
      <c r="U108" s="53"/>
      <c r="V108" s="53"/>
      <c r="X108" s="11">
        <f t="shared" si="22"/>
        <v>0</v>
      </c>
    </row>
    <row r="109" spans="1:24" ht="22.5" customHeight="1">
      <c r="A109" s="94" t="s">
        <v>0</v>
      </c>
      <c r="B109" s="94" t="s">
        <v>1</v>
      </c>
      <c r="C109" s="94" t="s">
        <v>158</v>
      </c>
      <c r="D109" s="87" t="s">
        <v>10</v>
      </c>
      <c r="E109" s="87" t="s">
        <v>140</v>
      </c>
      <c r="F109" s="87" t="s">
        <v>11</v>
      </c>
      <c r="G109" s="87" t="s">
        <v>12</v>
      </c>
      <c r="H109" s="87" t="s">
        <v>13</v>
      </c>
      <c r="I109" s="87" t="s">
        <v>144</v>
      </c>
      <c r="J109" s="87" t="s">
        <v>142</v>
      </c>
      <c r="K109" s="87" t="s">
        <v>143</v>
      </c>
      <c r="L109" s="87" t="s">
        <v>150</v>
      </c>
      <c r="M109" s="87" t="s">
        <v>151</v>
      </c>
      <c r="N109" s="82"/>
      <c r="O109" s="87" t="s">
        <v>157</v>
      </c>
      <c r="P109" s="87" t="s">
        <v>152</v>
      </c>
      <c r="Q109" s="87" t="s">
        <v>153</v>
      </c>
      <c r="R109" s="87" t="s">
        <v>154</v>
      </c>
      <c r="S109" s="94" t="s">
        <v>138</v>
      </c>
      <c r="T109" s="87" t="s">
        <v>155</v>
      </c>
      <c r="U109" s="87" t="s">
        <v>147</v>
      </c>
      <c r="V109" s="87" t="s">
        <v>148</v>
      </c>
      <c r="X109" s="11" t="e">
        <f t="shared" si="22"/>
        <v>#VALUE!</v>
      </c>
    </row>
    <row r="110" spans="1:24" ht="33" customHeight="1">
      <c r="A110" s="94"/>
      <c r="B110" s="94"/>
      <c r="C110" s="94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2"/>
      <c r="O110" s="87"/>
      <c r="P110" s="87"/>
      <c r="Q110" s="87"/>
      <c r="R110" s="87"/>
      <c r="S110" s="94"/>
      <c r="T110" s="87"/>
      <c r="U110" s="87"/>
      <c r="V110" s="87" t="s">
        <v>148</v>
      </c>
      <c r="X110" s="11">
        <f t="shared" si="22"/>
        <v>0</v>
      </c>
    </row>
    <row r="111" spans="1:24" ht="25.5" customHeight="1">
      <c r="A111" s="88" t="s">
        <v>73</v>
      </c>
      <c r="B111" s="31" t="s">
        <v>82</v>
      </c>
      <c r="C111" s="32">
        <f>640+553+848+835</f>
        <v>2876</v>
      </c>
      <c r="D111" s="32">
        <v>0</v>
      </c>
      <c r="E111" s="39">
        <f>150</f>
        <v>150</v>
      </c>
      <c r="F111" s="38"/>
      <c r="G111" s="39"/>
      <c r="H111" s="39"/>
      <c r="I111" s="32">
        <f>64</f>
        <v>64</v>
      </c>
      <c r="J111" s="32">
        <v>2672</v>
      </c>
      <c r="K111" s="32">
        <v>2409</v>
      </c>
      <c r="L111" s="32">
        <v>1100</v>
      </c>
      <c r="M111" s="32">
        <v>800</v>
      </c>
      <c r="N111" s="32"/>
      <c r="O111" s="32">
        <v>364</v>
      </c>
      <c r="P111" s="32">
        <f>+E111+J111+L111</f>
        <v>3922</v>
      </c>
      <c r="Q111" s="32">
        <f>+I111+K111+M111+O111</f>
        <v>3637</v>
      </c>
      <c r="R111" s="32">
        <f aca="true" t="shared" si="30" ref="R111:R139">+C111-Q111</f>
        <v>-761</v>
      </c>
      <c r="S111" s="41">
        <f>+Q111/C111</f>
        <v>1.2646036161335188</v>
      </c>
      <c r="T111" s="54">
        <f>835</f>
        <v>835</v>
      </c>
      <c r="U111" s="32">
        <f aca="true" t="shared" si="31" ref="U111:U139">+R111+T111</f>
        <v>74</v>
      </c>
      <c r="V111" s="67">
        <f aca="true" t="shared" si="32" ref="V111:V139">+Q111/C111</f>
        <v>1.2646036161335188</v>
      </c>
      <c r="X111" s="11">
        <f t="shared" si="22"/>
        <v>3711</v>
      </c>
    </row>
    <row r="112" spans="1:27" ht="20.25" customHeight="1">
      <c r="A112" s="88"/>
      <c r="B112" s="31" t="s">
        <v>83</v>
      </c>
      <c r="C112" s="32">
        <f>8597+8290+9338+9293</f>
        <v>35518</v>
      </c>
      <c r="D112" s="32">
        <v>147</v>
      </c>
      <c r="E112" s="39">
        <f>2788</f>
        <v>2788</v>
      </c>
      <c r="F112" s="38"/>
      <c r="G112" s="39"/>
      <c r="H112" s="39"/>
      <c r="I112" s="32">
        <f>2628</f>
        <v>2628</v>
      </c>
      <c r="J112" s="32">
        <v>2190</v>
      </c>
      <c r="K112" s="32">
        <v>1927</v>
      </c>
      <c r="L112" s="32">
        <v>1450</v>
      </c>
      <c r="M112" s="32">
        <v>1149</v>
      </c>
      <c r="N112" s="32"/>
      <c r="O112" s="32">
        <v>630</v>
      </c>
      <c r="P112" s="32">
        <f>+E112+J112+L112</f>
        <v>6428</v>
      </c>
      <c r="Q112" s="32">
        <f>+I112+K112+M112+O112</f>
        <v>6334</v>
      </c>
      <c r="R112" s="32">
        <f t="shared" si="30"/>
        <v>29184</v>
      </c>
      <c r="S112" s="41">
        <f aca="true" t="shared" si="33" ref="S112:S139">+Q112/C112</f>
        <v>0.1783321132946675</v>
      </c>
      <c r="T112" s="54">
        <f>9293</f>
        <v>9293</v>
      </c>
      <c r="U112" s="32">
        <f t="shared" si="31"/>
        <v>38477</v>
      </c>
      <c r="V112" s="67">
        <f t="shared" si="32"/>
        <v>0.1783321132946675</v>
      </c>
      <c r="X112" s="11">
        <f t="shared" si="22"/>
        <v>44811</v>
      </c>
      <c r="AA112" s="12" t="s">
        <v>3</v>
      </c>
    </row>
    <row r="113" spans="1:24" ht="29.25" customHeight="1">
      <c r="A113" s="88"/>
      <c r="B113" s="79" t="s">
        <v>84</v>
      </c>
      <c r="C113" s="32">
        <f>67432+67420+67461+76460</f>
        <v>278773</v>
      </c>
      <c r="D113" s="32">
        <v>21</v>
      </c>
      <c r="E113" s="39">
        <v>231</v>
      </c>
      <c r="F113" s="38"/>
      <c r="G113" s="39"/>
      <c r="H113" s="39"/>
      <c r="I113" s="32">
        <v>229</v>
      </c>
      <c r="J113" s="32">
        <v>101</v>
      </c>
      <c r="K113" s="32">
        <v>31</v>
      </c>
      <c r="L113" s="32">
        <v>100</v>
      </c>
      <c r="M113" s="32">
        <v>80</v>
      </c>
      <c r="N113" s="32"/>
      <c r="O113" s="32">
        <v>90</v>
      </c>
      <c r="P113" s="32">
        <f>+E113+J113+L113</f>
        <v>432</v>
      </c>
      <c r="Q113" s="32">
        <f>+I113+K113+M113+O113</f>
        <v>430</v>
      </c>
      <c r="R113" s="32">
        <f t="shared" si="30"/>
        <v>278343</v>
      </c>
      <c r="S113" s="41">
        <f t="shared" si="33"/>
        <v>0.001542473625494578</v>
      </c>
      <c r="T113" s="54">
        <f>76460</f>
        <v>76460</v>
      </c>
      <c r="U113" s="32">
        <f t="shared" si="31"/>
        <v>354803</v>
      </c>
      <c r="V113" s="67">
        <f t="shared" si="32"/>
        <v>0.001542473625494578</v>
      </c>
      <c r="X113" s="11">
        <f t="shared" si="22"/>
        <v>355233</v>
      </c>
    </row>
    <row r="114" spans="1:24" ht="22.5" customHeight="1">
      <c r="A114" s="34" t="s">
        <v>4</v>
      </c>
      <c r="B114" s="42" t="s">
        <v>3</v>
      </c>
      <c r="C114" s="36">
        <f aca="true" t="shared" si="34" ref="C114:H114">SUM(C111:C113)</f>
        <v>317167</v>
      </c>
      <c r="D114" s="36">
        <f t="shared" si="34"/>
        <v>168</v>
      </c>
      <c r="E114" s="36">
        <f t="shared" si="34"/>
        <v>3169</v>
      </c>
      <c r="F114" s="36">
        <f t="shared" si="34"/>
        <v>0</v>
      </c>
      <c r="G114" s="36">
        <f t="shared" si="34"/>
        <v>0</v>
      </c>
      <c r="H114" s="36">
        <f t="shared" si="34"/>
        <v>0</v>
      </c>
      <c r="I114" s="36">
        <f aca="true" t="shared" si="35" ref="I114:Q114">SUM(I111:I113)</f>
        <v>2921</v>
      </c>
      <c r="J114" s="36">
        <f t="shared" si="35"/>
        <v>4963</v>
      </c>
      <c r="K114" s="36">
        <f t="shared" si="35"/>
        <v>4367</v>
      </c>
      <c r="L114" s="36">
        <f t="shared" si="35"/>
        <v>2650</v>
      </c>
      <c r="M114" s="36">
        <f t="shared" si="35"/>
        <v>2029</v>
      </c>
      <c r="N114" s="36"/>
      <c r="O114" s="36">
        <f>SUM(O111:O113)</f>
        <v>1084</v>
      </c>
      <c r="P114" s="36">
        <f t="shared" si="35"/>
        <v>10782</v>
      </c>
      <c r="Q114" s="36">
        <f t="shared" si="35"/>
        <v>10401</v>
      </c>
      <c r="R114" s="36">
        <f t="shared" si="30"/>
        <v>306766</v>
      </c>
      <c r="S114" s="47">
        <f t="shared" si="33"/>
        <v>0.032793449507672615</v>
      </c>
      <c r="T114" s="36">
        <f>SUM(T111:T113)</f>
        <v>86588</v>
      </c>
      <c r="U114" s="36">
        <f t="shared" si="31"/>
        <v>393354</v>
      </c>
      <c r="V114" s="47">
        <f t="shared" si="32"/>
        <v>0.032793449507672615</v>
      </c>
      <c r="X114" s="11">
        <f t="shared" si="22"/>
        <v>403755</v>
      </c>
    </row>
    <row r="115" spans="1:24" ht="25.5" customHeight="1">
      <c r="A115" s="88" t="s">
        <v>74</v>
      </c>
      <c r="B115" s="31" t="s">
        <v>85</v>
      </c>
      <c r="C115" s="32">
        <f>226+197+296+292</f>
        <v>1011</v>
      </c>
      <c r="D115" s="32">
        <v>0</v>
      </c>
      <c r="E115" s="39">
        <f>51</f>
        <v>51</v>
      </c>
      <c r="F115" s="38"/>
      <c r="G115" s="39"/>
      <c r="H115" s="39"/>
      <c r="I115" s="32">
        <f>35</f>
        <v>35</v>
      </c>
      <c r="J115" s="32">
        <v>438</v>
      </c>
      <c r="K115" s="32">
        <v>437</v>
      </c>
      <c r="L115" s="32">
        <v>600</v>
      </c>
      <c r="M115" s="32">
        <v>435</v>
      </c>
      <c r="N115" s="32"/>
      <c r="O115" s="32">
        <v>268</v>
      </c>
      <c r="P115" s="32">
        <f>+E115+J115+L115</f>
        <v>1089</v>
      </c>
      <c r="Q115" s="32">
        <f>+I115+K115+M115+O115</f>
        <v>1175</v>
      </c>
      <c r="R115" s="32">
        <f t="shared" si="30"/>
        <v>-164</v>
      </c>
      <c r="S115" s="41">
        <f t="shared" si="33"/>
        <v>1.162215628090999</v>
      </c>
      <c r="T115" s="54">
        <f>292</f>
        <v>292</v>
      </c>
      <c r="U115" s="32">
        <f t="shared" si="31"/>
        <v>128</v>
      </c>
      <c r="V115" s="67">
        <f t="shared" si="32"/>
        <v>1.162215628090999</v>
      </c>
      <c r="X115" s="11">
        <f t="shared" si="22"/>
        <v>1303</v>
      </c>
    </row>
    <row r="116" spans="1:24" ht="20.25" customHeight="1">
      <c r="A116" s="88"/>
      <c r="B116" s="31" t="s">
        <v>86</v>
      </c>
      <c r="C116" s="32">
        <f>188+164+247+243</f>
        <v>842</v>
      </c>
      <c r="D116" s="32">
        <v>0</v>
      </c>
      <c r="E116" s="39">
        <v>60</v>
      </c>
      <c r="F116" s="38"/>
      <c r="G116" s="39"/>
      <c r="H116" s="39"/>
      <c r="I116" s="32">
        <v>0</v>
      </c>
      <c r="J116" s="32">
        <v>60</v>
      </c>
      <c r="K116" s="32">
        <v>60</v>
      </c>
      <c r="L116" s="32">
        <v>100</v>
      </c>
      <c r="M116" s="32">
        <v>73</v>
      </c>
      <c r="N116" s="32"/>
      <c r="O116" s="32">
        <v>351</v>
      </c>
      <c r="P116" s="32">
        <f>+E116+J116+L116</f>
        <v>220</v>
      </c>
      <c r="Q116" s="32">
        <f>+I116+K116+M116+O116</f>
        <v>484</v>
      </c>
      <c r="R116" s="32">
        <f t="shared" si="30"/>
        <v>358</v>
      </c>
      <c r="S116" s="41">
        <f t="shared" si="33"/>
        <v>0.5748218527315915</v>
      </c>
      <c r="T116" s="54">
        <f>243</f>
        <v>243</v>
      </c>
      <c r="U116" s="32">
        <f t="shared" si="31"/>
        <v>601</v>
      </c>
      <c r="V116" s="67">
        <f t="shared" si="32"/>
        <v>0.5748218527315915</v>
      </c>
      <c r="X116" s="11">
        <f t="shared" si="22"/>
        <v>1085</v>
      </c>
    </row>
    <row r="117" spans="1:24" ht="29.25" customHeight="1">
      <c r="A117" s="88"/>
      <c r="B117" s="31" t="s">
        <v>88</v>
      </c>
      <c r="C117" s="32">
        <f>195+185+219+217</f>
        <v>816</v>
      </c>
      <c r="D117" s="32">
        <v>0</v>
      </c>
      <c r="E117" s="39">
        <f>35</f>
        <v>35</v>
      </c>
      <c r="F117" s="38"/>
      <c r="G117" s="39"/>
      <c r="H117" s="39"/>
      <c r="I117" s="32">
        <v>8</v>
      </c>
      <c r="J117" s="32">
        <v>26</v>
      </c>
      <c r="K117" s="32">
        <v>25</v>
      </c>
      <c r="L117" s="32">
        <v>100</v>
      </c>
      <c r="M117" s="32">
        <v>27</v>
      </c>
      <c r="N117" s="32"/>
      <c r="O117" s="32">
        <v>0</v>
      </c>
      <c r="P117" s="32">
        <f>+E117+J117+L117</f>
        <v>161</v>
      </c>
      <c r="Q117" s="32">
        <f>+I117+K117+M117+O117</f>
        <v>60</v>
      </c>
      <c r="R117" s="32">
        <f t="shared" si="30"/>
        <v>756</v>
      </c>
      <c r="S117" s="41">
        <f t="shared" si="33"/>
        <v>0.07352941176470588</v>
      </c>
      <c r="T117" s="54">
        <f>217</f>
        <v>217</v>
      </c>
      <c r="U117" s="32">
        <f t="shared" si="31"/>
        <v>973</v>
      </c>
      <c r="V117" s="67">
        <f t="shared" si="32"/>
        <v>0.07352941176470588</v>
      </c>
      <c r="X117" s="11">
        <f t="shared" si="22"/>
        <v>1033</v>
      </c>
    </row>
    <row r="118" spans="1:24" ht="25.5" customHeight="1">
      <c r="A118" s="88"/>
      <c r="B118" s="31" t="s">
        <v>87</v>
      </c>
      <c r="C118" s="32">
        <f>40+25+40+40</f>
        <v>145</v>
      </c>
      <c r="D118" s="32">
        <v>0</v>
      </c>
      <c r="E118" s="39">
        <v>0</v>
      </c>
      <c r="F118" s="38"/>
      <c r="G118" s="39"/>
      <c r="H118" s="39"/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/>
      <c r="O118" s="32">
        <v>34</v>
      </c>
      <c r="P118" s="32">
        <f>+E118+J118+L118</f>
        <v>0</v>
      </c>
      <c r="Q118" s="32">
        <f>+I118+K118+M118+O118</f>
        <v>34</v>
      </c>
      <c r="R118" s="32">
        <f t="shared" si="30"/>
        <v>111</v>
      </c>
      <c r="S118" s="41">
        <f t="shared" si="33"/>
        <v>0.23448275862068965</v>
      </c>
      <c r="T118" s="54">
        <f>40</f>
        <v>40</v>
      </c>
      <c r="U118" s="32">
        <f t="shared" si="31"/>
        <v>151</v>
      </c>
      <c r="V118" s="67">
        <f t="shared" si="32"/>
        <v>0.23448275862068965</v>
      </c>
      <c r="X118" s="11">
        <f t="shared" si="22"/>
        <v>185</v>
      </c>
    </row>
    <row r="119" spans="1:24" ht="24" customHeight="1">
      <c r="A119" s="34" t="s">
        <v>4</v>
      </c>
      <c r="B119" s="42" t="s">
        <v>3</v>
      </c>
      <c r="C119" s="36">
        <f>SUM(C115:C118)</f>
        <v>2814</v>
      </c>
      <c r="D119" s="36">
        <f>SUM(D115:D118)</f>
        <v>0</v>
      </c>
      <c r="E119" s="36">
        <f>SUM(E115:E118)</f>
        <v>146</v>
      </c>
      <c r="F119" s="36">
        <f>SUM(F116:F118)</f>
        <v>0</v>
      </c>
      <c r="G119" s="36">
        <f>SUM(G116:G118)</f>
        <v>0</v>
      </c>
      <c r="H119" s="36">
        <f>SUM(H116:H118)</f>
        <v>0</v>
      </c>
      <c r="I119" s="36">
        <f aca="true" t="shared" si="36" ref="I119:Q119">SUM(I115:I118)</f>
        <v>43</v>
      </c>
      <c r="J119" s="36">
        <f t="shared" si="36"/>
        <v>524</v>
      </c>
      <c r="K119" s="36">
        <f t="shared" si="36"/>
        <v>522</v>
      </c>
      <c r="L119" s="36">
        <f t="shared" si="36"/>
        <v>800</v>
      </c>
      <c r="M119" s="36">
        <f t="shared" si="36"/>
        <v>535</v>
      </c>
      <c r="N119" s="36"/>
      <c r="O119" s="36">
        <f>SUM(O115:O118)</f>
        <v>653</v>
      </c>
      <c r="P119" s="36">
        <f t="shared" si="36"/>
        <v>1470</v>
      </c>
      <c r="Q119" s="36">
        <f t="shared" si="36"/>
        <v>1753</v>
      </c>
      <c r="R119" s="36">
        <f t="shared" si="30"/>
        <v>1061</v>
      </c>
      <c r="S119" s="47">
        <f t="shared" si="33"/>
        <v>0.6229566453447051</v>
      </c>
      <c r="T119" s="36">
        <f>SUM(T115:T118)</f>
        <v>792</v>
      </c>
      <c r="U119" s="36">
        <f t="shared" si="31"/>
        <v>1853</v>
      </c>
      <c r="V119" s="47">
        <f t="shared" si="32"/>
        <v>0.6229566453447051</v>
      </c>
      <c r="X119" s="11">
        <f t="shared" si="22"/>
        <v>3606</v>
      </c>
    </row>
    <row r="120" spans="1:24" ht="25.5" customHeight="1">
      <c r="A120" s="88" t="s">
        <v>75</v>
      </c>
      <c r="B120" s="31" t="s">
        <v>89</v>
      </c>
      <c r="C120" s="32">
        <f>471+344+778+760</f>
        <v>2353</v>
      </c>
      <c r="D120" s="32">
        <v>130</v>
      </c>
      <c r="E120" s="39">
        <f>563</f>
        <v>563</v>
      </c>
      <c r="F120" s="38"/>
      <c r="G120" s="39"/>
      <c r="H120" s="39"/>
      <c r="I120" s="32">
        <v>563</v>
      </c>
      <c r="J120" s="32">
        <v>640</v>
      </c>
      <c r="K120" s="32">
        <v>640</v>
      </c>
      <c r="L120" s="32">
        <v>900</v>
      </c>
      <c r="M120" s="32">
        <v>341</v>
      </c>
      <c r="N120" s="32"/>
      <c r="O120" s="32">
        <v>170</v>
      </c>
      <c r="P120" s="32">
        <f>+E120+J120+L120</f>
        <v>2103</v>
      </c>
      <c r="Q120" s="32">
        <f>+I120+K120+M120+O120</f>
        <v>1714</v>
      </c>
      <c r="R120" s="32">
        <f t="shared" si="30"/>
        <v>639</v>
      </c>
      <c r="S120" s="41">
        <f t="shared" si="33"/>
        <v>0.7284317892052699</v>
      </c>
      <c r="T120" s="54">
        <f>760</f>
        <v>760</v>
      </c>
      <c r="U120" s="32">
        <f t="shared" si="31"/>
        <v>1399</v>
      </c>
      <c r="V120" s="67">
        <f t="shared" si="32"/>
        <v>0.7284317892052699</v>
      </c>
      <c r="X120" s="11">
        <f t="shared" si="22"/>
        <v>3113</v>
      </c>
    </row>
    <row r="121" spans="1:24" ht="35.25" customHeight="1">
      <c r="A121" s="88"/>
      <c r="B121" s="31" t="s">
        <v>90</v>
      </c>
      <c r="C121" s="32">
        <f>1407+1280+1781+1776</f>
        <v>6244</v>
      </c>
      <c r="D121" s="32">
        <f>128+426</f>
        <v>554</v>
      </c>
      <c r="E121" s="39">
        <f>1973</f>
        <v>1973</v>
      </c>
      <c r="F121" s="38"/>
      <c r="G121" s="39"/>
      <c r="H121" s="39"/>
      <c r="I121" s="32">
        <f>1927</f>
        <v>1927</v>
      </c>
      <c r="J121" s="32">
        <v>6343</v>
      </c>
      <c r="K121" s="32">
        <v>6274</v>
      </c>
      <c r="L121" s="32">
        <v>5634</v>
      </c>
      <c r="M121" s="32">
        <v>4325</v>
      </c>
      <c r="N121" s="32"/>
      <c r="O121" s="32">
        <v>6742</v>
      </c>
      <c r="P121" s="32">
        <f>+E121+J121+L121</f>
        <v>13950</v>
      </c>
      <c r="Q121" s="32">
        <f>+I121+K121+M121+O121</f>
        <v>19268</v>
      </c>
      <c r="R121" s="32">
        <f t="shared" si="30"/>
        <v>-13024</v>
      </c>
      <c r="S121" s="41">
        <f t="shared" si="33"/>
        <v>3.085842408712364</v>
      </c>
      <c r="T121" s="54">
        <f>1776</f>
        <v>1776</v>
      </c>
      <c r="U121" s="32">
        <f t="shared" si="31"/>
        <v>-11248</v>
      </c>
      <c r="V121" s="67">
        <f t="shared" si="32"/>
        <v>3.085842408712364</v>
      </c>
      <c r="X121" s="11">
        <f t="shared" si="22"/>
        <v>8020</v>
      </c>
    </row>
    <row r="122" spans="1:24" ht="24" customHeight="1">
      <c r="A122" s="34" t="s">
        <v>4</v>
      </c>
      <c r="B122" s="42" t="s">
        <v>3</v>
      </c>
      <c r="C122" s="36">
        <f>SUM(C120:C121)</f>
        <v>8597</v>
      </c>
      <c r="D122" s="36">
        <f>SUM(D120:D121)</f>
        <v>684</v>
      </c>
      <c r="E122" s="36">
        <f>SUM(E120:E121)</f>
        <v>2536</v>
      </c>
      <c r="F122" s="36">
        <f>SUM(F119:F121)</f>
        <v>0</v>
      </c>
      <c r="G122" s="36">
        <f>SUM(G119:G121)</f>
        <v>0</v>
      </c>
      <c r="H122" s="36">
        <f>SUM(H119:H121)</f>
        <v>0</v>
      </c>
      <c r="I122" s="36">
        <f aca="true" t="shared" si="37" ref="I122:Q122">SUM(I120:I121)</f>
        <v>2490</v>
      </c>
      <c r="J122" s="36">
        <f t="shared" si="37"/>
        <v>6983</v>
      </c>
      <c r="K122" s="36">
        <f t="shared" si="37"/>
        <v>6914</v>
      </c>
      <c r="L122" s="36">
        <f t="shared" si="37"/>
        <v>6534</v>
      </c>
      <c r="M122" s="36">
        <f t="shared" si="37"/>
        <v>4666</v>
      </c>
      <c r="N122" s="36"/>
      <c r="O122" s="36">
        <f>SUM(O120:O121)</f>
        <v>6912</v>
      </c>
      <c r="P122" s="36">
        <f t="shared" si="37"/>
        <v>16053</v>
      </c>
      <c r="Q122" s="36">
        <f t="shared" si="37"/>
        <v>20982</v>
      </c>
      <c r="R122" s="36">
        <f t="shared" si="30"/>
        <v>-12385</v>
      </c>
      <c r="S122" s="47">
        <f t="shared" si="33"/>
        <v>2.4406188205187855</v>
      </c>
      <c r="T122" s="36">
        <f>SUM(T120:T121)</f>
        <v>2536</v>
      </c>
      <c r="U122" s="36">
        <f t="shared" si="31"/>
        <v>-9849</v>
      </c>
      <c r="V122" s="47">
        <f t="shared" si="32"/>
        <v>2.4406188205187855</v>
      </c>
      <c r="X122" s="11">
        <f t="shared" si="22"/>
        <v>11133</v>
      </c>
    </row>
    <row r="123" spans="1:24" ht="25.5" customHeight="1">
      <c r="A123" s="88" t="s">
        <v>76</v>
      </c>
      <c r="B123" s="31" t="s">
        <v>91</v>
      </c>
      <c r="C123" s="32">
        <f>81948+81546+89078+93480</f>
        <v>346052</v>
      </c>
      <c r="D123" s="32">
        <v>68566</v>
      </c>
      <c r="E123" s="39">
        <f>133320</f>
        <v>133320</v>
      </c>
      <c r="F123" s="38"/>
      <c r="G123" s="39"/>
      <c r="H123" s="39"/>
      <c r="I123" s="32">
        <f>133158</f>
        <v>133158</v>
      </c>
      <c r="J123" s="32">
        <v>168650</v>
      </c>
      <c r="K123" s="32">
        <v>168924</v>
      </c>
      <c r="L123" s="32">
        <v>154990</v>
      </c>
      <c r="M123" s="32">
        <v>167783</v>
      </c>
      <c r="N123" s="32"/>
      <c r="O123" s="32">
        <v>212001</v>
      </c>
      <c r="P123" s="32">
        <f>+E123+J123+L123</f>
        <v>456960</v>
      </c>
      <c r="Q123" s="32">
        <f>+I123+K123+M123+O123</f>
        <v>681866</v>
      </c>
      <c r="R123" s="32">
        <f t="shared" si="30"/>
        <v>-335814</v>
      </c>
      <c r="S123" s="41">
        <f t="shared" si="33"/>
        <v>1.9704148509472565</v>
      </c>
      <c r="T123" s="54">
        <f>93480</f>
        <v>93480</v>
      </c>
      <c r="U123" s="32">
        <f t="shared" si="31"/>
        <v>-242334</v>
      </c>
      <c r="V123" s="67">
        <f t="shared" si="32"/>
        <v>1.9704148509472565</v>
      </c>
      <c r="X123" s="11">
        <f t="shared" si="22"/>
        <v>439532</v>
      </c>
    </row>
    <row r="124" spans="1:24" ht="21.75" customHeight="1">
      <c r="A124" s="88"/>
      <c r="B124" s="31" t="s">
        <v>92</v>
      </c>
      <c r="C124" s="32">
        <f>78374+78479+78587+78698</f>
        <v>314138</v>
      </c>
      <c r="D124" s="32">
        <f>49+51</f>
        <v>100</v>
      </c>
      <c r="E124" s="39">
        <f>3495</f>
        <v>3495</v>
      </c>
      <c r="F124" s="38"/>
      <c r="G124" s="39"/>
      <c r="H124" s="39"/>
      <c r="I124" s="32">
        <f>1131</f>
        <v>1131</v>
      </c>
      <c r="J124" s="32">
        <v>7311</v>
      </c>
      <c r="K124" s="32">
        <v>6458</v>
      </c>
      <c r="L124" s="32">
        <v>8821</v>
      </c>
      <c r="M124" s="32">
        <v>8393</v>
      </c>
      <c r="N124" s="32"/>
      <c r="O124" s="32">
        <v>10048</v>
      </c>
      <c r="P124" s="32">
        <f>+E124+J124+L124</f>
        <v>19627</v>
      </c>
      <c r="Q124" s="32">
        <f>+I124+K124+M124+O124</f>
        <v>26030</v>
      </c>
      <c r="R124" s="32">
        <f t="shared" si="30"/>
        <v>288108</v>
      </c>
      <c r="S124" s="41">
        <f t="shared" si="33"/>
        <v>0.08286167225868886</v>
      </c>
      <c r="T124" s="54">
        <f>78698</f>
        <v>78698</v>
      </c>
      <c r="U124" s="32">
        <f t="shared" si="31"/>
        <v>366806</v>
      </c>
      <c r="V124" s="67">
        <f t="shared" si="32"/>
        <v>0.08286167225868886</v>
      </c>
      <c r="X124" s="11">
        <f t="shared" si="22"/>
        <v>392836</v>
      </c>
    </row>
    <row r="125" spans="1:24" ht="25.5" customHeight="1">
      <c r="A125" s="88"/>
      <c r="B125" s="31" t="s">
        <v>93</v>
      </c>
      <c r="C125" s="32">
        <f>888+648+1000+1467+1433</f>
        <v>5436</v>
      </c>
      <c r="D125" s="32">
        <v>0</v>
      </c>
      <c r="E125" s="39">
        <v>150</v>
      </c>
      <c r="F125" s="38"/>
      <c r="G125" s="39"/>
      <c r="H125" s="39"/>
      <c r="I125" s="32">
        <f>150</f>
        <v>150</v>
      </c>
      <c r="J125" s="32">
        <v>1115</v>
      </c>
      <c r="K125" s="32">
        <v>1115</v>
      </c>
      <c r="L125" s="32">
        <v>4932</v>
      </c>
      <c r="M125" s="32">
        <v>2825</v>
      </c>
      <c r="N125" s="32"/>
      <c r="O125" s="32">
        <v>17592</v>
      </c>
      <c r="P125" s="32">
        <f>+E125+J125+L125</f>
        <v>6197</v>
      </c>
      <c r="Q125" s="32">
        <f>+I125+K125+M125+O125</f>
        <v>21682</v>
      </c>
      <c r="R125" s="32">
        <f t="shared" si="30"/>
        <v>-16246</v>
      </c>
      <c r="S125" s="41">
        <f t="shared" si="33"/>
        <v>3.9885945548197204</v>
      </c>
      <c r="T125" s="54">
        <f>1433</f>
        <v>1433</v>
      </c>
      <c r="U125" s="32">
        <f t="shared" si="31"/>
        <v>-14813</v>
      </c>
      <c r="V125" s="67">
        <f t="shared" si="32"/>
        <v>3.9885945548197204</v>
      </c>
      <c r="X125" s="11">
        <f t="shared" si="22"/>
        <v>6869</v>
      </c>
    </row>
    <row r="126" spans="1:24" ht="24" customHeight="1">
      <c r="A126" s="34" t="s">
        <v>4</v>
      </c>
      <c r="B126" s="42" t="s">
        <v>3</v>
      </c>
      <c r="C126" s="36">
        <f aca="true" t="shared" si="38" ref="C126:H126">SUM(C123:C125)</f>
        <v>665626</v>
      </c>
      <c r="D126" s="36">
        <f t="shared" si="38"/>
        <v>68666</v>
      </c>
      <c r="E126" s="36">
        <f t="shared" si="38"/>
        <v>136965</v>
      </c>
      <c r="F126" s="36">
        <f t="shared" si="38"/>
        <v>0</v>
      </c>
      <c r="G126" s="36">
        <f t="shared" si="38"/>
        <v>0</v>
      </c>
      <c r="H126" s="36">
        <f t="shared" si="38"/>
        <v>0</v>
      </c>
      <c r="I126" s="36">
        <f aca="true" t="shared" si="39" ref="I126:Q126">SUM(I123:I125)</f>
        <v>134439</v>
      </c>
      <c r="J126" s="36">
        <f t="shared" si="39"/>
        <v>177076</v>
      </c>
      <c r="K126" s="36">
        <f t="shared" si="39"/>
        <v>176497</v>
      </c>
      <c r="L126" s="36">
        <f t="shared" si="39"/>
        <v>168743</v>
      </c>
      <c r="M126" s="36">
        <f t="shared" si="39"/>
        <v>179001</v>
      </c>
      <c r="N126" s="36"/>
      <c r="O126" s="36">
        <f>SUM(O123:O125)</f>
        <v>239641</v>
      </c>
      <c r="P126" s="36">
        <f t="shared" si="39"/>
        <v>482784</v>
      </c>
      <c r="Q126" s="36">
        <f t="shared" si="39"/>
        <v>729578</v>
      </c>
      <c r="R126" s="36">
        <f t="shared" si="30"/>
        <v>-63952</v>
      </c>
      <c r="S126" s="47">
        <f t="shared" si="33"/>
        <v>1.096077977723226</v>
      </c>
      <c r="T126" s="36">
        <f>SUM(T123:T125)</f>
        <v>173611</v>
      </c>
      <c r="U126" s="36">
        <f t="shared" si="31"/>
        <v>109659</v>
      </c>
      <c r="V126" s="47">
        <f t="shared" si="32"/>
        <v>1.096077977723226</v>
      </c>
      <c r="X126" s="11">
        <f t="shared" si="22"/>
        <v>839237</v>
      </c>
    </row>
    <row r="127" spans="1:24" ht="23.25" customHeight="1">
      <c r="A127" s="88" t="s">
        <v>77</v>
      </c>
      <c r="B127" s="31" t="s">
        <v>94</v>
      </c>
      <c r="C127" s="32">
        <f>5456+5056+5901+6675</f>
        <v>23088</v>
      </c>
      <c r="D127" s="32">
        <f>201+1059+325+341</f>
        <v>1926</v>
      </c>
      <c r="E127" s="39">
        <f>3681</f>
        <v>3681</v>
      </c>
      <c r="F127" s="38"/>
      <c r="G127" s="39"/>
      <c r="H127" s="39"/>
      <c r="I127" s="32">
        <f>3629</f>
        <v>3629</v>
      </c>
      <c r="J127" s="32">
        <v>14856</v>
      </c>
      <c r="K127" s="32">
        <v>6127</v>
      </c>
      <c r="L127" s="32">
        <v>7213</v>
      </c>
      <c r="M127" s="32">
        <v>14134</v>
      </c>
      <c r="N127" s="32"/>
      <c r="O127" s="32">
        <v>4851</v>
      </c>
      <c r="P127" s="32">
        <f>+E127+J127+L127</f>
        <v>25750</v>
      </c>
      <c r="Q127" s="32">
        <f>+I127+K127+M127+O127</f>
        <v>28741</v>
      </c>
      <c r="R127" s="32">
        <f t="shared" si="30"/>
        <v>-5653</v>
      </c>
      <c r="S127" s="41">
        <f t="shared" si="33"/>
        <v>1.2448458073458073</v>
      </c>
      <c r="T127" s="54">
        <f>6675</f>
        <v>6675</v>
      </c>
      <c r="U127" s="32">
        <f t="shared" si="31"/>
        <v>1022</v>
      </c>
      <c r="V127" s="67">
        <f t="shared" si="32"/>
        <v>1.2448458073458073</v>
      </c>
      <c r="X127" s="11">
        <f t="shared" si="22"/>
        <v>29763</v>
      </c>
    </row>
    <row r="128" spans="1:24" ht="20.25" customHeight="1">
      <c r="A128" s="88"/>
      <c r="B128" s="31" t="s">
        <v>95</v>
      </c>
      <c r="C128" s="32">
        <f>535+525+558+557</f>
        <v>2175</v>
      </c>
      <c r="D128" s="32">
        <v>0</v>
      </c>
      <c r="E128" s="39">
        <f>50</f>
        <v>50</v>
      </c>
      <c r="F128" s="38"/>
      <c r="G128" s="39"/>
      <c r="H128" s="39"/>
      <c r="I128" s="32">
        <v>50</v>
      </c>
      <c r="J128" s="32">
        <v>20577</v>
      </c>
      <c r="K128" s="32">
        <v>6820</v>
      </c>
      <c r="L128" s="32">
        <v>800</v>
      </c>
      <c r="M128" s="32">
        <v>4364</v>
      </c>
      <c r="N128" s="32"/>
      <c r="O128" s="32">
        <v>3010</v>
      </c>
      <c r="P128" s="32">
        <f>+E128+J128+L128</f>
        <v>21427</v>
      </c>
      <c r="Q128" s="32">
        <f>+I128+K128+M128+O128</f>
        <v>14244</v>
      </c>
      <c r="R128" s="32">
        <f t="shared" si="30"/>
        <v>-12069</v>
      </c>
      <c r="S128" s="41">
        <f t="shared" si="33"/>
        <v>6.548965517241379</v>
      </c>
      <c r="T128" s="54">
        <f>557</f>
        <v>557</v>
      </c>
      <c r="U128" s="32">
        <f t="shared" si="31"/>
        <v>-11512</v>
      </c>
      <c r="V128" s="67">
        <f t="shared" si="32"/>
        <v>6.548965517241379</v>
      </c>
      <c r="X128" s="11">
        <f t="shared" si="22"/>
        <v>2732</v>
      </c>
    </row>
    <row r="129" spans="1:24" ht="18" customHeight="1">
      <c r="A129" s="88"/>
      <c r="B129" s="31" t="s">
        <v>96</v>
      </c>
      <c r="C129" s="32">
        <f>2453+2438+2488+2486</f>
        <v>9865</v>
      </c>
      <c r="D129" s="32">
        <v>0</v>
      </c>
      <c r="E129" s="39">
        <v>0</v>
      </c>
      <c r="F129" s="38"/>
      <c r="G129" s="39"/>
      <c r="H129" s="39"/>
      <c r="I129" s="32">
        <v>0</v>
      </c>
      <c r="J129" s="32">
        <v>38857</v>
      </c>
      <c r="K129" s="32">
        <v>20045</v>
      </c>
      <c r="L129" s="32">
        <v>12085</v>
      </c>
      <c r="M129" s="32">
        <v>90</v>
      </c>
      <c r="N129" s="32"/>
      <c r="O129" s="32">
        <f>50+39668</f>
        <v>39718</v>
      </c>
      <c r="P129" s="32">
        <f>+E129+J129+L129</f>
        <v>50942</v>
      </c>
      <c r="Q129" s="32">
        <f>+I129+K129+M129+O129</f>
        <v>59853</v>
      </c>
      <c r="R129" s="32">
        <f t="shared" si="30"/>
        <v>-49988</v>
      </c>
      <c r="S129" s="41">
        <f t="shared" si="33"/>
        <v>6.067207298530157</v>
      </c>
      <c r="T129" s="54">
        <f>2486</f>
        <v>2486</v>
      </c>
      <c r="U129" s="32">
        <f t="shared" si="31"/>
        <v>-47502</v>
      </c>
      <c r="V129" s="67">
        <f t="shared" si="32"/>
        <v>6.067207298530157</v>
      </c>
      <c r="X129" s="11">
        <f t="shared" si="22"/>
        <v>12351</v>
      </c>
    </row>
    <row r="130" spans="1:24" ht="19.5" customHeight="1">
      <c r="A130" s="88"/>
      <c r="B130" s="31" t="s">
        <v>97</v>
      </c>
      <c r="C130" s="32">
        <f>871+851+917+915</f>
        <v>3554</v>
      </c>
      <c r="D130" s="32">
        <v>0</v>
      </c>
      <c r="E130" s="39">
        <v>0</v>
      </c>
      <c r="F130" s="38"/>
      <c r="G130" s="39"/>
      <c r="H130" s="39"/>
      <c r="I130" s="32">
        <v>0</v>
      </c>
      <c r="J130" s="32">
        <v>5251</v>
      </c>
      <c r="K130" s="32">
        <v>250</v>
      </c>
      <c r="L130" s="32">
        <v>811</v>
      </c>
      <c r="M130" s="32">
        <v>1553</v>
      </c>
      <c r="N130" s="32"/>
      <c r="O130" s="32">
        <v>8885</v>
      </c>
      <c r="P130" s="32">
        <f>+E130+J130+L130</f>
        <v>6062</v>
      </c>
      <c r="Q130" s="32">
        <f>+I130+K130+M130+O130</f>
        <v>10688</v>
      </c>
      <c r="R130" s="32">
        <f t="shared" si="30"/>
        <v>-7134</v>
      </c>
      <c r="S130" s="41">
        <f t="shared" si="33"/>
        <v>3.0073157006190208</v>
      </c>
      <c r="T130" s="54">
        <f>915</f>
        <v>915</v>
      </c>
      <c r="U130" s="32">
        <f t="shared" si="31"/>
        <v>-6219</v>
      </c>
      <c r="V130" s="67">
        <f t="shared" si="32"/>
        <v>3.0073157006190208</v>
      </c>
      <c r="X130" s="11">
        <f t="shared" si="22"/>
        <v>4469</v>
      </c>
    </row>
    <row r="131" spans="1:24" ht="22.5" customHeight="1">
      <c r="A131" s="34" t="s">
        <v>4</v>
      </c>
      <c r="B131" s="42" t="s">
        <v>3</v>
      </c>
      <c r="C131" s="36">
        <f>SUM(C127:C130)</f>
        <v>38682</v>
      </c>
      <c r="D131" s="36">
        <f>SUM(D127:D130)</f>
        <v>1926</v>
      </c>
      <c r="E131" s="36">
        <f>SUM(E127:E130)</f>
        <v>3731</v>
      </c>
      <c r="F131" s="36">
        <f>SUM(F128:F130)</f>
        <v>0</v>
      </c>
      <c r="G131" s="36">
        <f>SUM(G128:G130)</f>
        <v>0</v>
      </c>
      <c r="H131" s="36">
        <f>SUM(H128:H130)</f>
        <v>0</v>
      </c>
      <c r="I131" s="36">
        <f aca="true" t="shared" si="40" ref="I131:Q131">SUM(I127:I130)</f>
        <v>3679</v>
      </c>
      <c r="J131" s="36">
        <f t="shared" si="40"/>
        <v>79541</v>
      </c>
      <c r="K131" s="36">
        <f t="shared" si="40"/>
        <v>33242</v>
      </c>
      <c r="L131" s="36">
        <f t="shared" si="40"/>
        <v>20909</v>
      </c>
      <c r="M131" s="36">
        <f t="shared" si="40"/>
        <v>20141</v>
      </c>
      <c r="N131" s="36"/>
      <c r="O131" s="36">
        <f>SUM(O127:O130)</f>
        <v>56464</v>
      </c>
      <c r="P131" s="36">
        <f t="shared" si="40"/>
        <v>104181</v>
      </c>
      <c r="Q131" s="36">
        <f t="shared" si="40"/>
        <v>113526</v>
      </c>
      <c r="R131" s="36">
        <f t="shared" si="30"/>
        <v>-74844</v>
      </c>
      <c r="S131" s="47">
        <f t="shared" si="33"/>
        <v>2.9348534201954397</v>
      </c>
      <c r="T131" s="36">
        <f>SUM(T127:T130)</f>
        <v>10633</v>
      </c>
      <c r="U131" s="36">
        <f t="shared" si="31"/>
        <v>-64211</v>
      </c>
      <c r="V131" s="47">
        <f t="shared" si="32"/>
        <v>2.9348534201954397</v>
      </c>
      <c r="X131" s="11">
        <f t="shared" si="22"/>
        <v>49315</v>
      </c>
    </row>
    <row r="132" spans="1:24" ht="21.75" customHeight="1">
      <c r="A132" s="88" t="s">
        <v>78</v>
      </c>
      <c r="B132" s="31" t="s">
        <v>98</v>
      </c>
      <c r="C132" s="32">
        <f>5211+4994+5733+5702</f>
        <v>21640</v>
      </c>
      <c r="D132" s="32">
        <v>102</v>
      </c>
      <c r="E132" s="39">
        <f>202</f>
        <v>202</v>
      </c>
      <c r="F132" s="38"/>
      <c r="G132" s="39"/>
      <c r="H132" s="39"/>
      <c r="I132" s="32">
        <v>202</v>
      </c>
      <c r="J132" s="32">
        <v>850</v>
      </c>
      <c r="K132" s="32">
        <v>850</v>
      </c>
      <c r="L132" s="32">
        <v>793</v>
      </c>
      <c r="M132" s="32">
        <v>793</v>
      </c>
      <c r="N132" s="32"/>
      <c r="O132" s="32">
        <v>430</v>
      </c>
      <c r="P132" s="32">
        <f>+E132+J132+L132</f>
        <v>1845</v>
      </c>
      <c r="Q132" s="32">
        <f>+I132+K132+M132+O132</f>
        <v>2275</v>
      </c>
      <c r="R132" s="32">
        <f t="shared" si="30"/>
        <v>19365</v>
      </c>
      <c r="S132" s="41">
        <f t="shared" si="33"/>
        <v>0.10512939001848429</v>
      </c>
      <c r="T132" s="54">
        <f>5702</f>
        <v>5702</v>
      </c>
      <c r="U132" s="32">
        <f t="shared" si="31"/>
        <v>25067</v>
      </c>
      <c r="V132" s="67">
        <f t="shared" si="32"/>
        <v>0.10512939001848429</v>
      </c>
      <c r="X132" s="11">
        <f t="shared" si="22"/>
        <v>27342</v>
      </c>
    </row>
    <row r="133" spans="1:24" ht="21.75" customHeight="1">
      <c r="A133" s="88"/>
      <c r="B133" s="31" t="s">
        <v>99</v>
      </c>
      <c r="C133" s="32">
        <f>1919+1401+3170+3094</f>
        <v>9584</v>
      </c>
      <c r="D133" s="32">
        <f>112+264</f>
        <v>376</v>
      </c>
      <c r="E133" s="39">
        <f>598</f>
        <v>598</v>
      </c>
      <c r="F133" s="38"/>
      <c r="G133" s="39"/>
      <c r="H133" s="39"/>
      <c r="I133" s="32">
        <v>598</v>
      </c>
      <c r="J133" s="32">
        <v>1700</v>
      </c>
      <c r="K133" s="32">
        <v>1700</v>
      </c>
      <c r="L133" s="32">
        <v>1889</v>
      </c>
      <c r="M133" s="32">
        <v>1810</v>
      </c>
      <c r="N133" s="32"/>
      <c r="O133" s="32">
        <v>1203</v>
      </c>
      <c r="P133" s="32">
        <f>+E133+J133+L133</f>
        <v>4187</v>
      </c>
      <c r="Q133" s="32">
        <f>+I133+K133+M133+O133</f>
        <v>5311</v>
      </c>
      <c r="R133" s="32">
        <f t="shared" si="30"/>
        <v>4273</v>
      </c>
      <c r="S133" s="41">
        <f t="shared" si="33"/>
        <v>0.554152754590985</v>
      </c>
      <c r="T133" s="54">
        <f>3094</f>
        <v>3094</v>
      </c>
      <c r="U133" s="32">
        <f t="shared" si="31"/>
        <v>7367</v>
      </c>
      <c r="V133" s="67">
        <f t="shared" si="32"/>
        <v>0.554152754590985</v>
      </c>
      <c r="X133" s="11">
        <f t="shared" si="22"/>
        <v>12678</v>
      </c>
    </row>
    <row r="134" spans="1:24" ht="26.25" customHeight="1">
      <c r="A134" s="34" t="s">
        <v>4</v>
      </c>
      <c r="B134" s="42" t="s">
        <v>3</v>
      </c>
      <c r="C134" s="36">
        <f>SUM(C132:C133)</f>
        <v>31224</v>
      </c>
      <c r="D134" s="36">
        <f>SUM(D132:D133)</f>
        <v>478</v>
      </c>
      <c r="E134" s="36">
        <f>SUM(E132:E133)</f>
        <v>800</v>
      </c>
      <c r="F134" s="36">
        <f>SUM(F131:F133)</f>
        <v>0</v>
      </c>
      <c r="G134" s="36">
        <f>SUM(G131:G133)</f>
        <v>0</v>
      </c>
      <c r="H134" s="36">
        <f>SUM(H131:H133)</f>
        <v>0</v>
      </c>
      <c r="I134" s="36">
        <f aca="true" t="shared" si="41" ref="I134:Q134">SUM(I132:I133)</f>
        <v>800</v>
      </c>
      <c r="J134" s="36">
        <f t="shared" si="41"/>
        <v>2550</v>
      </c>
      <c r="K134" s="36">
        <f t="shared" si="41"/>
        <v>2550</v>
      </c>
      <c r="L134" s="36">
        <f t="shared" si="41"/>
        <v>2682</v>
      </c>
      <c r="M134" s="36">
        <f t="shared" si="41"/>
        <v>2603</v>
      </c>
      <c r="N134" s="36"/>
      <c r="O134" s="36">
        <f>SUM(O132:O133)</f>
        <v>1633</v>
      </c>
      <c r="P134" s="36">
        <f t="shared" si="41"/>
        <v>6032</v>
      </c>
      <c r="Q134" s="36">
        <f t="shared" si="41"/>
        <v>7586</v>
      </c>
      <c r="R134" s="36">
        <f t="shared" si="30"/>
        <v>23638</v>
      </c>
      <c r="S134" s="47">
        <f t="shared" si="33"/>
        <v>0.2429541378426851</v>
      </c>
      <c r="T134" s="36">
        <f>SUM(T132:T133)</f>
        <v>8796</v>
      </c>
      <c r="U134" s="36">
        <f t="shared" si="31"/>
        <v>32434</v>
      </c>
      <c r="V134" s="47">
        <f t="shared" si="32"/>
        <v>0.2429541378426851</v>
      </c>
      <c r="X134" s="11">
        <f t="shared" si="22"/>
        <v>40020</v>
      </c>
    </row>
    <row r="135" spans="1:24" ht="19.5" customHeight="1">
      <c r="A135" s="88" t="s">
        <v>6</v>
      </c>
      <c r="B135" s="31" t="s">
        <v>100</v>
      </c>
      <c r="C135" s="32">
        <f>554+461+780+765</f>
        <v>2560</v>
      </c>
      <c r="D135" s="32">
        <v>0</v>
      </c>
      <c r="E135" s="39">
        <f>260</f>
        <v>260</v>
      </c>
      <c r="F135" s="38"/>
      <c r="G135" s="39"/>
      <c r="H135" s="39"/>
      <c r="I135" s="32">
        <v>260</v>
      </c>
      <c r="J135" s="32">
        <v>251</v>
      </c>
      <c r="K135" s="32">
        <v>251</v>
      </c>
      <c r="L135" s="32">
        <v>666</v>
      </c>
      <c r="M135" s="32">
        <v>666</v>
      </c>
      <c r="N135" s="32"/>
      <c r="O135" s="32">
        <v>350</v>
      </c>
      <c r="P135" s="32">
        <f>+E135+J135+L135</f>
        <v>1177</v>
      </c>
      <c r="Q135" s="32">
        <f>+I135+K135+M135+O135</f>
        <v>1527</v>
      </c>
      <c r="R135" s="32">
        <f t="shared" si="30"/>
        <v>1033</v>
      </c>
      <c r="S135" s="41">
        <f t="shared" si="33"/>
        <v>0.596484375</v>
      </c>
      <c r="T135" s="54">
        <f>765</f>
        <v>765</v>
      </c>
      <c r="U135" s="32">
        <f t="shared" si="31"/>
        <v>1798</v>
      </c>
      <c r="V135" s="67">
        <f t="shared" si="32"/>
        <v>0.596484375</v>
      </c>
      <c r="X135" s="11">
        <f t="shared" si="22"/>
        <v>3325</v>
      </c>
    </row>
    <row r="136" spans="1:24" ht="25.5" customHeight="1">
      <c r="A136" s="88"/>
      <c r="B136" s="31" t="s">
        <v>101</v>
      </c>
      <c r="C136" s="32">
        <f>1918+1678+2497+2462</f>
        <v>8555</v>
      </c>
      <c r="D136" s="32">
        <f>30+515+63</f>
        <v>608</v>
      </c>
      <c r="E136" s="39">
        <f>10033</f>
        <v>10033</v>
      </c>
      <c r="F136" s="38"/>
      <c r="G136" s="39"/>
      <c r="H136" s="39"/>
      <c r="I136" s="32">
        <v>1040</v>
      </c>
      <c r="J136" s="32">
        <v>7575</v>
      </c>
      <c r="K136" s="32">
        <v>5852</v>
      </c>
      <c r="L136" s="32">
        <v>3621</v>
      </c>
      <c r="M136" s="32">
        <v>3882</v>
      </c>
      <c r="N136" s="32"/>
      <c r="O136" s="32">
        <v>7942</v>
      </c>
      <c r="P136" s="32">
        <f>+E136+J136+L136</f>
        <v>21229</v>
      </c>
      <c r="Q136" s="32">
        <f>+I136+K136+M136+O136</f>
        <v>18716</v>
      </c>
      <c r="R136" s="32">
        <f t="shared" si="30"/>
        <v>-10161</v>
      </c>
      <c r="S136" s="41">
        <f t="shared" si="33"/>
        <v>2.1877264757451784</v>
      </c>
      <c r="T136" s="54">
        <f>2462</f>
        <v>2462</v>
      </c>
      <c r="U136" s="32">
        <f t="shared" si="31"/>
        <v>-7699</v>
      </c>
      <c r="V136" s="67">
        <f t="shared" si="32"/>
        <v>2.1877264757451784</v>
      </c>
      <c r="X136" s="11">
        <f t="shared" si="22"/>
        <v>11017</v>
      </c>
    </row>
    <row r="137" spans="1:24" ht="18" customHeight="1">
      <c r="A137" s="88"/>
      <c r="B137" s="31" t="s">
        <v>102</v>
      </c>
      <c r="C137" s="32">
        <f>2004+1668+2814+2765</f>
        <v>9251</v>
      </c>
      <c r="D137" s="32">
        <v>0</v>
      </c>
      <c r="E137" s="39">
        <v>0</v>
      </c>
      <c r="F137" s="38"/>
      <c r="G137" s="39"/>
      <c r="H137" s="39"/>
      <c r="I137" s="32">
        <v>0</v>
      </c>
      <c r="J137" s="32">
        <v>908</v>
      </c>
      <c r="K137" s="32">
        <v>908</v>
      </c>
      <c r="L137" s="32">
        <v>1400</v>
      </c>
      <c r="M137" s="32">
        <v>1400</v>
      </c>
      <c r="N137" s="32"/>
      <c r="O137" s="32">
        <v>488</v>
      </c>
      <c r="P137" s="32">
        <f>+E137+J137+L137</f>
        <v>2308</v>
      </c>
      <c r="Q137" s="32">
        <f>+I137+K137+M137+O137</f>
        <v>2796</v>
      </c>
      <c r="R137" s="32">
        <f t="shared" si="30"/>
        <v>6455</v>
      </c>
      <c r="S137" s="41">
        <f t="shared" si="33"/>
        <v>0.30223759593557453</v>
      </c>
      <c r="T137" s="54">
        <f>2765</f>
        <v>2765</v>
      </c>
      <c r="U137" s="32">
        <f t="shared" si="31"/>
        <v>9220</v>
      </c>
      <c r="V137" s="67">
        <f t="shared" si="32"/>
        <v>0.30223759593557453</v>
      </c>
      <c r="X137" s="11">
        <f t="shared" si="22"/>
        <v>12016</v>
      </c>
    </row>
    <row r="138" spans="1:24" ht="24.75" customHeight="1">
      <c r="A138" s="34" t="s">
        <v>4</v>
      </c>
      <c r="B138" s="42" t="s">
        <v>3</v>
      </c>
      <c r="C138" s="36">
        <f aca="true" t="shared" si="42" ref="C138:H138">SUM(C135:C137)</f>
        <v>20366</v>
      </c>
      <c r="D138" s="36">
        <f t="shared" si="42"/>
        <v>608</v>
      </c>
      <c r="E138" s="36">
        <f t="shared" si="42"/>
        <v>10293</v>
      </c>
      <c r="F138" s="36">
        <f t="shared" si="42"/>
        <v>0</v>
      </c>
      <c r="G138" s="36">
        <f t="shared" si="42"/>
        <v>0</v>
      </c>
      <c r="H138" s="36">
        <f t="shared" si="42"/>
        <v>0</v>
      </c>
      <c r="I138" s="36">
        <f aca="true" t="shared" si="43" ref="I138:Q138">SUM(I135:I137)</f>
        <v>1300</v>
      </c>
      <c r="J138" s="36">
        <f t="shared" si="43"/>
        <v>8734</v>
      </c>
      <c r="K138" s="36">
        <f t="shared" si="43"/>
        <v>7011</v>
      </c>
      <c r="L138" s="36">
        <f t="shared" si="43"/>
        <v>5687</v>
      </c>
      <c r="M138" s="36">
        <f t="shared" si="43"/>
        <v>5948</v>
      </c>
      <c r="N138" s="36"/>
      <c r="O138" s="36">
        <f>SUM(O135:O137)</f>
        <v>8780</v>
      </c>
      <c r="P138" s="36">
        <f t="shared" si="43"/>
        <v>24714</v>
      </c>
      <c r="Q138" s="36">
        <f t="shared" si="43"/>
        <v>23039</v>
      </c>
      <c r="R138" s="36">
        <f t="shared" si="30"/>
        <v>-2673</v>
      </c>
      <c r="S138" s="47">
        <f t="shared" si="33"/>
        <v>1.1312481586958656</v>
      </c>
      <c r="T138" s="36">
        <f>SUM(T135:T137)</f>
        <v>5992</v>
      </c>
      <c r="U138" s="36">
        <f t="shared" si="31"/>
        <v>3319</v>
      </c>
      <c r="V138" s="47">
        <f t="shared" si="32"/>
        <v>1.1312481586958656</v>
      </c>
      <c r="X138" s="11">
        <f aca="true" t="shared" si="44" ref="X138:X196">+T138+C138</f>
        <v>26358</v>
      </c>
    </row>
    <row r="139" spans="1:24" ht="33" customHeight="1">
      <c r="A139" s="27" t="s">
        <v>79</v>
      </c>
      <c r="B139" s="43"/>
      <c r="C139" s="82">
        <f>+C114+C119+C122+C126+C131+C134+C138</f>
        <v>1084476</v>
      </c>
      <c r="D139" s="62">
        <f>+D114+D119+D122+D126+D131+D134+D138</f>
        <v>72530</v>
      </c>
      <c r="E139" s="62">
        <f>+E114+E119+E122+E126+E131+E134+E138</f>
        <v>157640</v>
      </c>
      <c r="F139" s="62">
        <f>+F114</f>
        <v>0</v>
      </c>
      <c r="G139" s="62">
        <f>+G114</f>
        <v>0</v>
      </c>
      <c r="H139" s="62">
        <f>+H114</f>
        <v>0</v>
      </c>
      <c r="I139" s="62">
        <f aca="true" t="shared" si="45" ref="I139:P139">+I114+I119+I122+I126+I131+I134+I138</f>
        <v>145672</v>
      </c>
      <c r="J139" s="69">
        <f t="shared" si="45"/>
        <v>280371</v>
      </c>
      <c r="K139" s="69">
        <f t="shared" si="45"/>
        <v>231103</v>
      </c>
      <c r="L139" s="77">
        <f t="shared" si="45"/>
        <v>208005</v>
      </c>
      <c r="M139" s="77">
        <f t="shared" si="45"/>
        <v>214923</v>
      </c>
      <c r="N139" s="82"/>
      <c r="O139" s="82">
        <f>+O114+O119+O122+O126+O131+O134+O138</f>
        <v>315167</v>
      </c>
      <c r="P139" s="62">
        <f t="shared" si="45"/>
        <v>646016</v>
      </c>
      <c r="Q139" s="62">
        <f>+Q114+Q119+Q122+Q126+Q131+Q138+Q134</f>
        <v>906865</v>
      </c>
      <c r="R139" s="62">
        <f t="shared" si="30"/>
        <v>177611</v>
      </c>
      <c r="S139" s="44">
        <f t="shared" si="33"/>
        <v>0.8362241303634198</v>
      </c>
      <c r="T139" s="62">
        <f>+T114+T119+T122+T126+T131+T134+T138</f>
        <v>288948</v>
      </c>
      <c r="U139" s="62">
        <f t="shared" si="31"/>
        <v>466559</v>
      </c>
      <c r="V139" s="68">
        <f t="shared" si="32"/>
        <v>0.8362241303634198</v>
      </c>
      <c r="X139" s="11">
        <f t="shared" si="44"/>
        <v>1373424</v>
      </c>
    </row>
    <row r="140" spans="1:24" ht="24" customHeight="1">
      <c r="A140" s="13"/>
      <c r="B140" s="28"/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 t="s">
        <v>3</v>
      </c>
      <c r="Q140" s="30" t="s">
        <v>3</v>
      </c>
      <c r="R140" s="30" t="s">
        <v>3</v>
      </c>
      <c r="S140" s="13"/>
      <c r="T140" s="57" t="s">
        <v>3</v>
      </c>
      <c r="U140" s="57"/>
      <c r="X140" s="11" t="e">
        <f t="shared" si="44"/>
        <v>#VALUE!</v>
      </c>
    </row>
    <row r="141" spans="1:24" ht="12.75">
      <c r="A141" s="13"/>
      <c r="B141" s="28"/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3"/>
      <c r="T141" s="57"/>
      <c r="U141" s="57"/>
      <c r="X141" s="11">
        <f t="shared" si="44"/>
        <v>0</v>
      </c>
    </row>
    <row r="142" spans="1:24" ht="12.75">
      <c r="A142" s="89" t="s">
        <v>7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X142" s="11">
        <f t="shared" si="44"/>
        <v>0</v>
      </c>
    </row>
    <row r="143" spans="1:24" ht="12.75">
      <c r="A143" s="92" t="s">
        <v>8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X143" s="11">
        <f t="shared" si="44"/>
        <v>0</v>
      </c>
    </row>
    <row r="144" spans="1:24" ht="12.75">
      <c r="A144" s="92" t="s">
        <v>159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X144" s="11">
        <f t="shared" si="44"/>
        <v>0</v>
      </c>
    </row>
    <row r="145" spans="1:24" ht="12.75" customHeight="1">
      <c r="A145" s="89" t="s">
        <v>132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X145" s="11">
        <f t="shared" si="44"/>
        <v>0</v>
      </c>
    </row>
    <row r="146" spans="1:24" ht="12.75">
      <c r="A146" s="92" t="s">
        <v>3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52"/>
      <c r="U146" s="52"/>
      <c r="V146" s="52"/>
      <c r="X146" s="11">
        <f t="shared" si="44"/>
        <v>0</v>
      </c>
    </row>
    <row r="147" spans="1:24" ht="12.75">
      <c r="A147" s="97" t="s">
        <v>2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53"/>
      <c r="U147" s="53"/>
      <c r="V147" s="53"/>
      <c r="X147" s="11">
        <f t="shared" si="44"/>
        <v>0</v>
      </c>
    </row>
    <row r="148" spans="1:24" ht="26.25" customHeight="1">
      <c r="A148" s="94" t="s">
        <v>0</v>
      </c>
      <c r="B148" s="94" t="s">
        <v>1</v>
      </c>
      <c r="C148" s="94" t="s">
        <v>158</v>
      </c>
      <c r="D148" s="87" t="s">
        <v>10</v>
      </c>
      <c r="E148" s="87" t="s">
        <v>140</v>
      </c>
      <c r="F148" s="87" t="s">
        <v>11</v>
      </c>
      <c r="G148" s="87" t="s">
        <v>12</v>
      </c>
      <c r="H148" s="87" t="s">
        <v>13</v>
      </c>
      <c r="I148" s="87" t="s">
        <v>145</v>
      </c>
      <c r="J148" s="87" t="s">
        <v>142</v>
      </c>
      <c r="K148" s="87" t="s">
        <v>143</v>
      </c>
      <c r="L148" s="87" t="s">
        <v>150</v>
      </c>
      <c r="M148" s="87" t="s">
        <v>151</v>
      </c>
      <c r="N148" s="80"/>
      <c r="O148" s="87" t="s">
        <v>157</v>
      </c>
      <c r="P148" s="90" t="s">
        <v>152</v>
      </c>
      <c r="Q148" s="90" t="s">
        <v>153</v>
      </c>
      <c r="R148" s="90" t="s">
        <v>154</v>
      </c>
      <c r="S148" s="94" t="s">
        <v>138</v>
      </c>
      <c r="T148" s="107" t="s">
        <v>155</v>
      </c>
      <c r="U148" s="87" t="s">
        <v>147</v>
      </c>
      <c r="V148" s="87" t="s">
        <v>148</v>
      </c>
      <c r="X148" s="11" t="e">
        <f t="shared" si="44"/>
        <v>#VALUE!</v>
      </c>
    </row>
    <row r="149" spans="1:24" ht="24" customHeight="1">
      <c r="A149" s="94"/>
      <c r="B149" s="94"/>
      <c r="C149" s="94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1"/>
      <c r="O149" s="87"/>
      <c r="P149" s="91"/>
      <c r="Q149" s="91"/>
      <c r="R149" s="91"/>
      <c r="S149" s="94"/>
      <c r="T149" s="107"/>
      <c r="U149" s="87"/>
      <c r="V149" s="87" t="s">
        <v>148</v>
      </c>
      <c r="X149" s="11">
        <f t="shared" si="44"/>
        <v>0</v>
      </c>
    </row>
    <row r="150" spans="1:24" ht="20.25" customHeight="1">
      <c r="A150" s="88" t="s">
        <v>103</v>
      </c>
      <c r="B150" s="31" t="s">
        <v>109</v>
      </c>
      <c r="C150" s="32">
        <f>5549+5716+5886+6063</f>
        <v>23214</v>
      </c>
      <c r="D150" s="32">
        <f>39+5184</f>
        <v>5223</v>
      </c>
      <c r="E150" s="39">
        <f>12587</f>
        <v>12587</v>
      </c>
      <c r="F150" s="38"/>
      <c r="G150" s="39"/>
      <c r="H150" s="39"/>
      <c r="I150" s="32">
        <f>7786</f>
        <v>7786</v>
      </c>
      <c r="J150" s="32">
        <v>19076</v>
      </c>
      <c r="K150" s="32">
        <v>17689</v>
      </c>
      <c r="L150" s="32">
        <v>18587</v>
      </c>
      <c r="M150" s="32">
        <v>15624</v>
      </c>
      <c r="N150" s="32"/>
      <c r="O150" s="32">
        <v>14390</v>
      </c>
      <c r="P150" s="32">
        <f>+E150+J150+L150</f>
        <v>50250</v>
      </c>
      <c r="Q150" s="32">
        <f>+I150+K150+M150+O150</f>
        <v>55489</v>
      </c>
      <c r="R150" s="71">
        <f aca="true" t="shared" si="46" ref="R150:R180">+C150-Q150</f>
        <v>-32275</v>
      </c>
      <c r="S150" s="41">
        <f>+Q150/C150</f>
        <v>2.3903248039975877</v>
      </c>
      <c r="T150" s="54">
        <f>6063</f>
        <v>6063</v>
      </c>
      <c r="U150" s="32">
        <f aca="true" t="shared" si="47" ref="U150:U180">+R150+T150</f>
        <v>-26212</v>
      </c>
      <c r="V150" s="67">
        <f aca="true" t="shared" si="48" ref="V150:V180">+Q150/C150</f>
        <v>2.3903248039975877</v>
      </c>
      <c r="X150" s="11">
        <f t="shared" si="44"/>
        <v>29277</v>
      </c>
    </row>
    <row r="151" spans="1:24" ht="30" customHeight="1">
      <c r="A151" s="88"/>
      <c r="B151" s="31" t="s">
        <v>110</v>
      </c>
      <c r="C151" s="32">
        <f>243+177+402+392</f>
        <v>1214</v>
      </c>
      <c r="D151" s="32">
        <v>0</v>
      </c>
      <c r="E151" s="39">
        <f>50</f>
        <v>50</v>
      </c>
      <c r="F151" s="38"/>
      <c r="G151" s="39"/>
      <c r="H151" s="39"/>
      <c r="I151" s="32">
        <v>0</v>
      </c>
      <c r="J151" s="32">
        <v>680</v>
      </c>
      <c r="K151" s="32">
        <v>596</v>
      </c>
      <c r="L151" s="32">
        <v>8950</v>
      </c>
      <c r="M151" s="32">
        <v>439</v>
      </c>
      <c r="N151" s="32"/>
      <c r="O151" s="32">
        <v>10834</v>
      </c>
      <c r="P151" s="32">
        <f>+E151+J151+L151</f>
        <v>9680</v>
      </c>
      <c r="Q151" s="32">
        <f>+I151+K151+M151+O151</f>
        <v>11869</v>
      </c>
      <c r="R151" s="71">
        <f t="shared" si="46"/>
        <v>-10655</v>
      </c>
      <c r="S151" s="41">
        <f aca="true" t="shared" si="49" ref="S151:S180">+Q151/C151</f>
        <v>9.77677100494234</v>
      </c>
      <c r="T151" s="54">
        <f>392</f>
        <v>392</v>
      </c>
      <c r="U151" s="32">
        <f t="shared" si="47"/>
        <v>-10263</v>
      </c>
      <c r="V151" s="67">
        <f t="shared" si="48"/>
        <v>9.77677100494234</v>
      </c>
      <c r="X151" s="11">
        <f t="shared" si="44"/>
        <v>1606</v>
      </c>
    </row>
    <row r="152" spans="1:24" ht="31.5" customHeight="1">
      <c r="A152" s="88"/>
      <c r="B152" s="31" t="s">
        <v>111</v>
      </c>
      <c r="C152" s="32">
        <f>96+70+160+156</f>
        <v>482</v>
      </c>
      <c r="D152" s="32">
        <v>0</v>
      </c>
      <c r="E152" s="39">
        <v>50</v>
      </c>
      <c r="F152" s="38"/>
      <c r="G152" s="39"/>
      <c r="H152" s="39"/>
      <c r="I152" s="32">
        <v>0</v>
      </c>
      <c r="J152" s="32">
        <v>0</v>
      </c>
      <c r="K152" s="32">
        <v>0</v>
      </c>
      <c r="L152" s="32">
        <v>225</v>
      </c>
      <c r="M152" s="32">
        <v>134</v>
      </c>
      <c r="N152" s="32"/>
      <c r="O152" s="32">
        <v>844</v>
      </c>
      <c r="P152" s="32">
        <f>+E152+J152+L152</f>
        <v>275</v>
      </c>
      <c r="Q152" s="32">
        <f>+I152+K152+M152+O152</f>
        <v>978</v>
      </c>
      <c r="R152" s="71">
        <f t="shared" si="46"/>
        <v>-496</v>
      </c>
      <c r="S152" s="41">
        <f t="shared" si="49"/>
        <v>2.029045643153527</v>
      </c>
      <c r="T152" s="54">
        <f>156</f>
        <v>156</v>
      </c>
      <c r="U152" s="32">
        <f t="shared" si="47"/>
        <v>-340</v>
      </c>
      <c r="V152" s="67">
        <f t="shared" si="48"/>
        <v>2.029045643153527</v>
      </c>
      <c r="X152" s="11">
        <f t="shared" si="44"/>
        <v>638</v>
      </c>
    </row>
    <row r="153" spans="1:24" ht="18" customHeight="1">
      <c r="A153" s="34" t="s">
        <v>4</v>
      </c>
      <c r="B153" s="42" t="s">
        <v>3</v>
      </c>
      <c r="C153" s="36">
        <f aca="true" t="shared" si="50" ref="C153:H153">SUM(C150:C152)</f>
        <v>24910</v>
      </c>
      <c r="D153" s="36">
        <f t="shared" si="50"/>
        <v>5223</v>
      </c>
      <c r="E153" s="36">
        <f t="shared" si="50"/>
        <v>12687</v>
      </c>
      <c r="F153" s="36">
        <f t="shared" si="50"/>
        <v>0</v>
      </c>
      <c r="G153" s="36">
        <f t="shared" si="50"/>
        <v>0</v>
      </c>
      <c r="H153" s="36">
        <f t="shared" si="50"/>
        <v>0</v>
      </c>
      <c r="I153" s="36">
        <f aca="true" t="shared" si="51" ref="I153:Q153">SUM(I150:I152)</f>
        <v>7786</v>
      </c>
      <c r="J153" s="36">
        <f t="shared" si="51"/>
        <v>19756</v>
      </c>
      <c r="K153" s="36">
        <f t="shared" si="51"/>
        <v>18285</v>
      </c>
      <c r="L153" s="36">
        <f t="shared" si="51"/>
        <v>27762</v>
      </c>
      <c r="M153" s="36">
        <f t="shared" si="51"/>
        <v>16197</v>
      </c>
      <c r="N153" s="36"/>
      <c r="O153" s="36">
        <f>SUM(O150:O152)</f>
        <v>26068</v>
      </c>
      <c r="P153" s="36">
        <f t="shared" si="51"/>
        <v>60205</v>
      </c>
      <c r="Q153" s="36">
        <f t="shared" si="51"/>
        <v>68336</v>
      </c>
      <c r="R153" s="36">
        <f t="shared" si="46"/>
        <v>-43426</v>
      </c>
      <c r="S153" s="47">
        <f t="shared" si="49"/>
        <v>2.743315937374548</v>
      </c>
      <c r="T153" s="36">
        <f>SUM(T150:T152)</f>
        <v>6611</v>
      </c>
      <c r="U153" s="36">
        <f t="shared" si="47"/>
        <v>-36815</v>
      </c>
      <c r="V153" s="47">
        <f t="shared" si="48"/>
        <v>2.743315937374548</v>
      </c>
      <c r="X153" s="11">
        <f t="shared" si="44"/>
        <v>31521</v>
      </c>
    </row>
    <row r="154" spans="1:24" ht="18.75" customHeight="1">
      <c r="A154" s="88" t="s">
        <v>104</v>
      </c>
      <c r="B154" s="31" t="s">
        <v>112</v>
      </c>
      <c r="C154" s="38">
        <f>108538+139450+140170+140858</f>
        <v>529016</v>
      </c>
      <c r="D154" s="39">
        <f>20056+10747+7259+19+493+11851+1059+1722+15601+5396+280+554+335+140</f>
        <v>75512</v>
      </c>
      <c r="E154" s="39">
        <f>141766</f>
        <v>141766</v>
      </c>
      <c r="F154" s="38"/>
      <c r="G154" s="39"/>
      <c r="H154" s="39"/>
      <c r="I154" s="32">
        <f>132460</f>
        <v>132460</v>
      </c>
      <c r="J154" s="32">
        <v>202888</v>
      </c>
      <c r="K154" s="32">
        <v>190948</v>
      </c>
      <c r="L154" s="32">
        <v>212239</v>
      </c>
      <c r="M154" s="32">
        <v>195042</v>
      </c>
      <c r="N154" s="32"/>
      <c r="O154" s="32">
        <v>163230</v>
      </c>
      <c r="P154" s="32">
        <f aca="true" t="shared" si="52" ref="P154:P159">+E154+J154+L154</f>
        <v>556893</v>
      </c>
      <c r="Q154" s="32">
        <f aca="true" t="shared" si="53" ref="Q154:Q159">+I154+K154+M154+O154</f>
        <v>681680</v>
      </c>
      <c r="R154" s="71">
        <f t="shared" si="46"/>
        <v>-152664</v>
      </c>
      <c r="S154" s="41">
        <f t="shared" si="49"/>
        <v>1.2885810637107384</v>
      </c>
      <c r="T154" s="54">
        <f>140858</f>
        <v>140858</v>
      </c>
      <c r="U154" s="32">
        <f t="shared" si="47"/>
        <v>-11806</v>
      </c>
      <c r="V154" s="67">
        <f t="shared" si="48"/>
        <v>1.2885810637107384</v>
      </c>
      <c r="X154" s="11">
        <f t="shared" si="44"/>
        <v>669874</v>
      </c>
    </row>
    <row r="155" spans="1:24" ht="18.75" customHeight="1">
      <c r="A155" s="88"/>
      <c r="B155" s="31" t="s">
        <v>113</v>
      </c>
      <c r="C155" s="38">
        <f>59+49+82+81</f>
        <v>271</v>
      </c>
      <c r="D155" s="39">
        <v>5</v>
      </c>
      <c r="E155" s="39">
        <f>38</f>
        <v>38</v>
      </c>
      <c r="F155" s="38"/>
      <c r="G155" s="39"/>
      <c r="H155" s="39"/>
      <c r="I155" s="32">
        <v>32</v>
      </c>
      <c r="J155" s="32">
        <v>27</v>
      </c>
      <c r="K155" s="32">
        <v>27</v>
      </c>
      <c r="L155" s="32">
        <v>30</v>
      </c>
      <c r="M155" s="32">
        <v>30</v>
      </c>
      <c r="N155" s="32"/>
      <c r="O155" s="32">
        <v>15</v>
      </c>
      <c r="P155" s="32">
        <f t="shared" si="52"/>
        <v>95</v>
      </c>
      <c r="Q155" s="32">
        <f t="shared" si="53"/>
        <v>104</v>
      </c>
      <c r="R155" s="71">
        <f t="shared" si="46"/>
        <v>167</v>
      </c>
      <c r="S155" s="41">
        <f t="shared" si="49"/>
        <v>0.3837638376383764</v>
      </c>
      <c r="T155" s="54">
        <f>81</f>
        <v>81</v>
      </c>
      <c r="U155" s="32">
        <f t="shared" si="47"/>
        <v>248</v>
      </c>
      <c r="V155" s="67">
        <f t="shared" si="48"/>
        <v>0.3837638376383764</v>
      </c>
      <c r="X155" s="11">
        <f t="shared" si="44"/>
        <v>352</v>
      </c>
    </row>
    <row r="156" spans="1:24" ht="18.75" customHeight="1">
      <c r="A156" s="88"/>
      <c r="B156" s="31" t="s">
        <v>114</v>
      </c>
      <c r="C156" s="38">
        <f>113985+115536+131031+151630</f>
        <v>512182</v>
      </c>
      <c r="D156" s="39">
        <f>10+72+50+103604+2</f>
        <v>103738</v>
      </c>
      <c r="E156" s="39">
        <f>152899</f>
        <v>152899</v>
      </c>
      <c r="F156" s="38"/>
      <c r="G156" s="39"/>
      <c r="H156" s="39"/>
      <c r="I156" s="32">
        <v>152821</v>
      </c>
      <c r="J156" s="32">
        <v>102086</v>
      </c>
      <c r="K156" s="32">
        <v>89173</v>
      </c>
      <c r="L156" s="32">
        <v>88169</v>
      </c>
      <c r="M156" s="32">
        <v>84852</v>
      </c>
      <c r="N156" s="32"/>
      <c r="O156" s="32">
        <v>70196</v>
      </c>
      <c r="P156" s="32">
        <f t="shared" si="52"/>
        <v>343154</v>
      </c>
      <c r="Q156" s="32">
        <f t="shared" si="53"/>
        <v>397042</v>
      </c>
      <c r="R156" s="71">
        <f t="shared" si="46"/>
        <v>115140</v>
      </c>
      <c r="S156" s="41">
        <f t="shared" si="49"/>
        <v>0.7751970979066035</v>
      </c>
      <c r="T156" s="54">
        <f>151630</f>
        <v>151630</v>
      </c>
      <c r="U156" s="32">
        <f t="shared" si="47"/>
        <v>266770</v>
      </c>
      <c r="V156" s="67">
        <f t="shared" si="48"/>
        <v>0.7751970979066035</v>
      </c>
      <c r="X156" s="11">
        <f t="shared" si="44"/>
        <v>663812</v>
      </c>
    </row>
    <row r="157" spans="1:24" ht="28.5" customHeight="1">
      <c r="A157" s="88"/>
      <c r="B157" s="31" t="s">
        <v>115</v>
      </c>
      <c r="C157" s="38">
        <f>1599+1167+2641+2578</f>
        <v>7985</v>
      </c>
      <c r="D157" s="39">
        <v>0</v>
      </c>
      <c r="E157" s="39">
        <v>1500</v>
      </c>
      <c r="F157" s="38"/>
      <c r="G157" s="39"/>
      <c r="H157" s="39"/>
      <c r="I157" s="32">
        <v>1500</v>
      </c>
      <c r="J157" s="32">
        <v>0</v>
      </c>
      <c r="K157" s="32">
        <v>0</v>
      </c>
      <c r="L157" s="32">
        <v>0</v>
      </c>
      <c r="M157" s="32">
        <v>0</v>
      </c>
      <c r="N157" s="32"/>
      <c r="O157" s="32">
        <v>0</v>
      </c>
      <c r="P157" s="32">
        <f t="shared" si="52"/>
        <v>1500</v>
      </c>
      <c r="Q157" s="32">
        <f t="shared" si="53"/>
        <v>1500</v>
      </c>
      <c r="R157" s="71">
        <f t="shared" si="46"/>
        <v>6485</v>
      </c>
      <c r="S157" s="41">
        <f t="shared" si="49"/>
        <v>0.18785222291797118</v>
      </c>
      <c r="T157" s="54">
        <f>2578</f>
        <v>2578</v>
      </c>
      <c r="U157" s="32">
        <f t="shared" si="47"/>
        <v>9063</v>
      </c>
      <c r="V157" s="67">
        <f t="shared" si="48"/>
        <v>0.18785222291797118</v>
      </c>
      <c r="X157" s="11">
        <f t="shared" si="44"/>
        <v>10563</v>
      </c>
    </row>
    <row r="158" spans="1:24" ht="18.75" customHeight="1">
      <c r="A158" s="88"/>
      <c r="B158" s="31" t="s">
        <v>116</v>
      </c>
      <c r="C158" s="38">
        <f>1132+801+1813</f>
        <v>3746</v>
      </c>
      <c r="D158" s="39">
        <v>0</v>
      </c>
      <c r="E158" s="39">
        <f>403</f>
        <v>403</v>
      </c>
      <c r="F158" s="38"/>
      <c r="G158" s="39"/>
      <c r="H158" s="39"/>
      <c r="I158" s="32">
        <v>67</v>
      </c>
      <c r="J158" s="32">
        <v>21844</v>
      </c>
      <c r="K158" s="32">
        <v>13114</v>
      </c>
      <c r="L158" s="32">
        <v>14893</v>
      </c>
      <c r="M158" s="32">
        <v>10961</v>
      </c>
      <c r="N158" s="32"/>
      <c r="O158" s="32">
        <v>14453</v>
      </c>
      <c r="P158" s="32">
        <f t="shared" si="52"/>
        <v>37140</v>
      </c>
      <c r="Q158" s="32">
        <f t="shared" si="53"/>
        <v>38595</v>
      </c>
      <c r="R158" s="71">
        <f t="shared" si="46"/>
        <v>-34849</v>
      </c>
      <c r="S158" s="41">
        <f t="shared" si="49"/>
        <v>10.302989855846237</v>
      </c>
      <c r="T158" s="54">
        <v>0</v>
      </c>
      <c r="U158" s="32">
        <f t="shared" si="47"/>
        <v>-34849</v>
      </c>
      <c r="V158" s="67">
        <f t="shared" si="48"/>
        <v>10.302989855846237</v>
      </c>
      <c r="X158" s="11">
        <f t="shared" si="44"/>
        <v>3746</v>
      </c>
    </row>
    <row r="159" spans="1:24" ht="44.25" customHeight="1">
      <c r="A159" s="88"/>
      <c r="B159" s="31" t="s">
        <v>117</v>
      </c>
      <c r="C159" s="38">
        <f>100+72+164+160</f>
        <v>496</v>
      </c>
      <c r="D159" s="39">
        <v>0</v>
      </c>
      <c r="E159" s="39">
        <f>50</f>
        <v>50</v>
      </c>
      <c r="F159" s="38"/>
      <c r="G159" s="39"/>
      <c r="H159" s="39"/>
      <c r="I159" s="32">
        <v>0</v>
      </c>
      <c r="J159" s="32">
        <v>558</v>
      </c>
      <c r="K159" s="32">
        <v>558</v>
      </c>
      <c r="L159" s="32">
        <v>952</v>
      </c>
      <c r="M159" s="32">
        <v>952</v>
      </c>
      <c r="N159" s="32"/>
      <c r="O159" s="32">
        <v>770</v>
      </c>
      <c r="P159" s="32">
        <f t="shared" si="52"/>
        <v>1560</v>
      </c>
      <c r="Q159" s="32">
        <f t="shared" si="53"/>
        <v>2280</v>
      </c>
      <c r="R159" s="71">
        <f t="shared" si="46"/>
        <v>-1784</v>
      </c>
      <c r="S159" s="41">
        <f t="shared" si="49"/>
        <v>4.596774193548387</v>
      </c>
      <c r="T159" s="54">
        <f>160</f>
        <v>160</v>
      </c>
      <c r="U159" s="32">
        <f t="shared" si="47"/>
        <v>-1624</v>
      </c>
      <c r="V159" s="67">
        <f t="shared" si="48"/>
        <v>4.596774193548387</v>
      </c>
      <c r="X159" s="11">
        <f t="shared" si="44"/>
        <v>656</v>
      </c>
    </row>
    <row r="160" spans="1:24" ht="21.75" customHeight="1">
      <c r="A160" s="34" t="s">
        <v>4</v>
      </c>
      <c r="B160" s="42" t="s">
        <v>3</v>
      </c>
      <c r="C160" s="36">
        <f aca="true" t="shared" si="54" ref="C160:H160">SUM(C154:C159)</f>
        <v>1053696</v>
      </c>
      <c r="D160" s="36">
        <f t="shared" si="54"/>
        <v>179255</v>
      </c>
      <c r="E160" s="36">
        <f t="shared" si="54"/>
        <v>296656</v>
      </c>
      <c r="F160" s="36">
        <f t="shared" si="54"/>
        <v>0</v>
      </c>
      <c r="G160" s="36">
        <f t="shared" si="54"/>
        <v>0</v>
      </c>
      <c r="H160" s="36">
        <f t="shared" si="54"/>
        <v>0</v>
      </c>
      <c r="I160" s="36">
        <f aca="true" t="shared" si="55" ref="I160:Q160">SUM(I154:I159)</f>
        <v>286880</v>
      </c>
      <c r="J160" s="36">
        <f t="shared" si="55"/>
        <v>327403</v>
      </c>
      <c r="K160" s="36">
        <f t="shared" si="55"/>
        <v>293820</v>
      </c>
      <c r="L160" s="36">
        <f t="shared" si="55"/>
        <v>316283</v>
      </c>
      <c r="M160" s="36">
        <f t="shared" si="55"/>
        <v>291837</v>
      </c>
      <c r="N160" s="36"/>
      <c r="O160" s="36">
        <f>SUM(O154:O159)</f>
        <v>248664</v>
      </c>
      <c r="P160" s="36">
        <f t="shared" si="55"/>
        <v>940342</v>
      </c>
      <c r="Q160" s="36">
        <f t="shared" si="55"/>
        <v>1121201</v>
      </c>
      <c r="R160" s="36">
        <f t="shared" si="46"/>
        <v>-67505</v>
      </c>
      <c r="S160" s="47">
        <f t="shared" si="49"/>
        <v>1.064064967504859</v>
      </c>
      <c r="T160" s="36">
        <f>SUM(T154:T159)</f>
        <v>295307</v>
      </c>
      <c r="U160" s="36">
        <f t="shared" si="47"/>
        <v>227802</v>
      </c>
      <c r="V160" s="47">
        <f t="shared" si="48"/>
        <v>1.064064967504859</v>
      </c>
      <c r="X160" s="11">
        <f t="shared" si="44"/>
        <v>1349003</v>
      </c>
    </row>
    <row r="161" spans="1:24" ht="38.25" customHeight="1">
      <c r="A161" s="88" t="s">
        <v>149</v>
      </c>
      <c r="B161" s="31" t="s">
        <v>118</v>
      </c>
      <c r="C161" s="37">
        <f>220+160+363+354</f>
        <v>1097</v>
      </c>
      <c r="D161" s="39">
        <v>134</v>
      </c>
      <c r="E161" s="39">
        <f>255</f>
        <v>255</v>
      </c>
      <c r="F161" s="38"/>
      <c r="G161" s="39"/>
      <c r="H161" s="39"/>
      <c r="I161" s="32">
        <v>181</v>
      </c>
      <c r="J161" s="32">
        <v>814</v>
      </c>
      <c r="K161" s="32">
        <v>42</v>
      </c>
      <c r="L161" s="32">
        <v>1187</v>
      </c>
      <c r="M161" s="32">
        <v>1179</v>
      </c>
      <c r="N161" s="32"/>
      <c r="O161" s="32">
        <v>1484</v>
      </c>
      <c r="P161" s="32">
        <f>+E161+J161+L161</f>
        <v>2256</v>
      </c>
      <c r="Q161" s="32">
        <f>+I161+K161+M161+O161</f>
        <v>2886</v>
      </c>
      <c r="R161" s="71">
        <f t="shared" si="46"/>
        <v>-1789</v>
      </c>
      <c r="S161" s="41">
        <f t="shared" si="49"/>
        <v>2.6308113035551504</v>
      </c>
      <c r="T161" s="54">
        <f>354</f>
        <v>354</v>
      </c>
      <c r="U161" s="32">
        <f t="shared" si="47"/>
        <v>-1435</v>
      </c>
      <c r="V161" s="67">
        <f t="shared" si="48"/>
        <v>2.6308113035551504</v>
      </c>
      <c r="W161" s="12" t="s">
        <v>3</v>
      </c>
      <c r="X161" s="11">
        <f t="shared" si="44"/>
        <v>1451</v>
      </c>
    </row>
    <row r="162" spans="1:24" ht="31.5" customHeight="1">
      <c r="A162" s="88"/>
      <c r="B162" s="31" t="s">
        <v>119</v>
      </c>
      <c r="C162" s="37">
        <f>5+4+8+8</f>
        <v>25</v>
      </c>
      <c r="D162" s="39">
        <v>0</v>
      </c>
      <c r="E162" s="39">
        <v>0</v>
      </c>
      <c r="F162" s="38"/>
      <c r="G162" s="39"/>
      <c r="H162" s="39"/>
      <c r="I162" s="32">
        <v>0</v>
      </c>
      <c r="J162" s="32">
        <v>0</v>
      </c>
      <c r="K162" s="32">
        <v>0</v>
      </c>
      <c r="L162" s="85">
        <v>0</v>
      </c>
      <c r="M162" s="32">
        <v>0</v>
      </c>
      <c r="N162" s="32"/>
      <c r="O162" s="85">
        <v>0</v>
      </c>
      <c r="P162" s="32">
        <f>+E162+J162+L162</f>
        <v>0</v>
      </c>
      <c r="Q162" s="32">
        <f>+I162+K162+M162+O162</f>
        <v>0</v>
      </c>
      <c r="R162" s="71">
        <f t="shared" si="46"/>
        <v>25</v>
      </c>
      <c r="S162" s="41">
        <f t="shared" si="49"/>
        <v>0</v>
      </c>
      <c r="T162" s="54">
        <f>8</f>
        <v>8</v>
      </c>
      <c r="U162" s="32">
        <f t="shared" si="47"/>
        <v>33</v>
      </c>
      <c r="V162" s="67">
        <f t="shared" si="48"/>
        <v>0</v>
      </c>
      <c r="X162" s="11">
        <f t="shared" si="44"/>
        <v>33</v>
      </c>
    </row>
    <row r="163" spans="1:24" ht="27.75" customHeight="1">
      <c r="A163" s="88"/>
      <c r="B163" s="31" t="s">
        <v>120</v>
      </c>
      <c r="C163" s="37">
        <f>3523+3214+4267+4222</f>
        <v>15226</v>
      </c>
      <c r="D163" s="39">
        <v>1000</v>
      </c>
      <c r="E163" s="39">
        <f>1030</f>
        <v>1030</v>
      </c>
      <c r="F163" s="38"/>
      <c r="G163" s="39"/>
      <c r="H163" s="39"/>
      <c r="I163" s="32">
        <f>1005</f>
        <v>1005</v>
      </c>
      <c r="J163" s="32">
        <v>2082</v>
      </c>
      <c r="K163" s="32">
        <v>607</v>
      </c>
      <c r="L163" s="32">
        <v>1363</v>
      </c>
      <c r="M163" s="32">
        <v>1187</v>
      </c>
      <c r="N163" s="32"/>
      <c r="O163" s="32">
        <v>1234</v>
      </c>
      <c r="P163" s="32">
        <f>+E163+J163+L163</f>
        <v>4475</v>
      </c>
      <c r="Q163" s="32">
        <f>+I163+K163+M163+O163</f>
        <v>4033</v>
      </c>
      <c r="R163" s="71">
        <f t="shared" si="46"/>
        <v>11193</v>
      </c>
      <c r="S163" s="41">
        <f t="shared" si="49"/>
        <v>0.2648758702219887</v>
      </c>
      <c r="T163" s="54">
        <f>4222</f>
        <v>4222</v>
      </c>
      <c r="U163" s="32">
        <f t="shared" si="47"/>
        <v>15415</v>
      </c>
      <c r="V163" s="67">
        <f t="shared" si="48"/>
        <v>0.2648758702219887</v>
      </c>
      <c r="X163" s="11">
        <f t="shared" si="44"/>
        <v>19448</v>
      </c>
    </row>
    <row r="164" spans="1:24" ht="18.75" customHeight="1">
      <c r="A164" s="88"/>
      <c r="B164" s="31" t="s">
        <v>121</v>
      </c>
      <c r="C164" s="37">
        <f>547+489+686+677</f>
        <v>2399</v>
      </c>
      <c r="D164" s="39">
        <v>0</v>
      </c>
      <c r="E164" s="39">
        <v>0</v>
      </c>
      <c r="F164" s="38"/>
      <c r="G164" s="39"/>
      <c r="H164" s="39"/>
      <c r="I164" s="32">
        <v>0</v>
      </c>
      <c r="J164" s="32">
        <v>1657</v>
      </c>
      <c r="K164" s="32">
        <v>1651</v>
      </c>
      <c r="L164" s="32">
        <v>3650</v>
      </c>
      <c r="M164" s="32">
        <v>3200</v>
      </c>
      <c r="N164" s="32"/>
      <c r="O164" s="32">
        <v>601</v>
      </c>
      <c r="P164" s="32">
        <f>+E164+J164+L164</f>
        <v>5307</v>
      </c>
      <c r="Q164" s="32">
        <f>+I164+K164+M164+O164</f>
        <v>5452</v>
      </c>
      <c r="R164" s="71">
        <f t="shared" si="46"/>
        <v>-3053</v>
      </c>
      <c r="S164" s="41">
        <f t="shared" si="49"/>
        <v>2.272613588995415</v>
      </c>
      <c r="T164" s="54">
        <f>677</f>
        <v>677</v>
      </c>
      <c r="U164" s="32">
        <f t="shared" si="47"/>
        <v>-2376</v>
      </c>
      <c r="V164" s="67">
        <f t="shared" si="48"/>
        <v>2.272613588995415</v>
      </c>
      <c r="X164" s="11">
        <f t="shared" si="44"/>
        <v>3076</v>
      </c>
    </row>
    <row r="165" spans="1:24" ht="22.5" customHeight="1">
      <c r="A165" s="34" t="s">
        <v>4</v>
      </c>
      <c r="B165" s="42" t="s">
        <v>3</v>
      </c>
      <c r="C165" s="36">
        <f>SUM(C161:C164)</f>
        <v>18747</v>
      </c>
      <c r="D165" s="36">
        <f>SUM(D161:D164)</f>
        <v>1134</v>
      </c>
      <c r="E165" s="36">
        <f>SUM(E161:E164)</f>
        <v>1285</v>
      </c>
      <c r="F165" s="36">
        <f>SUM(F159:F164)</f>
        <v>0</v>
      </c>
      <c r="G165" s="36">
        <f>SUM(G159:G164)</f>
        <v>0</v>
      </c>
      <c r="H165" s="36">
        <f>SUM(H159:H164)</f>
        <v>0</v>
      </c>
      <c r="I165" s="36">
        <f aca="true" t="shared" si="56" ref="I165:Q165">SUM(I161:I164)</f>
        <v>1186</v>
      </c>
      <c r="J165" s="36">
        <f t="shared" si="56"/>
        <v>4553</v>
      </c>
      <c r="K165" s="36">
        <f t="shared" si="56"/>
        <v>2300</v>
      </c>
      <c r="L165" s="36">
        <f t="shared" si="56"/>
        <v>6200</v>
      </c>
      <c r="M165" s="36">
        <f t="shared" si="56"/>
        <v>5566</v>
      </c>
      <c r="N165" s="36"/>
      <c r="O165" s="36">
        <f>SUM(O161:O164)</f>
        <v>3319</v>
      </c>
      <c r="P165" s="36">
        <f t="shared" si="56"/>
        <v>12038</v>
      </c>
      <c r="Q165" s="36">
        <f t="shared" si="56"/>
        <v>12371</v>
      </c>
      <c r="R165" s="36">
        <f t="shared" si="46"/>
        <v>6376</v>
      </c>
      <c r="S165" s="47">
        <f t="shared" si="49"/>
        <v>0.6598922494265749</v>
      </c>
      <c r="T165" s="36">
        <f>SUM(T161:T164)</f>
        <v>5261</v>
      </c>
      <c r="U165" s="36">
        <f t="shared" si="47"/>
        <v>11637</v>
      </c>
      <c r="V165" s="47">
        <f t="shared" si="48"/>
        <v>0.6598922494265749</v>
      </c>
      <c r="X165" s="11">
        <f t="shared" si="44"/>
        <v>24008</v>
      </c>
    </row>
    <row r="166" spans="1:24" ht="28.5" customHeight="1">
      <c r="A166" s="88" t="s">
        <v>105</v>
      </c>
      <c r="B166" s="31" t="s">
        <v>122</v>
      </c>
      <c r="C166" s="37">
        <f>85+62+140+137</f>
        <v>424</v>
      </c>
      <c r="D166" s="39">
        <v>0</v>
      </c>
      <c r="E166" s="39">
        <f>160</f>
        <v>160</v>
      </c>
      <c r="F166" s="38"/>
      <c r="G166" s="39"/>
      <c r="H166" s="39"/>
      <c r="I166" s="32">
        <v>58</v>
      </c>
      <c r="J166" s="32">
        <v>113</v>
      </c>
      <c r="K166" s="32">
        <v>66</v>
      </c>
      <c r="L166" s="32">
        <v>0</v>
      </c>
      <c r="M166" s="32">
        <v>0</v>
      </c>
      <c r="N166" s="32"/>
      <c r="O166" s="32">
        <v>0</v>
      </c>
      <c r="P166" s="32">
        <f>+E166+J166+L166</f>
        <v>273</v>
      </c>
      <c r="Q166" s="32">
        <f>+I166+K166+M166+O166</f>
        <v>124</v>
      </c>
      <c r="R166" s="71">
        <f t="shared" si="46"/>
        <v>300</v>
      </c>
      <c r="S166" s="41">
        <f t="shared" si="49"/>
        <v>0.29245283018867924</v>
      </c>
      <c r="T166" s="54">
        <f>137</f>
        <v>137</v>
      </c>
      <c r="U166" s="32">
        <f t="shared" si="47"/>
        <v>437</v>
      </c>
      <c r="V166" s="67">
        <f t="shared" si="48"/>
        <v>0.29245283018867924</v>
      </c>
      <c r="X166" s="11">
        <f t="shared" si="44"/>
        <v>561</v>
      </c>
    </row>
    <row r="167" spans="1:24" ht="36" customHeight="1">
      <c r="A167" s="88"/>
      <c r="B167" s="31" t="s">
        <v>123</v>
      </c>
      <c r="C167" s="37">
        <f>323+236+534+521</f>
        <v>1614</v>
      </c>
      <c r="D167" s="39">
        <v>314</v>
      </c>
      <c r="E167" s="39">
        <f>400</f>
        <v>400</v>
      </c>
      <c r="F167" s="38"/>
      <c r="G167" s="39"/>
      <c r="H167" s="39"/>
      <c r="I167" s="32">
        <v>314</v>
      </c>
      <c r="J167" s="32">
        <v>500</v>
      </c>
      <c r="K167" s="32">
        <v>124</v>
      </c>
      <c r="L167" s="32">
        <v>714</v>
      </c>
      <c r="M167" s="32">
        <v>670</v>
      </c>
      <c r="N167" s="32"/>
      <c r="O167" s="32">
        <v>328</v>
      </c>
      <c r="P167" s="32">
        <f>+E167+J167+L167</f>
        <v>1614</v>
      </c>
      <c r="Q167" s="32">
        <f>+I167+K167+M167+O167</f>
        <v>1436</v>
      </c>
      <c r="R167" s="71">
        <f t="shared" si="46"/>
        <v>178</v>
      </c>
      <c r="S167" s="41">
        <f t="shared" si="49"/>
        <v>0.8897149938042132</v>
      </c>
      <c r="T167" s="54">
        <f>521</f>
        <v>521</v>
      </c>
      <c r="U167" s="32">
        <f t="shared" si="47"/>
        <v>699</v>
      </c>
      <c r="V167" s="67">
        <f t="shared" si="48"/>
        <v>0.8897149938042132</v>
      </c>
      <c r="X167" s="11">
        <f t="shared" si="44"/>
        <v>2135</v>
      </c>
    </row>
    <row r="168" spans="1:24" ht="33.75" customHeight="1">
      <c r="A168" s="88"/>
      <c r="B168" s="31" t="s">
        <v>124</v>
      </c>
      <c r="C168" s="37">
        <f>2783+2031+4595+4669</f>
        <v>14078</v>
      </c>
      <c r="D168" s="39">
        <v>441</v>
      </c>
      <c r="E168" s="39">
        <f>4741</f>
        <v>4741</v>
      </c>
      <c r="F168" s="38"/>
      <c r="G168" s="39"/>
      <c r="H168" s="39"/>
      <c r="I168" s="32">
        <f>4729</f>
        <v>4729</v>
      </c>
      <c r="J168" s="32">
        <v>9110</v>
      </c>
      <c r="K168" s="32">
        <v>9110</v>
      </c>
      <c r="L168" s="32">
        <v>8197</v>
      </c>
      <c r="M168" s="32">
        <v>8113</v>
      </c>
      <c r="N168" s="32"/>
      <c r="O168" s="32">
        <v>3050</v>
      </c>
      <c r="P168" s="32">
        <f>+E168+J168+L168</f>
        <v>22048</v>
      </c>
      <c r="Q168" s="32">
        <f>+I168+K168+M168+O168</f>
        <v>25002</v>
      </c>
      <c r="R168" s="71">
        <f t="shared" si="46"/>
        <v>-10924</v>
      </c>
      <c r="S168" s="41">
        <f t="shared" si="49"/>
        <v>1.7759624946725387</v>
      </c>
      <c r="T168" s="54">
        <f>4669</f>
        <v>4669</v>
      </c>
      <c r="U168" s="32">
        <f t="shared" si="47"/>
        <v>-6255</v>
      </c>
      <c r="V168" s="67">
        <f t="shared" si="48"/>
        <v>1.7759624946725387</v>
      </c>
      <c r="X168" s="11">
        <f t="shared" si="44"/>
        <v>18747</v>
      </c>
    </row>
    <row r="169" spans="1:24" ht="22.5" customHeight="1">
      <c r="A169" s="34" t="s">
        <v>4</v>
      </c>
      <c r="B169" s="42" t="s">
        <v>3</v>
      </c>
      <c r="C169" s="36">
        <f>SUM(C166:C168)</f>
        <v>16116</v>
      </c>
      <c r="D169" s="36">
        <f>SUM(D166:D168)</f>
        <v>755</v>
      </c>
      <c r="E169" s="36">
        <f>SUM(E166:E168)</f>
        <v>5301</v>
      </c>
      <c r="F169" s="36">
        <f>SUM(F163:F168)</f>
        <v>0</v>
      </c>
      <c r="G169" s="36">
        <f>SUM(G163:G168)</f>
        <v>0</v>
      </c>
      <c r="H169" s="36">
        <f>SUM(H163:H168)</f>
        <v>0</v>
      </c>
      <c r="I169" s="36">
        <f aca="true" t="shared" si="57" ref="I169:Q169">SUM(I166:I168)</f>
        <v>5101</v>
      </c>
      <c r="J169" s="36">
        <f t="shared" si="57"/>
        <v>9723</v>
      </c>
      <c r="K169" s="36">
        <f t="shared" si="57"/>
        <v>9300</v>
      </c>
      <c r="L169" s="36">
        <f t="shared" si="57"/>
        <v>8911</v>
      </c>
      <c r="M169" s="36">
        <f t="shared" si="57"/>
        <v>8783</v>
      </c>
      <c r="N169" s="36"/>
      <c r="O169" s="36">
        <f>SUM(O166:O168)</f>
        <v>3378</v>
      </c>
      <c r="P169" s="36">
        <f t="shared" si="57"/>
        <v>23935</v>
      </c>
      <c r="Q169" s="36">
        <f t="shared" si="57"/>
        <v>26562</v>
      </c>
      <c r="R169" s="36">
        <f t="shared" si="46"/>
        <v>-10446</v>
      </c>
      <c r="S169" s="47">
        <f t="shared" si="49"/>
        <v>1.6481757259865972</v>
      </c>
      <c r="T169" s="36">
        <f>SUM(T166:T168)</f>
        <v>5327</v>
      </c>
      <c r="U169" s="36">
        <f t="shared" si="47"/>
        <v>-5119</v>
      </c>
      <c r="V169" s="47">
        <f t="shared" si="48"/>
        <v>1.6481757259865972</v>
      </c>
      <c r="X169" s="11">
        <f t="shared" si="44"/>
        <v>21443</v>
      </c>
    </row>
    <row r="170" spans="1:24" ht="28.5" customHeight="1">
      <c r="A170" s="45" t="s">
        <v>106</v>
      </c>
      <c r="B170" s="31" t="s">
        <v>125</v>
      </c>
      <c r="C170" s="38">
        <f>882+881+998+2197</f>
        <v>4958</v>
      </c>
      <c r="D170" s="39">
        <v>0</v>
      </c>
      <c r="E170" s="39">
        <f>384</f>
        <v>384</v>
      </c>
      <c r="F170" s="38"/>
      <c r="G170" s="39"/>
      <c r="H170" s="39"/>
      <c r="I170" s="32">
        <v>384</v>
      </c>
      <c r="J170" s="32">
        <v>995</v>
      </c>
      <c r="K170" s="32">
        <v>427</v>
      </c>
      <c r="L170" s="32">
        <v>2310</v>
      </c>
      <c r="M170" s="32">
        <v>1174</v>
      </c>
      <c r="N170" s="32"/>
      <c r="O170" s="32">
        <v>1279</v>
      </c>
      <c r="P170" s="32">
        <f>+E170+J170+L170</f>
        <v>3689</v>
      </c>
      <c r="Q170" s="32">
        <f>+I170+K170+M170+O170</f>
        <v>3264</v>
      </c>
      <c r="R170" s="71">
        <f t="shared" si="46"/>
        <v>1694</v>
      </c>
      <c r="S170" s="41">
        <f t="shared" si="49"/>
        <v>0.6583299717628076</v>
      </c>
      <c r="T170" s="54">
        <f>2197</f>
        <v>2197</v>
      </c>
      <c r="U170" s="32">
        <f t="shared" si="47"/>
        <v>3891</v>
      </c>
      <c r="V170" s="67">
        <f t="shared" si="48"/>
        <v>0.6583299717628076</v>
      </c>
      <c r="X170" s="11">
        <f t="shared" si="44"/>
        <v>7155</v>
      </c>
    </row>
    <row r="171" spans="1:24" ht="21.75" customHeight="1">
      <c r="A171" s="34" t="s">
        <v>4</v>
      </c>
      <c r="B171" s="42" t="s">
        <v>3</v>
      </c>
      <c r="C171" s="36">
        <f>SUM(C170)</f>
        <v>4958</v>
      </c>
      <c r="D171" s="36">
        <f>SUM(D170)</f>
        <v>0</v>
      </c>
      <c r="E171" s="36">
        <f>SUM(E170)</f>
        <v>384</v>
      </c>
      <c r="F171" s="36">
        <f>SUM(F165:F170)</f>
        <v>0</v>
      </c>
      <c r="G171" s="36">
        <f>SUM(G165:G170)</f>
        <v>0</v>
      </c>
      <c r="H171" s="36">
        <f>SUM(H165:H170)</f>
        <v>0</v>
      </c>
      <c r="I171" s="36">
        <f>SUM(I170)</f>
        <v>384</v>
      </c>
      <c r="J171" s="36">
        <f>SUM(J170)</f>
        <v>995</v>
      </c>
      <c r="K171" s="36">
        <f>SUM(K170)</f>
        <v>427</v>
      </c>
      <c r="L171" s="36">
        <f>SUM(L170)</f>
        <v>2310</v>
      </c>
      <c r="M171" s="36">
        <f>SUM(M170)</f>
        <v>1174</v>
      </c>
      <c r="N171" s="36"/>
      <c r="O171" s="36">
        <f>SUM(O170)</f>
        <v>1279</v>
      </c>
      <c r="P171" s="36">
        <f>+P170</f>
        <v>3689</v>
      </c>
      <c r="Q171" s="36">
        <f>+Q170</f>
        <v>3264</v>
      </c>
      <c r="R171" s="36">
        <f t="shared" si="46"/>
        <v>1694</v>
      </c>
      <c r="S171" s="47">
        <f t="shared" si="49"/>
        <v>0.6583299717628076</v>
      </c>
      <c r="T171" s="36">
        <f>SUM(T170)</f>
        <v>2197</v>
      </c>
      <c r="U171" s="36">
        <f t="shared" si="47"/>
        <v>3891</v>
      </c>
      <c r="V171" s="47">
        <f t="shared" si="48"/>
        <v>0.6583299717628076</v>
      </c>
      <c r="X171" s="11">
        <f t="shared" si="44"/>
        <v>7155</v>
      </c>
    </row>
    <row r="172" spans="1:24" ht="18.75" customHeight="1">
      <c r="A172" s="88" t="s">
        <v>136</v>
      </c>
      <c r="B172" s="31" t="s">
        <v>126</v>
      </c>
      <c r="C172" s="38">
        <f>30992+25777+43967+43289</f>
        <v>144025</v>
      </c>
      <c r="D172" s="39">
        <v>184</v>
      </c>
      <c r="E172" s="39">
        <f>6338</f>
        <v>6338</v>
      </c>
      <c r="F172" s="38"/>
      <c r="G172" s="39"/>
      <c r="H172" s="39"/>
      <c r="I172" s="32">
        <f>4448</f>
        <v>4448</v>
      </c>
      <c r="J172" s="32">
        <v>14367</v>
      </c>
      <c r="K172" s="32">
        <v>10311</v>
      </c>
      <c r="L172" s="32">
        <v>36217</v>
      </c>
      <c r="M172" s="32">
        <v>23164</v>
      </c>
      <c r="N172" s="32"/>
      <c r="O172" s="32">
        <v>13889</v>
      </c>
      <c r="P172" s="32">
        <f>+E172+J172+L172</f>
        <v>56922</v>
      </c>
      <c r="Q172" s="32">
        <f>+I172+K172+M172+O172</f>
        <v>51812</v>
      </c>
      <c r="R172" s="71">
        <f t="shared" si="46"/>
        <v>92213</v>
      </c>
      <c r="S172" s="41">
        <f t="shared" si="49"/>
        <v>0.35974310015622285</v>
      </c>
      <c r="T172" s="54">
        <f>43289</f>
        <v>43289</v>
      </c>
      <c r="U172" s="32">
        <f t="shared" si="47"/>
        <v>135502</v>
      </c>
      <c r="V172" s="67">
        <f t="shared" si="48"/>
        <v>0.35974310015622285</v>
      </c>
      <c r="X172" s="11">
        <f t="shared" si="44"/>
        <v>187314</v>
      </c>
    </row>
    <row r="173" spans="1:24" ht="27.75" customHeight="1">
      <c r="A173" s="88"/>
      <c r="B173" s="31" t="s">
        <v>127</v>
      </c>
      <c r="C173" s="38">
        <f>21873+23912+28267+24993</f>
        <v>99045</v>
      </c>
      <c r="D173" s="39">
        <v>0</v>
      </c>
      <c r="E173" s="39">
        <f>2143</f>
        <v>2143</v>
      </c>
      <c r="F173" s="38"/>
      <c r="G173" s="39"/>
      <c r="H173" s="39"/>
      <c r="I173" s="32">
        <f>1570</f>
        <v>1570</v>
      </c>
      <c r="J173" s="32">
        <v>13888</v>
      </c>
      <c r="K173" s="32">
        <v>10396</v>
      </c>
      <c r="L173" s="32">
        <v>16569</v>
      </c>
      <c r="M173" s="32">
        <v>15812</v>
      </c>
      <c r="N173" s="32"/>
      <c r="O173" s="32">
        <v>7076</v>
      </c>
      <c r="P173" s="32">
        <f>+E173+J173+L173</f>
        <v>32600</v>
      </c>
      <c r="Q173" s="32">
        <f>+I173+K173+M173+O173</f>
        <v>34854</v>
      </c>
      <c r="R173" s="71">
        <f t="shared" si="46"/>
        <v>64191</v>
      </c>
      <c r="S173" s="41">
        <f t="shared" si="49"/>
        <v>0.3519006512191428</v>
      </c>
      <c r="T173" s="54">
        <f>24993</f>
        <v>24993</v>
      </c>
      <c r="U173" s="32">
        <f t="shared" si="47"/>
        <v>89184</v>
      </c>
      <c r="V173" s="67">
        <f t="shared" si="48"/>
        <v>0.3519006512191428</v>
      </c>
      <c r="X173" s="11">
        <f t="shared" si="44"/>
        <v>124038</v>
      </c>
    </row>
    <row r="174" spans="1:24" ht="18.75" customHeight="1">
      <c r="A174" s="88"/>
      <c r="B174" s="31" t="s">
        <v>128</v>
      </c>
      <c r="C174" s="38">
        <f>10353+10139+52265+10814</f>
        <v>83571</v>
      </c>
      <c r="D174" s="39">
        <v>0</v>
      </c>
      <c r="E174" s="39">
        <v>0</v>
      </c>
      <c r="F174" s="38"/>
      <c r="G174" s="39"/>
      <c r="H174" s="39"/>
      <c r="I174" s="32">
        <v>0</v>
      </c>
      <c r="J174" s="32">
        <v>1703</v>
      </c>
      <c r="K174" s="32">
        <v>1689</v>
      </c>
      <c r="L174" s="32">
        <v>2010</v>
      </c>
      <c r="M174" s="32">
        <v>1970</v>
      </c>
      <c r="N174" s="32"/>
      <c r="O174" s="32">
        <v>98</v>
      </c>
      <c r="P174" s="32">
        <f>+E174+J174+L174</f>
        <v>3713</v>
      </c>
      <c r="Q174" s="32">
        <f>+I174+K174+M174+O174</f>
        <v>3757</v>
      </c>
      <c r="R174" s="71">
        <f t="shared" si="46"/>
        <v>79814</v>
      </c>
      <c r="S174" s="41">
        <f t="shared" si="49"/>
        <v>0.044955786098048366</v>
      </c>
      <c r="T174" s="54">
        <f>10814</f>
        <v>10814</v>
      </c>
      <c r="U174" s="32">
        <f t="shared" si="47"/>
        <v>90628</v>
      </c>
      <c r="V174" s="67">
        <f t="shared" si="48"/>
        <v>0.044955786098048366</v>
      </c>
      <c r="X174" s="11">
        <f t="shared" si="44"/>
        <v>94385</v>
      </c>
    </row>
    <row r="175" spans="1:24" ht="21.75" customHeight="1">
      <c r="A175" s="34" t="s">
        <v>4</v>
      </c>
      <c r="B175" s="42" t="s">
        <v>3</v>
      </c>
      <c r="C175" s="36">
        <f>SUM(C172:C174)</f>
        <v>326641</v>
      </c>
      <c r="D175" s="36">
        <f>SUM(D172:D174)</f>
        <v>184</v>
      </c>
      <c r="E175" s="36">
        <f>SUM(E172:E174)</f>
        <v>8481</v>
      </c>
      <c r="F175" s="36">
        <f>SUM(F169:F174)</f>
        <v>0</v>
      </c>
      <c r="G175" s="36">
        <f>SUM(G169:G174)</f>
        <v>0</v>
      </c>
      <c r="H175" s="36">
        <f>SUM(H169:H174)</f>
        <v>0</v>
      </c>
      <c r="I175" s="36">
        <f aca="true" t="shared" si="58" ref="I175:Q175">SUM(I172:I174)</f>
        <v>6018</v>
      </c>
      <c r="J175" s="36">
        <f t="shared" si="58"/>
        <v>29958</v>
      </c>
      <c r="K175" s="36">
        <f t="shared" si="58"/>
        <v>22396</v>
      </c>
      <c r="L175" s="36">
        <f t="shared" si="58"/>
        <v>54796</v>
      </c>
      <c r="M175" s="36">
        <f t="shared" si="58"/>
        <v>40946</v>
      </c>
      <c r="N175" s="36"/>
      <c r="O175" s="36">
        <f>SUM(O172:O174)</f>
        <v>21063</v>
      </c>
      <c r="P175" s="36">
        <f t="shared" si="58"/>
        <v>93235</v>
      </c>
      <c r="Q175" s="36">
        <f t="shared" si="58"/>
        <v>90423</v>
      </c>
      <c r="R175" s="36">
        <f t="shared" si="46"/>
        <v>236218</v>
      </c>
      <c r="S175" s="47">
        <f t="shared" si="49"/>
        <v>0.2768268527221016</v>
      </c>
      <c r="T175" s="36">
        <f>SUM(T172:T174)</f>
        <v>79096</v>
      </c>
      <c r="U175" s="36">
        <f t="shared" si="47"/>
        <v>315314</v>
      </c>
      <c r="V175" s="47">
        <f t="shared" si="48"/>
        <v>0.2768268527221016</v>
      </c>
      <c r="X175" s="11">
        <f t="shared" si="44"/>
        <v>405737</v>
      </c>
    </row>
    <row r="176" spans="1:24" ht="55.5" customHeight="1">
      <c r="A176" s="45" t="s">
        <v>107</v>
      </c>
      <c r="B176" s="31" t="s">
        <v>129</v>
      </c>
      <c r="C176" s="38">
        <f>305+223+505+487</f>
        <v>1520</v>
      </c>
      <c r="D176" s="39">
        <f>40+24+71+17</f>
        <v>152</v>
      </c>
      <c r="E176" s="39">
        <f>613</f>
        <v>613</v>
      </c>
      <c r="F176" s="38"/>
      <c r="G176" s="39"/>
      <c r="H176" s="39"/>
      <c r="I176" s="32">
        <v>225</v>
      </c>
      <c r="J176" s="32">
        <v>597</v>
      </c>
      <c r="K176" s="32">
        <v>205</v>
      </c>
      <c r="L176" s="32">
        <v>702</v>
      </c>
      <c r="M176" s="32">
        <v>546</v>
      </c>
      <c r="N176" s="32"/>
      <c r="O176" s="32">
        <v>567</v>
      </c>
      <c r="P176" s="32">
        <f>+E176+J176+L176</f>
        <v>1912</v>
      </c>
      <c r="Q176" s="32">
        <f>+I176+K176+M176+O176</f>
        <v>1543</v>
      </c>
      <c r="R176" s="71">
        <f t="shared" si="46"/>
        <v>-23</v>
      </c>
      <c r="S176" s="41">
        <f t="shared" si="49"/>
        <v>1.0151315789473685</v>
      </c>
      <c r="T176" s="54">
        <f>487</f>
        <v>487</v>
      </c>
      <c r="U176" s="32">
        <f t="shared" si="47"/>
        <v>464</v>
      </c>
      <c r="V176" s="67">
        <f t="shared" si="48"/>
        <v>1.0151315789473685</v>
      </c>
      <c r="X176" s="11">
        <f t="shared" si="44"/>
        <v>2007</v>
      </c>
    </row>
    <row r="177" spans="1:24" ht="24" customHeight="1">
      <c r="A177" s="34" t="s">
        <v>4</v>
      </c>
      <c r="B177" s="42" t="s">
        <v>3</v>
      </c>
      <c r="C177" s="36">
        <f>SUM(C176)</f>
        <v>1520</v>
      </c>
      <c r="D177" s="36">
        <f>SUM(D176)</f>
        <v>152</v>
      </c>
      <c r="E177" s="36">
        <f>SUM(E176)</f>
        <v>613</v>
      </c>
      <c r="F177" s="36">
        <f>SUM(F171:F176)</f>
        <v>0</v>
      </c>
      <c r="G177" s="36">
        <f>SUM(G171:G176)</f>
        <v>0</v>
      </c>
      <c r="H177" s="36">
        <f>SUM(H171:H176)</f>
        <v>0</v>
      </c>
      <c r="I177" s="36">
        <f>SUM(I176)</f>
        <v>225</v>
      </c>
      <c r="J177" s="36">
        <f>SUM(J176)</f>
        <v>597</v>
      </c>
      <c r="K177" s="36">
        <f>SUM(K176)</f>
        <v>205</v>
      </c>
      <c r="L177" s="36">
        <f>SUM(L176)</f>
        <v>702</v>
      </c>
      <c r="M177" s="36">
        <f>SUM(M176)</f>
        <v>546</v>
      </c>
      <c r="N177" s="36"/>
      <c r="O177" s="36">
        <f>SUM(O176)</f>
        <v>567</v>
      </c>
      <c r="P177" s="36">
        <f>+P176</f>
        <v>1912</v>
      </c>
      <c r="Q177" s="36">
        <f>+Q176</f>
        <v>1543</v>
      </c>
      <c r="R177" s="71">
        <f t="shared" si="46"/>
        <v>-23</v>
      </c>
      <c r="S177" s="47">
        <f t="shared" si="49"/>
        <v>1.0151315789473685</v>
      </c>
      <c r="T177" s="36">
        <f>SUM(T176)</f>
        <v>487</v>
      </c>
      <c r="U177" s="36">
        <f t="shared" si="47"/>
        <v>464</v>
      </c>
      <c r="V177" s="47">
        <f t="shared" si="48"/>
        <v>1.0151315789473685</v>
      </c>
      <c r="X177" s="11">
        <f t="shared" si="44"/>
        <v>2007</v>
      </c>
    </row>
    <row r="178" spans="1:24" ht="43.5" customHeight="1">
      <c r="A178" s="45" t="s">
        <v>108</v>
      </c>
      <c r="B178" s="31" t="s">
        <v>130</v>
      </c>
      <c r="C178" s="38">
        <f>71+52+117+114</f>
        <v>354</v>
      </c>
      <c r="D178" s="39">
        <f>155+446</f>
        <v>601</v>
      </c>
      <c r="E178" s="39">
        <f>1218</f>
        <v>1218</v>
      </c>
      <c r="F178" s="38"/>
      <c r="G178" s="39"/>
      <c r="H178" s="39"/>
      <c r="I178" s="32">
        <f>614</f>
        <v>614</v>
      </c>
      <c r="J178" s="32">
        <v>1100</v>
      </c>
      <c r="K178" s="32">
        <v>319</v>
      </c>
      <c r="L178" s="32">
        <v>861</v>
      </c>
      <c r="M178" s="32">
        <v>825</v>
      </c>
      <c r="N178" s="32"/>
      <c r="O178" s="32">
        <v>1808</v>
      </c>
      <c r="P178" s="32">
        <f>+E178+J178+L178</f>
        <v>3179</v>
      </c>
      <c r="Q178" s="32">
        <f>+I178+K178+M178+O178</f>
        <v>3566</v>
      </c>
      <c r="R178" s="71">
        <f t="shared" si="46"/>
        <v>-3212</v>
      </c>
      <c r="S178" s="41">
        <f t="shared" si="49"/>
        <v>10.073446327683616</v>
      </c>
      <c r="T178" s="54">
        <f>114</f>
        <v>114</v>
      </c>
      <c r="U178" s="32">
        <f t="shared" si="47"/>
        <v>-3098</v>
      </c>
      <c r="V178" s="67">
        <f t="shared" si="48"/>
        <v>10.073446327683616</v>
      </c>
      <c r="X178" s="11">
        <f t="shared" si="44"/>
        <v>468</v>
      </c>
    </row>
    <row r="179" spans="1:24" ht="18" customHeight="1">
      <c r="A179" s="34" t="s">
        <v>4</v>
      </c>
      <c r="B179" s="42" t="s">
        <v>3</v>
      </c>
      <c r="C179" s="36">
        <f>SUM(C178)</f>
        <v>354</v>
      </c>
      <c r="D179" s="36">
        <f>SUM(D178)</f>
        <v>601</v>
      </c>
      <c r="E179" s="36">
        <f>SUM(E178)</f>
        <v>1218</v>
      </c>
      <c r="F179" s="36">
        <f>SUM(F173:F178)</f>
        <v>0</v>
      </c>
      <c r="G179" s="36">
        <f>SUM(G173:G178)</f>
        <v>0</v>
      </c>
      <c r="H179" s="36">
        <f>SUM(H173:H178)</f>
        <v>0</v>
      </c>
      <c r="I179" s="36">
        <f>SUM(I178)</f>
        <v>614</v>
      </c>
      <c r="J179" s="36">
        <f>SUM(J178)</f>
        <v>1100</v>
      </c>
      <c r="K179" s="36">
        <f>SUM(K178)</f>
        <v>319</v>
      </c>
      <c r="L179" s="36">
        <f>SUM(L178)</f>
        <v>861</v>
      </c>
      <c r="M179" s="36">
        <f>SUM(M178)</f>
        <v>825</v>
      </c>
      <c r="N179" s="36"/>
      <c r="O179" s="36">
        <f>SUM(O178)</f>
        <v>1808</v>
      </c>
      <c r="P179" s="36">
        <f>+P178</f>
        <v>3179</v>
      </c>
      <c r="Q179" s="36">
        <f>+Q178</f>
        <v>3566</v>
      </c>
      <c r="R179" s="36">
        <f t="shared" si="46"/>
        <v>-3212</v>
      </c>
      <c r="S179" s="47">
        <f t="shared" si="49"/>
        <v>10.073446327683616</v>
      </c>
      <c r="T179" s="36">
        <f>SUM(T178)</f>
        <v>114</v>
      </c>
      <c r="U179" s="36">
        <f t="shared" si="47"/>
        <v>-3098</v>
      </c>
      <c r="V179" s="47">
        <f t="shared" si="48"/>
        <v>10.073446327683616</v>
      </c>
      <c r="X179" s="11">
        <f t="shared" si="44"/>
        <v>468</v>
      </c>
    </row>
    <row r="180" spans="1:24" ht="18.75" customHeight="1">
      <c r="A180" s="63" t="s">
        <v>146</v>
      </c>
      <c r="B180" s="43"/>
      <c r="C180" s="82">
        <f>+C153+C160+C165+C169+C171+C175+C177+C179</f>
        <v>1446942</v>
      </c>
      <c r="D180" s="62">
        <f>+D153+D160+D165+D169+D171+D175+D177+D179</f>
        <v>187304</v>
      </c>
      <c r="E180" s="62">
        <f>+E153+E160+E165+E169+E171+E175+E177+E179</f>
        <v>326625</v>
      </c>
      <c r="F180" s="62">
        <f>+F153+F160</f>
        <v>0</v>
      </c>
      <c r="G180" s="62">
        <f>+G153+G160</f>
        <v>0</v>
      </c>
      <c r="H180" s="62">
        <f>+H153+H160</f>
        <v>0</v>
      </c>
      <c r="I180" s="62">
        <f aca="true" t="shared" si="59" ref="I180:Q180">+I153+I160+I165+I169+I171+I175+I177+I179</f>
        <v>308194</v>
      </c>
      <c r="J180" s="69">
        <f t="shared" si="59"/>
        <v>394085</v>
      </c>
      <c r="K180" s="69">
        <f t="shared" si="59"/>
        <v>347052</v>
      </c>
      <c r="L180" s="77">
        <f t="shared" si="59"/>
        <v>417825</v>
      </c>
      <c r="M180" s="77">
        <f t="shared" si="59"/>
        <v>365874</v>
      </c>
      <c r="N180" s="82"/>
      <c r="O180" s="82">
        <f>+O153+O160+O165+O169+O171+O175+O177+O179</f>
        <v>306146</v>
      </c>
      <c r="P180" s="62">
        <f t="shared" si="59"/>
        <v>1138535</v>
      </c>
      <c r="Q180" s="62">
        <f t="shared" si="59"/>
        <v>1327266</v>
      </c>
      <c r="R180" s="62">
        <f t="shared" si="46"/>
        <v>119676</v>
      </c>
      <c r="S180" s="44">
        <f t="shared" si="49"/>
        <v>0.9172903958831798</v>
      </c>
      <c r="T180" s="62">
        <f>+T153+T160+T165+T169+T171+T175+T177+T179</f>
        <v>394400</v>
      </c>
      <c r="U180" s="62">
        <f t="shared" si="47"/>
        <v>514076</v>
      </c>
      <c r="V180" s="68">
        <f t="shared" si="48"/>
        <v>0.9172903958831798</v>
      </c>
      <c r="X180" s="11">
        <f t="shared" si="44"/>
        <v>1841342</v>
      </c>
    </row>
    <row r="181" spans="1:24" ht="26.25" customHeight="1">
      <c r="A181" s="13"/>
      <c r="B181" s="28"/>
      <c r="C181" s="57"/>
      <c r="D181" s="30"/>
      <c r="E181" s="30"/>
      <c r="F181" s="30"/>
      <c r="G181" s="30"/>
      <c r="H181" s="30"/>
      <c r="I181" s="57"/>
      <c r="J181" s="57"/>
      <c r="K181" s="57"/>
      <c r="L181" s="57"/>
      <c r="M181" s="57"/>
      <c r="N181" s="57"/>
      <c r="O181" s="57"/>
      <c r="P181" s="57" t="s">
        <v>3</v>
      </c>
      <c r="Q181" s="57" t="s">
        <v>3</v>
      </c>
      <c r="R181" s="57"/>
      <c r="S181" s="13"/>
      <c r="T181" s="57" t="s">
        <v>3</v>
      </c>
      <c r="U181" s="57"/>
      <c r="V181" s="13"/>
      <c r="X181" s="11" t="e">
        <f t="shared" si="44"/>
        <v>#VALUE!</v>
      </c>
    </row>
    <row r="182" spans="1:24" ht="12.75">
      <c r="A182" s="13"/>
      <c r="B182" s="28"/>
      <c r="C182" s="29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13"/>
      <c r="T182" s="57"/>
      <c r="U182" s="57"/>
      <c r="V182" s="13"/>
      <c r="X182" s="11">
        <f t="shared" si="44"/>
        <v>0</v>
      </c>
    </row>
    <row r="183" spans="1:24" ht="12.75">
      <c r="A183" s="13"/>
      <c r="B183" s="28"/>
      <c r="C183" s="2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13"/>
      <c r="T183" s="57"/>
      <c r="U183" s="57"/>
      <c r="V183" s="13"/>
      <c r="X183" s="11">
        <f t="shared" si="44"/>
        <v>0</v>
      </c>
    </row>
    <row r="184" spans="1:24" ht="15">
      <c r="A184" s="13"/>
      <c r="B184" s="98" t="s">
        <v>7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X184" s="11">
        <f t="shared" si="44"/>
        <v>0</v>
      </c>
    </row>
    <row r="185" spans="1:24" ht="15">
      <c r="A185" s="13"/>
      <c r="B185" s="100" t="s">
        <v>8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X185" s="11">
        <f t="shared" si="44"/>
        <v>0</v>
      </c>
    </row>
    <row r="186" spans="1:24" ht="16.5" customHeight="1">
      <c r="A186" s="13"/>
      <c r="B186" s="98" t="s">
        <v>160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X186" s="11">
        <f t="shared" si="44"/>
        <v>0</v>
      </c>
    </row>
    <row r="187" spans="1:24" ht="12.75" customHeight="1">
      <c r="A187" s="13"/>
      <c r="B187" s="98" t="s">
        <v>137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X187" s="11">
        <f t="shared" si="44"/>
        <v>0</v>
      </c>
    </row>
    <row r="188" spans="1:24" ht="15">
      <c r="A188" s="13"/>
      <c r="B188" s="65"/>
      <c r="C188" s="61"/>
      <c r="D188" s="61"/>
      <c r="E188" s="61"/>
      <c r="F188" s="61"/>
      <c r="G188" s="61"/>
      <c r="H188" s="61"/>
      <c r="I188" s="61"/>
      <c r="J188" s="70"/>
      <c r="K188" s="70"/>
      <c r="L188" s="76"/>
      <c r="M188" s="76"/>
      <c r="N188" s="83"/>
      <c r="O188" s="83"/>
      <c r="P188" s="61"/>
      <c r="Q188" s="61"/>
      <c r="R188" s="64"/>
      <c r="S188" s="61"/>
      <c r="T188" s="58"/>
      <c r="U188" s="58"/>
      <c r="V188" s="58"/>
      <c r="X188" s="11">
        <f t="shared" si="44"/>
        <v>0</v>
      </c>
    </row>
    <row r="189" spans="1:24" ht="15">
      <c r="A189" s="13"/>
      <c r="B189" s="103" t="s">
        <v>2</v>
      </c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59"/>
      <c r="U189" s="59"/>
      <c r="V189" s="59"/>
      <c r="X189" s="11">
        <f t="shared" si="44"/>
        <v>0</v>
      </c>
    </row>
    <row r="190" spans="1:24" ht="12.75" customHeight="1">
      <c r="A190" s="13"/>
      <c r="B190" s="105" t="s">
        <v>131</v>
      </c>
      <c r="C190" s="94" t="s">
        <v>158</v>
      </c>
      <c r="D190" s="87" t="s">
        <v>10</v>
      </c>
      <c r="E190" s="87" t="s">
        <v>140</v>
      </c>
      <c r="F190" s="87" t="s">
        <v>11</v>
      </c>
      <c r="G190" s="87" t="s">
        <v>12</v>
      </c>
      <c r="H190" s="87" t="s">
        <v>13</v>
      </c>
      <c r="I190" s="87" t="s">
        <v>141</v>
      </c>
      <c r="J190" s="87" t="s">
        <v>142</v>
      </c>
      <c r="K190" s="87" t="s">
        <v>143</v>
      </c>
      <c r="L190" s="87" t="s">
        <v>150</v>
      </c>
      <c r="M190" s="87" t="s">
        <v>151</v>
      </c>
      <c r="N190" s="82"/>
      <c r="O190" s="87" t="s">
        <v>157</v>
      </c>
      <c r="P190" s="87" t="s">
        <v>152</v>
      </c>
      <c r="Q190" s="87" t="s">
        <v>153</v>
      </c>
      <c r="R190" s="90" t="s">
        <v>154</v>
      </c>
      <c r="S190" s="94" t="s">
        <v>138</v>
      </c>
      <c r="T190" s="87" t="s">
        <v>156</v>
      </c>
      <c r="U190" s="87" t="s">
        <v>147</v>
      </c>
      <c r="V190" s="87" t="s">
        <v>162</v>
      </c>
      <c r="X190" s="11" t="e">
        <f t="shared" si="44"/>
        <v>#VALUE!</v>
      </c>
    </row>
    <row r="191" spans="1:24" ht="51.75" customHeight="1">
      <c r="A191" s="13"/>
      <c r="B191" s="106"/>
      <c r="C191" s="94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2"/>
      <c r="O191" s="87"/>
      <c r="P191" s="87"/>
      <c r="Q191" s="87"/>
      <c r="R191" s="91"/>
      <c r="S191" s="94"/>
      <c r="T191" s="87"/>
      <c r="U191" s="87"/>
      <c r="V191" s="87" t="s">
        <v>148</v>
      </c>
      <c r="X191" s="11">
        <f t="shared" si="44"/>
        <v>0</v>
      </c>
    </row>
    <row r="192" spans="1:24" ht="67.5" customHeight="1">
      <c r="A192" s="13"/>
      <c r="B192" s="18" t="s">
        <v>9</v>
      </c>
      <c r="C192" s="19">
        <f>+C54</f>
        <v>3047107</v>
      </c>
      <c r="D192" s="19">
        <f>+D54</f>
        <v>564275</v>
      </c>
      <c r="E192" s="19">
        <f>+E54</f>
        <v>848866</v>
      </c>
      <c r="F192" s="20"/>
      <c r="G192" s="20"/>
      <c r="H192" s="20"/>
      <c r="I192" s="20">
        <f>+I54</f>
        <v>789435</v>
      </c>
      <c r="J192" s="20">
        <f>+J54</f>
        <v>886381</v>
      </c>
      <c r="K192" s="20">
        <f>+K54</f>
        <v>791515</v>
      </c>
      <c r="L192" s="20">
        <f>+L54</f>
        <v>969430</v>
      </c>
      <c r="M192" s="20">
        <f>+M54</f>
        <v>878150</v>
      </c>
      <c r="N192" s="20"/>
      <c r="O192" s="20">
        <f>+O54</f>
        <v>964687</v>
      </c>
      <c r="P192" s="20">
        <f>+E192+J192+L192</f>
        <v>2704677</v>
      </c>
      <c r="Q192" s="20">
        <f>+I192+K192+M192+O192</f>
        <v>3423787</v>
      </c>
      <c r="R192" s="20">
        <f>+C192-Q192</f>
        <v>-376680</v>
      </c>
      <c r="S192" s="21">
        <f>+Q192/C192</f>
        <v>1.1236188949058894</v>
      </c>
      <c r="T192" s="20">
        <f>+T54</f>
        <v>810992</v>
      </c>
      <c r="U192" s="20">
        <f>+R192+T192</f>
        <v>434312</v>
      </c>
      <c r="V192" s="86">
        <f>+Q192/C192</f>
        <v>1.1236188949058894</v>
      </c>
      <c r="W192" s="66" t="s">
        <v>3</v>
      </c>
      <c r="X192" s="11">
        <f t="shared" si="44"/>
        <v>3858099</v>
      </c>
    </row>
    <row r="193" spans="1:24" ht="73.5" customHeight="1">
      <c r="A193" s="13"/>
      <c r="B193" s="18" t="s">
        <v>38</v>
      </c>
      <c r="C193" s="19">
        <f>+C100</f>
        <v>457271</v>
      </c>
      <c r="D193" s="19">
        <f>+D100</f>
        <v>54699</v>
      </c>
      <c r="E193" s="19">
        <f>+E100</f>
        <v>91615</v>
      </c>
      <c r="F193" s="20"/>
      <c r="G193" s="20"/>
      <c r="H193" s="20"/>
      <c r="I193" s="20">
        <f>+I100</f>
        <v>77781</v>
      </c>
      <c r="J193" s="20">
        <f>+J100</f>
        <v>114630</v>
      </c>
      <c r="K193" s="20">
        <f>+K100</f>
        <v>107353</v>
      </c>
      <c r="L193" s="20">
        <f>+L100</f>
        <v>132877</v>
      </c>
      <c r="M193" s="20">
        <f>+M100</f>
        <v>116327</v>
      </c>
      <c r="N193" s="20"/>
      <c r="O193" s="20">
        <f>+O100</f>
        <v>125806</v>
      </c>
      <c r="P193" s="20">
        <f>+E193+J193+L193</f>
        <v>339122</v>
      </c>
      <c r="Q193" s="20">
        <f>+I193+K193+M193+O193</f>
        <v>427267</v>
      </c>
      <c r="R193" s="20">
        <f>+C193-Q193</f>
        <v>30004</v>
      </c>
      <c r="S193" s="21">
        <f>+Q193/C193</f>
        <v>0.9343846428048138</v>
      </c>
      <c r="T193" s="20">
        <f>+T100</f>
        <v>110592</v>
      </c>
      <c r="U193" s="20">
        <f>+R193+T193</f>
        <v>140596</v>
      </c>
      <c r="V193" s="86">
        <f>+Q193/C193</f>
        <v>0.9343846428048138</v>
      </c>
      <c r="X193" s="11">
        <f t="shared" si="44"/>
        <v>567863</v>
      </c>
    </row>
    <row r="194" spans="1:24" ht="63.75" customHeight="1">
      <c r="A194" s="13"/>
      <c r="B194" s="18" t="s">
        <v>72</v>
      </c>
      <c r="C194" s="19">
        <f>+C139</f>
        <v>1084476</v>
      </c>
      <c r="D194" s="19">
        <f>+D139</f>
        <v>72530</v>
      </c>
      <c r="E194" s="19">
        <f>+E139</f>
        <v>157640</v>
      </c>
      <c r="F194" s="20"/>
      <c r="G194" s="20"/>
      <c r="H194" s="20"/>
      <c r="I194" s="20">
        <f>+I139</f>
        <v>145672</v>
      </c>
      <c r="J194" s="20">
        <f>+J139</f>
        <v>280371</v>
      </c>
      <c r="K194" s="20">
        <f>+K139</f>
        <v>231103</v>
      </c>
      <c r="L194" s="20">
        <f>+L139</f>
        <v>208005</v>
      </c>
      <c r="M194" s="20">
        <f>+M139</f>
        <v>214923</v>
      </c>
      <c r="N194" s="20"/>
      <c r="O194" s="20">
        <f>+O139</f>
        <v>315167</v>
      </c>
      <c r="P194" s="20">
        <f>+E194+J194+L194</f>
        <v>646016</v>
      </c>
      <c r="Q194" s="20">
        <f>+I194+K194+M194+O194</f>
        <v>906865</v>
      </c>
      <c r="R194" s="20">
        <f>+C194-Q194</f>
        <v>177611</v>
      </c>
      <c r="S194" s="21">
        <f>+Q194/C194</f>
        <v>0.8362241303634198</v>
      </c>
      <c r="T194" s="20">
        <f>+T139</f>
        <v>288948</v>
      </c>
      <c r="U194" s="20">
        <f>+R194+T194</f>
        <v>466559</v>
      </c>
      <c r="V194" s="86">
        <f>+Q194/C194</f>
        <v>0.8362241303634198</v>
      </c>
      <c r="X194" s="11">
        <f t="shared" si="44"/>
        <v>1373424</v>
      </c>
    </row>
    <row r="195" spans="1:24" ht="93.75" customHeight="1">
      <c r="A195" s="13"/>
      <c r="B195" s="18" t="s">
        <v>132</v>
      </c>
      <c r="C195" s="19">
        <f>+C180</f>
        <v>1446942</v>
      </c>
      <c r="D195" s="19">
        <f>+D180</f>
        <v>187304</v>
      </c>
      <c r="E195" s="19">
        <f>+E180</f>
        <v>326625</v>
      </c>
      <c r="F195" s="20"/>
      <c r="G195" s="20"/>
      <c r="H195" s="20"/>
      <c r="I195" s="20">
        <f>+I180</f>
        <v>308194</v>
      </c>
      <c r="J195" s="20">
        <f>+J180</f>
        <v>394085</v>
      </c>
      <c r="K195" s="20">
        <f>+K180</f>
        <v>347052</v>
      </c>
      <c r="L195" s="20">
        <f>+L180</f>
        <v>417825</v>
      </c>
      <c r="M195" s="20">
        <f>+M180</f>
        <v>365874</v>
      </c>
      <c r="N195" s="20"/>
      <c r="O195" s="20">
        <f>+O180</f>
        <v>306146</v>
      </c>
      <c r="P195" s="20">
        <f>+E195+J195+L195</f>
        <v>1138535</v>
      </c>
      <c r="Q195" s="20">
        <f>+I195+K195+M195+O195</f>
        <v>1327266</v>
      </c>
      <c r="R195" s="20">
        <f>+C195-Q195</f>
        <v>119676</v>
      </c>
      <c r="S195" s="21">
        <f>+Q195/C195</f>
        <v>0.9172903958831798</v>
      </c>
      <c r="T195" s="20">
        <f>+T180</f>
        <v>394400</v>
      </c>
      <c r="U195" s="20">
        <f>+R195+T195</f>
        <v>514076</v>
      </c>
      <c r="V195" s="86">
        <f>+Q195/C195</f>
        <v>0.9172903958831798</v>
      </c>
      <c r="W195" s="66" t="s">
        <v>3</v>
      </c>
      <c r="X195" s="11">
        <f t="shared" si="44"/>
        <v>1841342</v>
      </c>
    </row>
    <row r="196" spans="1:24" ht="35.25" customHeight="1">
      <c r="A196" s="13"/>
      <c r="B196" s="22" t="s">
        <v>5</v>
      </c>
      <c r="C196" s="23">
        <f>SUM(C192:C195)</f>
        <v>6035796</v>
      </c>
      <c r="D196" s="24">
        <f aca="true" t="shared" si="60" ref="D196:I196">SUM(D192:D195)</f>
        <v>878808</v>
      </c>
      <c r="E196" s="24">
        <f t="shared" si="60"/>
        <v>1424746</v>
      </c>
      <c r="F196" s="24">
        <f t="shared" si="60"/>
        <v>0</v>
      </c>
      <c r="G196" s="24">
        <f t="shared" si="60"/>
        <v>0</v>
      </c>
      <c r="H196" s="24">
        <f t="shared" si="60"/>
        <v>0</v>
      </c>
      <c r="I196" s="24">
        <f t="shared" si="60"/>
        <v>1321082</v>
      </c>
      <c r="J196" s="24">
        <f>SUM(J192:J195)</f>
        <v>1675467</v>
      </c>
      <c r="K196" s="24">
        <f>SUM(K192:K195)</f>
        <v>1477023</v>
      </c>
      <c r="L196" s="24">
        <f aca="true" t="shared" si="61" ref="L196:U196">SUM(L192:L195)</f>
        <v>1728137</v>
      </c>
      <c r="M196" s="24">
        <f t="shared" si="61"/>
        <v>1575274</v>
      </c>
      <c r="N196" s="24"/>
      <c r="O196" s="24">
        <f>SUM(O192:O195)</f>
        <v>1711806</v>
      </c>
      <c r="P196" s="24">
        <f t="shared" si="61"/>
        <v>4828350</v>
      </c>
      <c r="Q196" s="24">
        <f t="shared" si="61"/>
        <v>6085185</v>
      </c>
      <c r="R196" s="24">
        <f t="shared" si="61"/>
        <v>-49389</v>
      </c>
      <c r="S196" s="24">
        <f t="shared" si="61"/>
        <v>3.811518063957303</v>
      </c>
      <c r="T196" s="24">
        <f t="shared" si="61"/>
        <v>1604932</v>
      </c>
      <c r="U196" s="24">
        <f t="shared" si="61"/>
        <v>1555543</v>
      </c>
      <c r="V196" s="68">
        <f>+Q196/C196</f>
        <v>1.0081826821184812</v>
      </c>
      <c r="W196" s="66" t="s">
        <v>3</v>
      </c>
      <c r="X196" s="11">
        <f t="shared" si="44"/>
        <v>7640728</v>
      </c>
    </row>
    <row r="197" spans="2:21" ht="12.75">
      <c r="B197" s="96" t="s">
        <v>163</v>
      </c>
      <c r="C197" s="9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 t="s">
        <v>3</v>
      </c>
      <c r="Q197" s="78" t="s">
        <v>3</v>
      </c>
      <c r="R197" s="16"/>
      <c r="S197" s="12"/>
      <c r="T197" s="11"/>
      <c r="U197" s="11"/>
    </row>
    <row r="198" spans="1:21" ht="12.75">
      <c r="A198" s="12"/>
      <c r="B198" s="14"/>
      <c r="C198" s="15" t="s">
        <v>3</v>
      </c>
      <c r="D198" s="16"/>
      <c r="E198" s="16"/>
      <c r="F198" s="16"/>
      <c r="G198" s="16"/>
      <c r="H198" s="16"/>
      <c r="I198" s="16" t="s">
        <v>3</v>
      </c>
      <c r="J198" s="16"/>
      <c r="K198" s="16" t="s">
        <v>3</v>
      </c>
      <c r="L198" s="16"/>
      <c r="M198" s="16"/>
      <c r="N198" s="16"/>
      <c r="O198" s="16"/>
      <c r="P198" s="16" t="s">
        <v>3</v>
      </c>
      <c r="Q198" s="16" t="s">
        <v>3</v>
      </c>
      <c r="R198" s="16"/>
      <c r="S198" s="12"/>
      <c r="T198" s="11" t="s">
        <v>3</v>
      </c>
      <c r="U198" s="11"/>
    </row>
    <row r="199" spans="9:16" ht="12.75">
      <c r="I199" s="16"/>
      <c r="J199" s="16"/>
      <c r="K199" s="16"/>
      <c r="L199" s="16" t="s">
        <v>3</v>
      </c>
      <c r="M199" s="16" t="s">
        <v>3</v>
      </c>
      <c r="N199" s="16"/>
      <c r="O199" s="16"/>
      <c r="P199" s="16"/>
    </row>
    <row r="200" spans="9:16" ht="12.75">
      <c r="I200" s="16"/>
      <c r="J200" s="16"/>
      <c r="K200" s="16"/>
      <c r="L200" s="16"/>
      <c r="M200" s="16" t="s">
        <v>3</v>
      </c>
      <c r="N200" s="16"/>
      <c r="O200" s="16"/>
      <c r="P200" s="16"/>
    </row>
    <row r="201" spans="9:16" ht="12.75">
      <c r="I201" s="16"/>
      <c r="J201" s="16"/>
      <c r="K201" s="16"/>
      <c r="L201" s="16" t="s">
        <v>3</v>
      </c>
      <c r="M201" s="16" t="s">
        <v>3</v>
      </c>
      <c r="N201" s="16"/>
      <c r="O201" s="16"/>
      <c r="P201" s="16"/>
    </row>
    <row r="202" spans="9:16" ht="12.75">
      <c r="I202" s="16"/>
      <c r="J202" s="16"/>
      <c r="K202" s="16"/>
      <c r="L202" s="16"/>
      <c r="M202" s="16"/>
      <c r="N202" s="16"/>
      <c r="O202" s="16"/>
      <c r="P202" s="16"/>
    </row>
    <row r="203" spans="9:16" ht="12.75">
      <c r="I203" s="16"/>
      <c r="J203" s="16"/>
      <c r="K203" s="16"/>
      <c r="L203" s="16"/>
      <c r="M203" s="16"/>
      <c r="N203" s="16"/>
      <c r="O203" s="16"/>
      <c r="P203" s="16"/>
    </row>
    <row r="204" spans="9:16" ht="12.75">
      <c r="I204" s="16"/>
      <c r="J204" s="16"/>
      <c r="K204" s="16"/>
      <c r="L204" s="16"/>
      <c r="M204" s="16"/>
      <c r="N204" s="16"/>
      <c r="O204" s="16"/>
      <c r="P204" s="16"/>
    </row>
    <row r="205" spans="9:16" ht="12.75">
      <c r="I205" s="16"/>
      <c r="J205" s="16"/>
      <c r="K205" s="16"/>
      <c r="L205" s="16"/>
      <c r="M205" s="16"/>
      <c r="N205" s="16"/>
      <c r="O205" s="16"/>
      <c r="P205" s="16"/>
    </row>
    <row r="206" spans="9:16" ht="12.75">
      <c r="I206" s="16"/>
      <c r="J206" s="16"/>
      <c r="K206" s="16"/>
      <c r="L206" s="16"/>
      <c r="M206" s="16"/>
      <c r="N206" s="16"/>
      <c r="O206" s="16"/>
      <c r="P206" s="16"/>
    </row>
    <row r="207" spans="9:16" ht="12.75">
      <c r="I207" s="16"/>
      <c r="J207" s="16"/>
      <c r="K207" s="16"/>
      <c r="L207" s="16"/>
      <c r="M207" s="16"/>
      <c r="N207" s="16"/>
      <c r="O207" s="16"/>
      <c r="P207" s="16"/>
    </row>
    <row r="208" spans="9:16" ht="12.75">
      <c r="I208" s="16"/>
      <c r="J208" s="16"/>
      <c r="K208" s="16"/>
      <c r="L208" s="16"/>
      <c r="M208" s="16"/>
      <c r="N208" s="16"/>
      <c r="O208" s="16"/>
      <c r="P208" s="16"/>
    </row>
    <row r="209" spans="9:16" ht="12.75">
      <c r="I209" s="16"/>
      <c r="J209" s="16"/>
      <c r="K209" s="16"/>
      <c r="L209" s="16"/>
      <c r="M209" s="16"/>
      <c r="N209" s="16"/>
      <c r="O209" s="16"/>
      <c r="P209" s="16"/>
    </row>
    <row r="210" spans="9:16" ht="12.75">
      <c r="I210" s="16"/>
      <c r="J210" s="16"/>
      <c r="K210" s="16"/>
      <c r="L210" s="16"/>
      <c r="M210" s="16"/>
      <c r="N210" s="16"/>
      <c r="O210" s="16"/>
      <c r="P210" s="16"/>
    </row>
    <row r="211" spans="9:16" ht="12.75">
      <c r="I211" s="16"/>
      <c r="J211" s="16"/>
      <c r="K211" s="16"/>
      <c r="L211" s="16"/>
      <c r="M211" s="16"/>
      <c r="N211" s="16"/>
      <c r="O211" s="16"/>
      <c r="P211" s="16"/>
    </row>
    <row r="212" spans="9:16" ht="12.75">
      <c r="I212" s="16"/>
      <c r="J212" s="16"/>
      <c r="K212" s="16"/>
      <c r="L212" s="16"/>
      <c r="M212" s="16"/>
      <c r="N212" s="16"/>
      <c r="O212" s="16"/>
      <c r="P212" s="16"/>
    </row>
    <row r="213" spans="9:16" ht="12.75">
      <c r="I213" s="16"/>
      <c r="J213" s="16"/>
      <c r="K213" s="16"/>
      <c r="L213" s="16"/>
      <c r="M213" s="16"/>
      <c r="N213" s="16"/>
      <c r="O213" s="16"/>
      <c r="P213" s="16"/>
    </row>
    <row r="214" spans="9:16" ht="12.75">
      <c r="I214" s="16"/>
      <c r="J214" s="16"/>
      <c r="K214" s="16"/>
      <c r="L214" s="16"/>
      <c r="M214" s="16"/>
      <c r="N214" s="16"/>
      <c r="O214" s="16"/>
      <c r="P214" s="16"/>
    </row>
    <row r="215" spans="9:16" ht="12.75">
      <c r="I215" s="16"/>
      <c r="J215" s="16"/>
      <c r="K215" s="16"/>
      <c r="L215" s="16"/>
      <c r="M215" s="16"/>
      <c r="N215" s="16"/>
      <c r="O215" s="16"/>
      <c r="P215" s="16"/>
    </row>
    <row r="216" spans="9:16" ht="12.75">
      <c r="I216" s="16"/>
      <c r="J216" s="16"/>
      <c r="K216" s="16"/>
      <c r="L216" s="16"/>
      <c r="M216" s="16"/>
      <c r="N216" s="16"/>
      <c r="O216" s="16"/>
      <c r="P216" s="16"/>
    </row>
    <row r="217" spans="9:16" ht="12.75">
      <c r="I217" s="16"/>
      <c r="J217" s="16"/>
      <c r="K217" s="16"/>
      <c r="L217" s="16"/>
      <c r="M217" s="16"/>
      <c r="N217" s="16"/>
      <c r="O217" s="16"/>
      <c r="P217" s="16"/>
    </row>
    <row r="218" spans="9:16" ht="12.75">
      <c r="I218" s="16"/>
      <c r="J218" s="16"/>
      <c r="K218" s="16"/>
      <c r="L218" s="16"/>
      <c r="M218" s="16"/>
      <c r="N218" s="16"/>
      <c r="O218" s="16"/>
      <c r="P218" s="16"/>
    </row>
    <row r="219" spans="9:16" ht="12.75">
      <c r="I219" s="16"/>
      <c r="J219" s="16"/>
      <c r="K219" s="16"/>
      <c r="L219" s="16"/>
      <c r="M219" s="16"/>
      <c r="N219" s="16"/>
      <c r="O219" s="16"/>
      <c r="P219" s="16"/>
    </row>
    <row r="220" spans="9:16" ht="12.75">
      <c r="I220" s="16"/>
      <c r="J220" s="16"/>
      <c r="K220" s="16"/>
      <c r="L220" s="16"/>
      <c r="M220" s="16"/>
      <c r="N220" s="16"/>
      <c r="O220" s="16"/>
      <c r="P220" s="16"/>
    </row>
    <row r="221" spans="9:16" ht="12.75">
      <c r="I221" s="16"/>
      <c r="J221" s="16"/>
      <c r="K221" s="16"/>
      <c r="L221" s="16"/>
      <c r="M221" s="16"/>
      <c r="N221" s="16"/>
      <c r="O221" s="16"/>
      <c r="P221" s="16"/>
    </row>
    <row r="222" spans="9:16" ht="12.75">
      <c r="I222" s="16"/>
      <c r="J222" s="16"/>
      <c r="K222" s="16"/>
      <c r="L222" s="16"/>
      <c r="M222" s="16"/>
      <c r="N222" s="16"/>
      <c r="O222" s="16"/>
      <c r="P222" s="16"/>
    </row>
    <row r="223" spans="9:16" ht="12.75">
      <c r="I223" s="16"/>
      <c r="J223" s="16"/>
      <c r="K223" s="16"/>
      <c r="L223" s="16"/>
      <c r="M223" s="16"/>
      <c r="N223" s="16"/>
      <c r="O223" s="16"/>
      <c r="P223" s="16"/>
    </row>
    <row r="224" spans="9:16" ht="12.75">
      <c r="I224" s="16"/>
      <c r="J224" s="16"/>
      <c r="K224" s="16"/>
      <c r="L224" s="16"/>
      <c r="M224" s="16"/>
      <c r="N224" s="16"/>
      <c r="O224" s="16"/>
      <c r="P224" s="16"/>
    </row>
    <row r="225" spans="9:16" ht="12.75">
      <c r="I225" s="16"/>
      <c r="J225" s="16"/>
      <c r="K225" s="16"/>
      <c r="L225" s="16"/>
      <c r="M225" s="16"/>
      <c r="N225" s="16"/>
      <c r="O225" s="16"/>
      <c r="P225" s="16"/>
    </row>
    <row r="226" spans="9:16" ht="12.75">
      <c r="I226" s="16"/>
      <c r="J226" s="16"/>
      <c r="K226" s="16"/>
      <c r="L226" s="16"/>
      <c r="M226" s="16"/>
      <c r="N226" s="16"/>
      <c r="O226" s="16"/>
      <c r="P226" s="16"/>
    </row>
    <row r="227" spans="9:16" ht="12.75">
      <c r="I227" s="16"/>
      <c r="J227" s="16"/>
      <c r="K227" s="16"/>
      <c r="L227" s="16"/>
      <c r="M227" s="16"/>
      <c r="N227" s="16"/>
      <c r="O227" s="16"/>
      <c r="P227" s="16"/>
    </row>
    <row r="228" spans="9:16" ht="12.75">
      <c r="I228" s="16"/>
      <c r="J228" s="16"/>
      <c r="K228" s="16"/>
      <c r="L228" s="16"/>
      <c r="M228" s="16"/>
      <c r="N228" s="16"/>
      <c r="O228" s="16"/>
      <c r="P228" s="16"/>
    </row>
    <row r="229" spans="9:16" ht="12.75">
      <c r="I229" s="16"/>
      <c r="J229" s="16"/>
      <c r="K229" s="16"/>
      <c r="L229" s="16"/>
      <c r="M229" s="16"/>
      <c r="N229" s="16"/>
      <c r="O229" s="16"/>
      <c r="P229" s="16"/>
    </row>
    <row r="230" spans="9:16" ht="12.75">
      <c r="I230" s="16"/>
      <c r="J230" s="16"/>
      <c r="K230" s="16"/>
      <c r="L230" s="16"/>
      <c r="M230" s="16"/>
      <c r="N230" s="16"/>
      <c r="O230" s="16"/>
      <c r="P230" s="16"/>
    </row>
    <row r="231" spans="9:16" ht="12.75">
      <c r="I231" s="16"/>
      <c r="J231" s="16"/>
      <c r="K231" s="16"/>
      <c r="L231" s="16"/>
      <c r="M231" s="16"/>
      <c r="N231" s="16"/>
      <c r="O231" s="16"/>
      <c r="P231" s="16"/>
    </row>
    <row r="232" spans="9:16" ht="12.75">
      <c r="I232" s="16"/>
      <c r="J232" s="16"/>
      <c r="K232" s="16"/>
      <c r="L232" s="16"/>
      <c r="M232" s="16"/>
      <c r="N232" s="16"/>
      <c r="O232" s="16"/>
      <c r="P232" s="16"/>
    </row>
    <row r="233" spans="9:16" ht="12.75">
      <c r="I233" s="16"/>
      <c r="J233" s="16"/>
      <c r="K233" s="16"/>
      <c r="L233" s="16"/>
      <c r="M233" s="16"/>
      <c r="N233" s="16"/>
      <c r="O233" s="16"/>
      <c r="P233" s="16"/>
    </row>
    <row r="234" spans="9:16" ht="12.75">
      <c r="I234" s="16"/>
      <c r="J234" s="16"/>
      <c r="K234" s="16"/>
      <c r="L234" s="16"/>
      <c r="M234" s="16"/>
      <c r="N234" s="16"/>
      <c r="O234" s="16"/>
      <c r="P234" s="16"/>
    </row>
    <row r="235" spans="9:16" ht="12.75">
      <c r="I235" s="16"/>
      <c r="J235" s="16"/>
      <c r="K235" s="16"/>
      <c r="L235" s="16"/>
      <c r="M235" s="16"/>
      <c r="N235" s="16"/>
      <c r="O235" s="16"/>
      <c r="P235" s="16"/>
    </row>
    <row r="236" spans="9:16" ht="12.75">
      <c r="I236" s="16"/>
      <c r="J236" s="16"/>
      <c r="K236" s="16"/>
      <c r="L236" s="16"/>
      <c r="M236" s="16"/>
      <c r="N236" s="16"/>
      <c r="O236" s="16"/>
      <c r="P236" s="16"/>
    </row>
    <row r="237" spans="9:16" ht="12.75">
      <c r="I237" s="16"/>
      <c r="J237" s="16"/>
      <c r="K237" s="16"/>
      <c r="L237" s="16"/>
      <c r="M237" s="16"/>
      <c r="N237" s="16"/>
      <c r="O237" s="16"/>
      <c r="P237" s="16"/>
    </row>
    <row r="238" spans="9:16" ht="12.75">
      <c r="I238" s="16"/>
      <c r="J238" s="16"/>
      <c r="K238" s="16"/>
      <c r="L238" s="16"/>
      <c r="M238" s="16"/>
      <c r="N238" s="16"/>
      <c r="O238" s="16"/>
      <c r="P238" s="16"/>
    </row>
    <row r="239" spans="9:16" ht="12.75">
      <c r="I239" s="16"/>
      <c r="J239" s="16"/>
      <c r="K239" s="16"/>
      <c r="L239" s="16"/>
      <c r="M239" s="16"/>
      <c r="N239" s="16"/>
      <c r="O239" s="16"/>
      <c r="P239" s="16"/>
    </row>
    <row r="240" spans="9:16" ht="12.75">
      <c r="I240" s="16"/>
      <c r="J240" s="16"/>
      <c r="K240" s="16"/>
      <c r="L240" s="16"/>
      <c r="M240" s="16"/>
      <c r="N240" s="16"/>
      <c r="O240" s="16"/>
      <c r="P240" s="16"/>
    </row>
    <row r="241" spans="9:16" ht="12.75">
      <c r="I241" s="16"/>
      <c r="J241" s="16"/>
      <c r="K241" s="16"/>
      <c r="L241" s="16"/>
      <c r="M241" s="16"/>
      <c r="N241" s="16"/>
      <c r="O241" s="16"/>
      <c r="P241" s="16"/>
    </row>
    <row r="242" spans="9:16" ht="12.75">
      <c r="I242" s="16"/>
      <c r="J242" s="16"/>
      <c r="K242" s="16"/>
      <c r="L242" s="16"/>
      <c r="M242" s="16"/>
      <c r="N242" s="16"/>
      <c r="O242" s="16"/>
      <c r="P242" s="16"/>
    </row>
    <row r="243" spans="9:16" ht="12.75">
      <c r="I243" s="16"/>
      <c r="J243" s="16"/>
      <c r="K243" s="16"/>
      <c r="L243" s="16"/>
      <c r="M243" s="16"/>
      <c r="N243" s="16"/>
      <c r="O243" s="16"/>
      <c r="P243" s="16"/>
    </row>
    <row r="244" spans="9:16" ht="12.75">
      <c r="I244" s="16"/>
      <c r="J244" s="16"/>
      <c r="K244" s="16"/>
      <c r="L244" s="16"/>
      <c r="M244" s="16"/>
      <c r="N244" s="16"/>
      <c r="O244" s="16"/>
      <c r="P244" s="16"/>
    </row>
    <row r="245" spans="9:16" ht="12.75">
      <c r="I245" s="16"/>
      <c r="J245" s="16"/>
      <c r="K245" s="16"/>
      <c r="L245" s="16"/>
      <c r="M245" s="16"/>
      <c r="N245" s="16"/>
      <c r="O245" s="16"/>
      <c r="P245" s="16"/>
    </row>
    <row r="246" spans="9:16" ht="12.75">
      <c r="I246" s="16"/>
      <c r="J246" s="16"/>
      <c r="K246" s="16"/>
      <c r="L246" s="16"/>
      <c r="M246" s="16"/>
      <c r="N246" s="16"/>
      <c r="O246" s="16"/>
      <c r="P246" s="16"/>
    </row>
    <row r="247" spans="9:16" ht="12.75">
      <c r="I247" s="16"/>
      <c r="J247" s="16"/>
      <c r="K247" s="16"/>
      <c r="L247" s="16"/>
      <c r="M247" s="16"/>
      <c r="N247" s="16"/>
      <c r="O247" s="16"/>
      <c r="P247" s="16"/>
    </row>
    <row r="248" spans="9:16" ht="12.75">
      <c r="I248" s="16"/>
      <c r="J248" s="16"/>
      <c r="K248" s="16"/>
      <c r="L248" s="16"/>
      <c r="M248" s="16"/>
      <c r="N248" s="16"/>
      <c r="O248" s="16"/>
      <c r="P248" s="16"/>
    </row>
    <row r="249" spans="9:16" ht="12.75">
      <c r="I249" s="16"/>
      <c r="J249" s="16"/>
      <c r="K249" s="16"/>
      <c r="L249" s="16"/>
      <c r="M249" s="16"/>
      <c r="N249" s="16"/>
      <c r="O249" s="16"/>
      <c r="P249" s="16"/>
    </row>
    <row r="250" spans="9:16" ht="12.75">
      <c r="I250" s="16"/>
      <c r="J250" s="16"/>
      <c r="K250" s="16"/>
      <c r="L250" s="16"/>
      <c r="M250" s="16"/>
      <c r="N250" s="16"/>
      <c r="O250" s="16"/>
      <c r="P250" s="16"/>
    </row>
    <row r="251" spans="9:16" ht="12.75">
      <c r="I251" s="16"/>
      <c r="J251" s="16"/>
      <c r="K251" s="16"/>
      <c r="L251" s="16"/>
      <c r="M251" s="16"/>
      <c r="N251" s="16"/>
      <c r="O251" s="16"/>
      <c r="P251" s="16"/>
    </row>
    <row r="252" spans="9:16" ht="12.75">
      <c r="I252" s="16"/>
      <c r="J252" s="16"/>
      <c r="K252" s="16"/>
      <c r="L252" s="16"/>
      <c r="M252" s="16"/>
      <c r="N252" s="16"/>
      <c r="O252" s="16"/>
      <c r="P252" s="16"/>
    </row>
    <row r="253" spans="9:16" ht="12.75">
      <c r="I253" s="16"/>
      <c r="J253" s="16"/>
      <c r="K253" s="16"/>
      <c r="L253" s="16"/>
      <c r="M253" s="16"/>
      <c r="N253" s="16"/>
      <c r="O253" s="16"/>
      <c r="P253" s="16"/>
    </row>
    <row r="254" spans="9:16" ht="12.75">
      <c r="I254" s="16"/>
      <c r="J254" s="16"/>
      <c r="K254" s="16"/>
      <c r="L254" s="16"/>
      <c r="M254" s="16"/>
      <c r="N254" s="16"/>
      <c r="O254" s="16"/>
      <c r="P254" s="16"/>
    </row>
    <row r="255" spans="9:16" ht="12.75">
      <c r="I255" s="16"/>
      <c r="J255" s="16"/>
      <c r="K255" s="16"/>
      <c r="L255" s="16"/>
      <c r="M255" s="16"/>
      <c r="N255" s="16"/>
      <c r="O255" s="16"/>
      <c r="P255" s="16"/>
    </row>
    <row r="256" spans="9:16" ht="12.75">
      <c r="I256" s="16"/>
      <c r="J256" s="16"/>
      <c r="K256" s="16"/>
      <c r="L256" s="16"/>
      <c r="M256" s="16"/>
      <c r="N256" s="16"/>
      <c r="O256" s="16"/>
      <c r="P256" s="16"/>
    </row>
    <row r="257" spans="9:16" ht="12.75">
      <c r="I257" s="16"/>
      <c r="J257" s="16"/>
      <c r="K257" s="16"/>
      <c r="L257" s="16"/>
      <c r="M257" s="16"/>
      <c r="N257" s="16"/>
      <c r="O257" s="16"/>
      <c r="P257" s="16"/>
    </row>
    <row r="258" spans="9:16" ht="12.75">
      <c r="I258" s="16"/>
      <c r="J258" s="16"/>
      <c r="K258" s="16"/>
      <c r="L258" s="16"/>
      <c r="M258" s="16"/>
      <c r="N258" s="16"/>
      <c r="O258" s="16"/>
      <c r="P258" s="16"/>
    </row>
    <row r="259" spans="9:16" ht="12.75">
      <c r="I259" s="16"/>
      <c r="J259" s="16"/>
      <c r="K259" s="16"/>
      <c r="L259" s="16"/>
      <c r="M259" s="16"/>
      <c r="N259" s="16"/>
      <c r="O259" s="16"/>
      <c r="P259" s="16"/>
    </row>
    <row r="260" spans="9:16" ht="12.75">
      <c r="I260" s="16"/>
      <c r="J260" s="16"/>
      <c r="K260" s="16"/>
      <c r="L260" s="16"/>
      <c r="M260" s="16"/>
      <c r="N260" s="16"/>
      <c r="O260" s="16"/>
      <c r="P260" s="16"/>
    </row>
    <row r="261" spans="9:16" ht="12.75">
      <c r="I261" s="16"/>
      <c r="J261" s="16"/>
      <c r="K261" s="16"/>
      <c r="L261" s="16"/>
      <c r="M261" s="16"/>
      <c r="N261" s="16"/>
      <c r="O261" s="16"/>
      <c r="P261" s="16"/>
    </row>
    <row r="262" spans="9:16" ht="12.75">
      <c r="I262" s="16"/>
      <c r="J262" s="16"/>
      <c r="K262" s="16"/>
      <c r="L262" s="16"/>
      <c r="M262" s="16"/>
      <c r="N262" s="16"/>
      <c r="O262" s="16"/>
      <c r="P262" s="16"/>
    </row>
    <row r="263" spans="9:16" ht="12.75">
      <c r="I263" s="16"/>
      <c r="J263" s="16"/>
      <c r="K263" s="16"/>
      <c r="L263" s="16"/>
      <c r="M263" s="16"/>
      <c r="N263" s="16"/>
      <c r="O263" s="16"/>
      <c r="P263" s="16"/>
    </row>
    <row r="264" spans="9:16" ht="12.75">
      <c r="I264" s="16"/>
      <c r="J264" s="16"/>
      <c r="K264" s="16"/>
      <c r="L264" s="16"/>
      <c r="M264" s="16"/>
      <c r="N264" s="16"/>
      <c r="O264" s="16"/>
      <c r="P264" s="16"/>
    </row>
    <row r="265" spans="9:16" ht="12.75">
      <c r="I265" s="16"/>
      <c r="J265" s="16"/>
      <c r="K265" s="16"/>
      <c r="L265" s="16"/>
      <c r="M265" s="16"/>
      <c r="N265" s="16"/>
      <c r="O265" s="16"/>
      <c r="P265" s="16"/>
    </row>
    <row r="266" spans="9:16" ht="12.75">
      <c r="I266" s="16"/>
      <c r="J266" s="16"/>
      <c r="K266" s="16"/>
      <c r="L266" s="16"/>
      <c r="M266" s="16"/>
      <c r="N266" s="16"/>
      <c r="O266" s="16"/>
      <c r="P266" s="16"/>
    </row>
    <row r="267" spans="9:16" ht="12.75">
      <c r="I267" s="16"/>
      <c r="J267" s="16"/>
      <c r="K267" s="16"/>
      <c r="L267" s="16"/>
      <c r="M267" s="16"/>
      <c r="N267" s="16"/>
      <c r="O267" s="16"/>
      <c r="P267" s="16"/>
    </row>
    <row r="268" spans="9:16" ht="12.75">
      <c r="I268" s="16"/>
      <c r="J268" s="16"/>
      <c r="K268" s="16"/>
      <c r="L268" s="16"/>
      <c r="M268" s="16"/>
      <c r="N268" s="16"/>
      <c r="O268" s="16"/>
      <c r="P268" s="16"/>
    </row>
    <row r="269" spans="9:16" ht="12.75">
      <c r="I269" s="16"/>
      <c r="J269" s="16"/>
      <c r="K269" s="16"/>
      <c r="L269" s="16"/>
      <c r="M269" s="16"/>
      <c r="N269" s="16"/>
      <c r="O269" s="16"/>
      <c r="P269" s="16"/>
    </row>
    <row r="270" spans="9:16" ht="12.75">
      <c r="I270" s="16"/>
      <c r="J270" s="16"/>
      <c r="K270" s="16"/>
      <c r="L270" s="16"/>
      <c r="M270" s="16"/>
      <c r="N270" s="16"/>
      <c r="O270" s="16"/>
      <c r="P270" s="16"/>
    </row>
    <row r="271" spans="9:16" ht="12.75">
      <c r="I271" s="16"/>
      <c r="J271" s="16"/>
      <c r="K271" s="16"/>
      <c r="L271" s="16"/>
      <c r="M271" s="16"/>
      <c r="N271" s="16"/>
      <c r="O271" s="16"/>
      <c r="P271" s="16"/>
    </row>
    <row r="272" spans="9:16" ht="12.75">
      <c r="I272" s="16"/>
      <c r="J272" s="16"/>
      <c r="K272" s="16"/>
      <c r="L272" s="16"/>
      <c r="M272" s="16"/>
      <c r="N272" s="16"/>
      <c r="O272" s="16"/>
      <c r="P272" s="16"/>
    </row>
    <row r="273" spans="9:16" ht="12.75">
      <c r="I273" s="16"/>
      <c r="J273" s="16"/>
      <c r="K273" s="16"/>
      <c r="L273" s="16"/>
      <c r="M273" s="16"/>
      <c r="N273" s="16"/>
      <c r="O273" s="16"/>
      <c r="P273" s="16"/>
    </row>
    <row r="274" spans="9:16" ht="12.75">
      <c r="I274" s="16"/>
      <c r="J274" s="16"/>
      <c r="K274" s="16"/>
      <c r="L274" s="16"/>
      <c r="M274" s="16"/>
      <c r="N274" s="16"/>
      <c r="O274" s="16"/>
      <c r="P274" s="16"/>
    </row>
    <row r="275" spans="9:16" ht="12.75">
      <c r="I275" s="16"/>
      <c r="J275" s="16"/>
      <c r="K275" s="16"/>
      <c r="L275" s="16"/>
      <c r="M275" s="16"/>
      <c r="N275" s="16"/>
      <c r="O275" s="16"/>
      <c r="P275" s="16"/>
    </row>
    <row r="276" spans="9:16" ht="12.75">
      <c r="I276" s="16"/>
      <c r="J276" s="16"/>
      <c r="K276" s="16"/>
      <c r="L276" s="16"/>
      <c r="M276" s="16"/>
      <c r="N276" s="16"/>
      <c r="O276" s="16"/>
      <c r="P276" s="16"/>
    </row>
    <row r="277" spans="9:16" ht="12.75">
      <c r="I277" s="16"/>
      <c r="J277" s="16"/>
      <c r="K277" s="16"/>
      <c r="L277" s="16"/>
      <c r="M277" s="16"/>
      <c r="N277" s="16"/>
      <c r="O277" s="16"/>
      <c r="P277" s="16"/>
    </row>
    <row r="278" spans="9:16" ht="12.75">
      <c r="I278" s="16"/>
      <c r="J278" s="16"/>
      <c r="K278" s="16"/>
      <c r="L278" s="16"/>
      <c r="M278" s="16"/>
      <c r="N278" s="16"/>
      <c r="O278" s="16"/>
      <c r="P278" s="16"/>
    </row>
    <row r="279" spans="9:16" ht="12.75">
      <c r="I279" s="16"/>
      <c r="J279" s="16"/>
      <c r="K279" s="16"/>
      <c r="L279" s="16"/>
      <c r="M279" s="16"/>
      <c r="N279" s="16"/>
      <c r="O279" s="16"/>
      <c r="P279" s="16"/>
    </row>
    <row r="280" spans="9:16" ht="12.75">
      <c r="I280" s="16"/>
      <c r="J280" s="16"/>
      <c r="K280" s="16"/>
      <c r="L280" s="16"/>
      <c r="M280" s="16"/>
      <c r="N280" s="16"/>
      <c r="O280" s="16"/>
      <c r="P280" s="16"/>
    </row>
    <row r="281" spans="9:16" ht="12.75">
      <c r="I281" s="16"/>
      <c r="J281" s="16"/>
      <c r="K281" s="16"/>
      <c r="L281" s="16"/>
      <c r="M281" s="16"/>
      <c r="N281" s="16"/>
      <c r="O281" s="16"/>
      <c r="P281" s="16"/>
    </row>
    <row r="282" spans="9:16" ht="12.75">
      <c r="I282" s="16"/>
      <c r="J282" s="16"/>
      <c r="K282" s="16"/>
      <c r="L282" s="16"/>
      <c r="M282" s="16"/>
      <c r="N282" s="16"/>
      <c r="O282" s="16"/>
      <c r="P282" s="16"/>
    </row>
    <row r="283" spans="9:16" ht="12.75">
      <c r="I283" s="16"/>
      <c r="J283" s="16"/>
      <c r="K283" s="16"/>
      <c r="L283" s="16"/>
      <c r="M283" s="16"/>
      <c r="N283" s="16"/>
      <c r="O283" s="16"/>
      <c r="P283" s="16"/>
    </row>
    <row r="284" spans="9:16" ht="12.75">
      <c r="I284" s="16"/>
      <c r="J284" s="16"/>
      <c r="K284" s="16"/>
      <c r="L284" s="16"/>
      <c r="M284" s="16"/>
      <c r="N284" s="16"/>
      <c r="O284" s="16"/>
      <c r="P284" s="16"/>
    </row>
    <row r="285" spans="9:16" ht="12.75">
      <c r="I285" s="16"/>
      <c r="J285" s="16"/>
      <c r="K285" s="16"/>
      <c r="L285" s="16"/>
      <c r="M285" s="16"/>
      <c r="N285" s="16"/>
      <c r="O285" s="16"/>
      <c r="P285" s="16"/>
    </row>
    <row r="286" spans="9:16" ht="12.75">
      <c r="I286" s="16"/>
      <c r="J286" s="16"/>
      <c r="K286" s="16"/>
      <c r="L286" s="16"/>
      <c r="M286" s="16"/>
      <c r="N286" s="16"/>
      <c r="O286" s="16"/>
      <c r="P286" s="16"/>
    </row>
    <row r="287" spans="9:16" ht="12.75">
      <c r="I287" s="16"/>
      <c r="J287" s="16"/>
      <c r="K287" s="16"/>
      <c r="L287" s="16"/>
      <c r="M287" s="16"/>
      <c r="N287" s="16"/>
      <c r="O287" s="16"/>
      <c r="P287" s="16"/>
    </row>
    <row r="288" spans="9:16" ht="12.75">
      <c r="I288" s="16"/>
      <c r="J288" s="16"/>
      <c r="K288" s="16"/>
      <c r="L288" s="16"/>
      <c r="M288" s="16"/>
      <c r="N288" s="16"/>
      <c r="O288" s="16"/>
      <c r="P288" s="16"/>
    </row>
    <row r="289" spans="9:16" ht="12.75">
      <c r="I289" s="16"/>
      <c r="J289" s="16"/>
      <c r="K289" s="16"/>
      <c r="L289" s="16"/>
      <c r="M289" s="16"/>
      <c r="N289" s="16"/>
      <c r="O289" s="16"/>
      <c r="P289" s="16"/>
    </row>
    <row r="290" spans="9:16" ht="12.75">
      <c r="I290" s="16"/>
      <c r="J290" s="16"/>
      <c r="K290" s="16"/>
      <c r="L290" s="16"/>
      <c r="M290" s="16"/>
      <c r="N290" s="16"/>
      <c r="O290" s="16"/>
      <c r="P290" s="16"/>
    </row>
    <row r="291" spans="9:16" ht="12.75">
      <c r="I291" s="16"/>
      <c r="J291" s="16"/>
      <c r="K291" s="16"/>
      <c r="L291" s="16"/>
      <c r="M291" s="16"/>
      <c r="N291" s="16"/>
      <c r="O291" s="16"/>
      <c r="P291" s="16"/>
    </row>
    <row r="292" spans="9:16" ht="12.75">
      <c r="I292" s="16"/>
      <c r="J292" s="16"/>
      <c r="K292" s="16"/>
      <c r="L292" s="16"/>
      <c r="M292" s="16"/>
      <c r="N292" s="16"/>
      <c r="O292" s="16"/>
      <c r="P292" s="16"/>
    </row>
    <row r="293" spans="9:16" ht="12.75">
      <c r="I293" s="16"/>
      <c r="J293" s="16"/>
      <c r="K293" s="16"/>
      <c r="L293" s="16"/>
      <c r="M293" s="16"/>
      <c r="N293" s="16"/>
      <c r="O293" s="16"/>
      <c r="P293" s="16"/>
    </row>
    <row r="294" spans="9:16" ht="12.75">
      <c r="I294" s="16"/>
      <c r="J294" s="16"/>
      <c r="K294" s="16"/>
      <c r="L294" s="16"/>
      <c r="M294" s="16"/>
      <c r="N294" s="16"/>
      <c r="O294" s="16"/>
      <c r="P294" s="16"/>
    </row>
    <row r="295" spans="9:16" ht="12.75">
      <c r="I295" s="16"/>
      <c r="J295" s="16"/>
      <c r="K295" s="16"/>
      <c r="L295" s="16"/>
      <c r="M295" s="16"/>
      <c r="N295" s="16"/>
      <c r="O295" s="16"/>
      <c r="P295" s="16"/>
    </row>
    <row r="296" spans="9:16" ht="12.75">
      <c r="I296" s="16"/>
      <c r="J296" s="16"/>
      <c r="K296" s="16"/>
      <c r="L296" s="16"/>
      <c r="M296" s="16"/>
      <c r="N296" s="16"/>
      <c r="O296" s="16"/>
      <c r="P296" s="16"/>
    </row>
    <row r="297" spans="9:16" ht="12.75">
      <c r="I297" s="16"/>
      <c r="J297" s="16"/>
      <c r="K297" s="16"/>
      <c r="L297" s="16"/>
      <c r="M297" s="16"/>
      <c r="N297" s="16"/>
      <c r="O297" s="16"/>
      <c r="P297" s="16"/>
    </row>
    <row r="298" spans="9:16" ht="12.75">
      <c r="I298" s="16"/>
      <c r="J298" s="16"/>
      <c r="K298" s="16"/>
      <c r="L298" s="16"/>
      <c r="M298" s="16"/>
      <c r="N298" s="16"/>
      <c r="O298" s="16"/>
      <c r="P298" s="16"/>
    </row>
    <row r="299" spans="9:16" ht="12.75">
      <c r="I299" s="16"/>
      <c r="J299" s="16"/>
      <c r="K299" s="16"/>
      <c r="L299" s="16"/>
      <c r="M299" s="16"/>
      <c r="N299" s="16"/>
      <c r="O299" s="16"/>
      <c r="P299" s="16"/>
    </row>
    <row r="300" spans="9:16" ht="12.75">
      <c r="I300" s="16"/>
      <c r="J300" s="16"/>
      <c r="K300" s="16"/>
      <c r="L300" s="16"/>
      <c r="M300" s="16"/>
      <c r="N300" s="16"/>
      <c r="O300" s="16"/>
      <c r="P300" s="16"/>
    </row>
    <row r="301" spans="9:16" ht="12.75">
      <c r="I301" s="16"/>
      <c r="J301" s="16"/>
      <c r="K301" s="16"/>
      <c r="L301" s="16"/>
      <c r="M301" s="16"/>
      <c r="N301" s="16"/>
      <c r="O301" s="16"/>
      <c r="P301" s="16"/>
    </row>
    <row r="302" spans="9:16" ht="12.75">
      <c r="I302" s="16"/>
      <c r="J302" s="16"/>
      <c r="K302" s="16"/>
      <c r="L302" s="16"/>
      <c r="M302" s="16"/>
      <c r="N302" s="16"/>
      <c r="O302" s="16"/>
      <c r="P302" s="16"/>
    </row>
    <row r="303" spans="9:16" ht="12.75">
      <c r="I303" s="16"/>
      <c r="J303" s="16"/>
      <c r="K303" s="16"/>
      <c r="L303" s="16"/>
      <c r="M303" s="16"/>
      <c r="N303" s="16"/>
      <c r="O303" s="16"/>
      <c r="P303" s="16"/>
    </row>
    <row r="304" spans="9:16" ht="12.75">
      <c r="I304" s="16"/>
      <c r="J304" s="16"/>
      <c r="K304" s="16"/>
      <c r="L304" s="16"/>
      <c r="M304" s="16"/>
      <c r="N304" s="16"/>
      <c r="O304" s="16"/>
      <c r="P304" s="16"/>
    </row>
    <row r="305" spans="9:16" ht="12.75">
      <c r="I305" s="16"/>
      <c r="J305" s="16"/>
      <c r="K305" s="16"/>
      <c r="L305" s="16"/>
      <c r="M305" s="16"/>
      <c r="N305" s="16"/>
      <c r="O305" s="16"/>
      <c r="P305" s="16"/>
    </row>
    <row r="306" spans="9:16" ht="12.75">
      <c r="I306" s="16"/>
      <c r="J306" s="16"/>
      <c r="K306" s="16"/>
      <c r="L306" s="16"/>
      <c r="M306" s="16"/>
      <c r="N306" s="16"/>
      <c r="O306" s="16"/>
      <c r="P306" s="16"/>
    </row>
    <row r="307" spans="9:16" ht="12.75">
      <c r="I307" s="16"/>
      <c r="J307" s="16"/>
      <c r="K307" s="16"/>
      <c r="L307" s="16"/>
      <c r="M307" s="16"/>
      <c r="N307" s="16"/>
      <c r="O307" s="16"/>
      <c r="P307" s="16"/>
    </row>
    <row r="308" spans="9:16" ht="12.75">
      <c r="I308" s="16"/>
      <c r="J308" s="16"/>
      <c r="K308" s="16"/>
      <c r="L308" s="16"/>
      <c r="M308" s="16"/>
      <c r="N308" s="16"/>
      <c r="O308" s="16"/>
      <c r="P308" s="16"/>
    </row>
    <row r="309" spans="9:16" ht="12.75">
      <c r="I309" s="16"/>
      <c r="J309" s="16"/>
      <c r="K309" s="16"/>
      <c r="L309" s="16"/>
      <c r="M309" s="16"/>
      <c r="N309" s="16"/>
      <c r="O309" s="16"/>
      <c r="P309" s="16"/>
    </row>
    <row r="310" spans="9:16" ht="12.75">
      <c r="I310" s="16"/>
      <c r="J310" s="16"/>
      <c r="K310" s="16"/>
      <c r="L310" s="16"/>
      <c r="M310" s="16"/>
      <c r="N310" s="16"/>
      <c r="O310" s="16"/>
      <c r="P310" s="16"/>
    </row>
    <row r="311" spans="9:16" ht="12.75">
      <c r="I311" s="16"/>
      <c r="J311" s="16"/>
      <c r="K311" s="16"/>
      <c r="L311" s="16"/>
      <c r="M311" s="16"/>
      <c r="N311" s="16"/>
      <c r="O311" s="16"/>
      <c r="P311" s="16"/>
    </row>
    <row r="312" spans="9:16" ht="12.75">
      <c r="I312" s="16"/>
      <c r="J312" s="16"/>
      <c r="K312" s="16"/>
      <c r="L312" s="16"/>
      <c r="M312" s="16"/>
      <c r="N312" s="16"/>
      <c r="O312" s="16"/>
      <c r="P312" s="16"/>
    </row>
    <row r="313" spans="9:16" ht="12.75">
      <c r="I313" s="16"/>
      <c r="J313" s="16"/>
      <c r="K313" s="16"/>
      <c r="L313" s="16"/>
      <c r="M313" s="16"/>
      <c r="N313" s="16"/>
      <c r="O313" s="16"/>
      <c r="P313" s="16"/>
    </row>
    <row r="314" spans="9:16" ht="12.75">
      <c r="I314" s="16"/>
      <c r="J314" s="16"/>
      <c r="K314" s="16"/>
      <c r="L314" s="16"/>
      <c r="M314" s="16"/>
      <c r="N314" s="16"/>
      <c r="O314" s="16"/>
      <c r="P314" s="16"/>
    </row>
    <row r="315" spans="9:16" ht="12.75">
      <c r="I315" s="16"/>
      <c r="J315" s="16"/>
      <c r="K315" s="16"/>
      <c r="L315" s="16"/>
      <c r="M315" s="16"/>
      <c r="N315" s="16"/>
      <c r="O315" s="16"/>
      <c r="P315" s="16"/>
    </row>
    <row r="316" spans="9:16" ht="12.75">
      <c r="I316" s="16"/>
      <c r="J316" s="16"/>
      <c r="K316" s="16"/>
      <c r="L316" s="16"/>
      <c r="M316" s="16"/>
      <c r="N316" s="16"/>
      <c r="O316" s="16"/>
      <c r="P316" s="16"/>
    </row>
    <row r="317" spans="9:16" ht="12.75">
      <c r="I317" s="16"/>
      <c r="J317" s="16"/>
      <c r="K317" s="16"/>
      <c r="L317" s="16"/>
      <c r="M317" s="16"/>
      <c r="N317" s="16"/>
      <c r="O317" s="16"/>
      <c r="P317" s="16"/>
    </row>
    <row r="318" spans="9:16" ht="12.75">
      <c r="I318" s="16"/>
      <c r="J318" s="16"/>
      <c r="K318" s="16"/>
      <c r="L318" s="16"/>
      <c r="M318" s="16"/>
      <c r="N318" s="16"/>
      <c r="O318" s="16"/>
      <c r="P318" s="16"/>
    </row>
    <row r="319" spans="9:16" ht="12.75">
      <c r="I319" s="16"/>
      <c r="J319" s="16"/>
      <c r="K319" s="16"/>
      <c r="L319" s="16"/>
      <c r="M319" s="16"/>
      <c r="N319" s="16"/>
      <c r="O319" s="16"/>
      <c r="P319" s="16"/>
    </row>
    <row r="320" spans="9:16" ht="12.75">
      <c r="I320" s="16"/>
      <c r="J320" s="16"/>
      <c r="K320" s="16"/>
      <c r="L320" s="16"/>
      <c r="M320" s="16"/>
      <c r="N320" s="16"/>
      <c r="O320" s="16"/>
      <c r="P320" s="16"/>
    </row>
    <row r="321" spans="9:16" ht="12.75">
      <c r="I321" s="16"/>
      <c r="J321" s="16"/>
      <c r="K321" s="16"/>
      <c r="L321" s="16"/>
      <c r="M321" s="16"/>
      <c r="N321" s="16"/>
      <c r="O321" s="16"/>
      <c r="P321" s="16"/>
    </row>
    <row r="322" spans="9:16" ht="12.75">
      <c r="I322" s="16"/>
      <c r="J322" s="16"/>
      <c r="K322" s="16"/>
      <c r="L322" s="16"/>
      <c r="M322" s="16"/>
      <c r="N322" s="16"/>
      <c r="O322" s="16"/>
      <c r="P322" s="16"/>
    </row>
    <row r="323" spans="9:16" ht="12.75">
      <c r="I323" s="16"/>
      <c r="J323" s="16"/>
      <c r="K323" s="16"/>
      <c r="L323" s="16"/>
      <c r="M323" s="16"/>
      <c r="N323" s="16"/>
      <c r="O323" s="16"/>
      <c r="P323" s="16"/>
    </row>
    <row r="324" spans="9:16" ht="12.75">
      <c r="I324" s="16"/>
      <c r="J324" s="16"/>
      <c r="K324" s="16"/>
      <c r="L324" s="16"/>
      <c r="M324" s="16"/>
      <c r="N324" s="16"/>
      <c r="O324" s="16"/>
      <c r="P324" s="16"/>
    </row>
    <row r="325" spans="9:16" ht="12.75">
      <c r="I325" s="16"/>
      <c r="J325" s="16"/>
      <c r="K325" s="16"/>
      <c r="L325" s="16"/>
      <c r="M325" s="16"/>
      <c r="N325" s="16"/>
      <c r="O325" s="16"/>
      <c r="P325" s="16"/>
    </row>
    <row r="326" spans="9:16" ht="12.75">
      <c r="I326" s="16"/>
      <c r="J326" s="16"/>
      <c r="K326" s="16"/>
      <c r="L326" s="16"/>
      <c r="M326" s="16"/>
      <c r="N326" s="16"/>
      <c r="O326" s="16"/>
      <c r="P326" s="16"/>
    </row>
    <row r="327" spans="9:16" ht="12.75">
      <c r="I327" s="16"/>
      <c r="J327" s="16"/>
      <c r="K327" s="16"/>
      <c r="L327" s="16"/>
      <c r="M327" s="16"/>
      <c r="N327" s="16"/>
      <c r="O327" s="16"/>
      <c r="P327" s="16"/>
    </row>
    <row r="328" spans="9:16" ht="12.75">
      <c r="I328" s="16"/>
      <c r="J328" s="16"/>
      <c r="K328" s="16"/>
      <c r="L328" s="16"/>
      <c r="M328" s="16"/>
      <c r="N328" s="16"/>
      <c r="O328" s="16"/>
      <c r="P328" s="16"/>
    </row>
    <row r="329" spans="9:16" ht="12.75">
      <c r="I329" s="16"/>
      <c r="J329" s="16"/>
      <c r="K329" s="16"/>
      <c r="L329" s="16"/>
      <c r="M329" s="16"/>
      <c r="N329" s="16"/>
      <c r="O329" s="16"/>
      <c r="P329" s="16"/>
    </row>
    <row r="330" spans="9:16" ht="12.75">
      <c r="I330" s="16"/>
      <c r="J330" s="16"/>
      <c r="K330" s="16"/>
      <c r="L330" s="16"/>
      <c r="M330" s="16"/>
      <c r="N330" s="16"/>
      <c r="O330" s="16"/>
      <c r="P330" s="16"/>
    </row>
    <row r="331" spans="9:16" ht="12.75">
      <c r="I331" s="16"/>
      <c r="J331" s="16"/>
      <c r="K331" s="16"/>
      <c r="L331" s="16"/>
      <c r="M331" s="16"/>
      <c r="N331" s="16"/>
      <c r="O331" s="16"/>
      <c r="P331" s="16"/>
    </row>
    <row r="332" spans="9:16" ht="12.75">
      <c r="I332" s="16"/>
      <c r="J332" s="16"/>
      <c r="K332" s="16"/>
      <c r="L332" s="16"/>
      <c r="M332" s="16"/>
      <c r="N332" s="16"/>
      <c r="O332" s="16"/>
      <c r="P332" s="16"/>
    </row>
    <row r="333" spans="9:16" ht="12.75">
      <c r="I333" s="16"/>
      <c r="J333" s="16"/>
      <c r="K333" s="16"/>
      <c r="L333" s="16"/>
      <c r="M333" s="16"/>
      <c r="N333" s="16"/>
      <c r="O333" s="16"/>
      <c r="P333" s="16"/>
    </row>
    <row r="334" spans="9:16" ht="12.75">
      <c r="I334" s="16"/>
      <c r="J334" s="16"/>
      <c r="K334" s="16"/>
      <c r="L334" s="16"/>
      <c r="M334" s="16"/>
      <c r="N334" s="16"/>
      <c r="O334" s="16"/>
      <c r="P334" s="16"/>
    </row>
    <row r="335" spans="9:16" ht="12.75">
      <c r="I335" s="16"/>
      <c r="J335" s="16"/>
      <c r="K335" s="16"/>
      <c r="L335" s="16"/>
      <c r="M335" s="16"/>
      <c r="N335" s="16"/>
      <c r="O335" s="16"/>
      <c r="P335" s="16"/>
    </row>
    <row r="336" spans="9:16" ht="12.75">
      <c r="I336" s="16"/>
      <c r="J336" s="16"/>
      <c r="K336" s="16"/>
      <c r="L336" s="16"/>
      <c r="M336" s="16"/>
      <c r="N336" s="16"/>
      <c r="O336" s="16"/>
      <c r="P336" s="16"/>
    </row>
    <row r="337" spans="9:16" ht="12.75">
      <c r="I337" s="16"/>
      <c r="J337" s="16"/>
      <c r="K337" s="16"/>
      <c r="L337" s="16"/>
      <c r="M337" s="16"/>
      <c r="N337" s="16"/>
      <c r="O337" s="16"/>
      <c r="P337" s="16"/>
    </row>
    <row r="338" spans="9:16" ht="12.75">
      <c r="I338" s="16"/>
      <c r="J338" s="16"/>
      <c r="K338" s="16"/>
      <c r="L338" s="16"/>
      <c r="M338" s="16"/>
      <c r="N338" s="16"/>
      <c r="O338" s="16"/>
      <c r="P338" s="16"/>
    </row>
    <row r="339" spans="9:16" ht="12.75">
      <c r="I339" s="16"/>
      <c r="J339" s="16"/>
      <c r="K339" s="16"/>
      <c r="L339" s="16"/>
      <c r="M339" s="16"/>
      <c r="N339" s="16"/>
      <c r="O339" s="16"/>
      <c r="P339" s="16"/>
    </row>
    <row r="340" spans="9:16" ht="12.75">
      <c r="I340" s="16"/>
      <c r="J340" s="16"/>
      <c r="K340" s="16"/>
      <c r="L340" s="16"/>
      <c r="M340" s="16"/>
      <c r="N340" s="16"/>
      <c r="O340" s="16"/>
      <c r="P340" s="16"/>
    </row>
    <row r="341" spans="9:16" ht="12.75">
      <c r="I341" s="16"/>
      <c r="J341" s="16"/>
      <c r="K341" s="16"/>
      <c r="L341" s="16"/>
      <c r="M341" s="16"/>
      <c r="N341" s="16"/>
      <c r="O341" s="16"/>
      <c r="P341" s="16"/>
    </row>
    <row r="342" spans="9:16" ht="12.75">
      <c r="I342" s="16"/>
      <c r="J342" s="16"/>
      <c r="K342" s="16"/>
      <c r="L342" s="16"/>
      <c r="M342" s="16"/>
      <c r="N342" s="16"/>
      <c r="O342" s="16"/>
      <c r="P342" s="16"/>
    </row>
    <row r="343" spans="9:16" ht="12.75">
      <c r="I343" s="16"/>
      <c r="J343" s="16"/>
      <c r="K343" s="16"/>
      <c r="L343" s="16"/>
      <c r="M343" s="16"/>
      <c r="N343" s="16"/>
      <c r="O343" s="16"/>
      <c r="P343" s="16"/>
    </row>
    <row r="344" spans="9:16" ht="12.75">
      <c r="I344" s="16"/>
      <c r="J344" s="16"/>
      <c r="K344" s="16"/>
      <c r="L344" s="16"/>
      <c r="M344" s="16"/>
      <c r="N344" s="16"/>
      <c r="O344" s="16"/>
      <c r="P344" s="16"/>
    </row>
    <row r="345" spans="9:16" ht="12.75">
      <c r="I345" s="16"/>
      <c r="J345" s="16"/>
      <c r="K345" s="16"/>
      <c r="L345" s="16"/>
      <c r="M345" s="16"/>
      <c r="N345" s="16"/>
      <c r="O345" s="16"/>
      <c r="P345" s="16"/>
    </row>
    <row r="346" spans="9:16" ht="12.75">
      <c r="I346" s="16"/>
      <c r="J346" s="16"/>
      <c r="K346" s="16"/>
      <c r="L346" s="16"/>
      <c r="M346" s="16"/>
      <c r="N346" s="16"/>
      <c r="O346" s="16"/>
      <c r="P346" s="16"/>
    </row>
    <row r="347" spans="9:16" ht="12.75">
      <c r="I347" s="16"/>
      <c r="J347" s="16"/>
      <c r="K347" s="16"/>
      <c r="L347" s="16"/>
      <c r="M347" s="16"/>
      <c r="N347" s="16"/>
      <c r="O347" s="16"/>
      <c r="P347" s="16"/>
    </row>
    <row r="348" spans="9:16" ht="12.75">
      <c r="I348" s="16"/>
      <c r="J348" s="16"/>
      <c r="K348" s="16"/>
      <c r="L348" s="16"/>
      <c r="M348" s="16"/>
      <c r="N348" s="16"/>
      <c r="O348" s="16"/>
      <c r="P348" s="16"/>
    </row>
    <row r="349" spans="9:16" ht="12.75">
      <c r="I349" s="16"/>
      <c r="J349" s="16"/>
      <c r="K349" s="16"/>
      <c r="L349" s="16"/>
      <c r="M349" s="16"/>
      <c r="N349" s="16"/>
      <c r="O349" s="16"/>
      <c r="P349" s="16"/>
    </row>
    <row r="350" spans="9:16" ht="12.75">
      <c r="I350" s="16"/>
      <c r="J350" s="16"/>
      <c r="K350" s="16"/>
      <c r="L350" s="16"/>
      <c r="M350" s="16"/>
      <c r="N350" s="16"/>
      <c r="O350" s="16"/>
      <c r="P350" s="16"/>
    </row>
    <row r="351" spans="9:16" ht="12.75">
      <c r="I351" s="16"/>
      <c r="J351" s="16"/>
      <c r="K351" s="16"/>
      <c r="L351" s="16"/>
      <c r="M351" s="16"/>
      <c r="N351" s="16"/>
      <c r="O351" s="16"/>
      <c r="P351" s="16"/>
    </row>
    <row r="352" spans="9:16" ht="12.75">
      <c r="I352" s="16"/>
      <c r="J352" s="16"/>
      <c r="K352" s="16"/>
      <c r="L352" s="16"/>
      <c r="M352" s="16"/>
      <c r="N352" s="16"/>
      <c r="O352" s="16"/>
      <c r="P352" s="16"/>
    </row>
    <row r="353" spans="9:16" ht="12.75">
      <c r="I353" s="16"/>
      <c r="J353" s="16"/>
      <c r="K353" s="16"/>
      <c r="L353" s="16"/>
      <c r="M353" s="16"/>
      <c r="N353" s="16"/>
      <c r="O353" s="16"/>
      <c r="P353" s="16"/>
    </row>
    <row r="354" spans="9:16" ht="12.75">
      <c r="I354" s="16"/>
      <c r="J354" s="16"/>
      <c r="K354" s="16"/>
      <c r="L354" s="16"/>
      <c r="M354" s="16"/>
      <c r="N354" s="16"/>
      <c r="O354" s="16"/>
      <c r="P354" s="16"/>
    </row>
    <row r="355" spans="9:16" ht="12.75">
      <c r="I355" s="16"/>
      <c r="J355" s="16"/>
      <c r="K355" s="16"/>
      <c r="L355" s="16"/>
      <c r="M355" s="16"/>
      <c r="N355" s="16"/>
      <c r="O355" s="16"/>
      <c r="P355" s="16"/>
    </row>
    <row r="356" spans="9:16" ht="12.75">
      <c r="I356" s="16"/>
      <c r="J356" s="16"/>
      <c r="K356" s="16"/>
      <c r="L356" s="16"/>
      <c r="M356" s="16"/>
      <c r="N356" s="16"/>
      <c r="O356" s="16"/>
      <c r="P356" s="16"/>
    </row>
    <row r="357" spans="9:16" ht="12.75">
      <c r="I357" s="16"/>
      <c r="J357" s="16"/>
      <c r="K357" s="16"/>
      <c r="L357" s="16"/>
      <c r="M357" s="16"/>
      <c r="N357" s="16"/>
      <c r="O357" s="16"/>
      <c r="P357" s="16"/>
    </row>
    <row r="358" spans="9:16" ht="12.75">
      <c r="I358" s="16"/>
      <c r="J358" s="16"/>
      <c r="K358" s="16"/>
      <c r="L358" s="16"/>
      <c r="M358" s="16"/>
      <c r="N358" s="16"/>
      <c r="O358" s="16"/>
      <c r="P358" s="16"/>
    </row>
    <row r="359" spans="9:16" ht="12.75">
      <c r="I359" s="16"/>
      <c r="J359" s="16"/>
      <c r="K359" s="16"/>
      <c r="L359" s="16"/>
      <c r="M359" s="16"/>
      <c r="N359" s="16"/>
      <c r="O359" s="16"/>
      <c r="P359" s="16"/>
    </row>
    <row r="360" spans="9:16" ht="12.75">
      <c r="I360" s="16"/>
      <c r="J360" s="16"/>
      <c r="K360" s="16"/>
      <c r="L360" s="16"/>
      <c r="M360" s="16"/>
      <c r="N360" s="16"/>
      <c r="O360" s="16"/>
      <c r="P360" s="16"/>
    </row>
    <row r="361" spans="9:16" ht="12.75">
      <c r="I361" s="16"/>
      <c r="J361" s="16"/>
      <c r="K361" s="16"/>
      <c r="L361" s="16"/>
      <c r="M361" s="16"/>
      <c r="N361" s="16"/>
      <c r="O361" s="16"/>
      <c r="P361" s="16"/>
    </row>
    <row r="362" spans="9:16" ht="12.75">
      <c r="I362" s="16"/>
      <c r="J362" s="16"/>
      <c r="K362" s="16"/>
      <c r="L362" s="16"/>
      <c r="M362" s="16"/>
      <c r="N362" s="16"/>
      <c r="O362" s="16"/>
      <c r="P362" s="16"/>
    </row>
    <row r="363" spans="9:16" ht="12.75">
      <c r="I363" s="16"/>
      <c r="J363" s="16"/>
      <c r="K363" s="16"/>
      <c r="L363" s="16"/>
      <c r="M363" s="16"/>
      <c r="N363" s="16"/>
      <c r="O363" s="16"/>
      <c r="P363" s="16"/>
    </row>
    <row r="364" spans="9:16" ht="12.75">
      <c r="I364" s="16"/>
      <c r="J364" s="16"/>
      <c r="K364" s="16"/>
      <c r="L364" s="16"/>
      <c r="M364" s="16"/>
      <c r="N364" s="16"/>
      <c r="O364" s="16"/>
      <c r="P364" s="16"/>
    </row>
    <row r="365" spans="9:16" ht="12.75">
      <c r="I365" s="16"/>
      <c r="J365" s="16"/>
      <c r="K365" s="16"/>
      <c r="L365" s="16"/>
      <c r="M365" s="16"/>
      <c r="N365" s="16"/>
      <c r="O365" s="16"/>
      <c r="P365" s="16"/>
    </row>
    <row r="366" spans="9:16" ht="12.75">
      <c r="I366" s="16"/>
      <c r="J366" s="16"/>
      <c r="K366" s="16"/>
      <c r="L366" s="16"/>
      <c r="M366" s="16"/>
      <c r="N366" s="16"/>
      <c r="O366" s="16"/>
      <c r="P366" s="16"/>
    </row>
    <row r="367" spans="9:16" ht="12.75">
      <c r="I367" s="16"/>
      <c r="J367" s="16"/>
      <c r="K367" s="16"/>
      <c r="L367" s="16"/>
      <c r="M367" s="16"/>
      <c r="N367" s="16"/>
      <c r="O367" s="16"/>
      <c r="P367" s="16"/>
    </row>
    <row r="368" spans="9:16" ht="12.75">
      <c r="I368" s="16"/>
      <c r="J368" s="16"/>
      <c r="K368" s="16"/>
      <c r="L368" s="16"/>
      <c r="M368" s="16"/>
      <c r="N368" s="16"/>
      <c r="O368" s="16"/>
      <c r="P368" s="16"/>
    </row>
    <row r="369" spans="9:16" ht="12.75">
      <c r="I369" s="16"/>
      <c r="J369" s="16"/>
      <c r="K369" s="16"/>
      <c r="L369" s="16"/>
      <c r="M369" s="16"/>
      <c r="N369" s="16"/>
      <c r="O369" s="16"/>
      <c r="P369" s="16"/>
    </row>
    <row r="370" spans="9:16" ht="12.75">
      <c r="I370" s="16"/>
      <c r="J370" s="16"/>
      <c r="K370" s="16"/>
      <c r="L370" s="16"/>
      <c r="M370" s="16"/>
      <c r="N370" s="16"/>
      <c r="O370" s="16"/>
      <c r="P370" s="16"/>
    </row>
    <row r="371" spans="9:16" ht="12.75">
      <c r="I371" s="16"/>
      <c r="J371" s="16"/>
      <c r="K371" s="16"/>
      <c r="L371" s="16"/>
      <c r="M371" s="16"/>
      <c r="N371" s="16"/>
      <c r="O371" s="16"/>
      <c r="P371" s="16"/>
    </row>
    <row r="372" spans="9:16" ht="12.75">
      <c r="I372" s="16"/>
      <c r="J372" s="16"/>
      <c r="K372" s="16"/>
      <c r="L372" s="16"/>
      <c r="M372" s="16"/>
      <c r="N372" s="16"/>
      <c r="O372" s="16"/>
      <c r="P372" s="16"/>
    </row>
    <row r="373" spans="9:16" ht="12.75">
      <c r="I373" s="16"/>
      <c r="J373" s="16"/>
      <c r="K373" s="16"/>
      <c r="L373" s="16"/>
      <c r="M373" s="16"/>
      <c r="N373" s="16"/>
      <c r="O373" s="16"/>
      <c r="P373" s="16"/>
    </row>
    <row r="374" spans="9:16" ht="12.75">
      <c r="I374" s="16"/>
      <c r="J374" s="16"/>
      <c r="K374" s="16"/>
      <c r="L374" s="16"/>
      <c r="M374" s="16"/>
      <c r="N374" s="16"/>
      <c r="O374" s="16"/>
      <c r="P374" s="16"/>
    </row>
    <row r="375" spans="9:16" ht="12.75">
      <c r="I375" s="16"/>
      <c r="J375" s="16"/>
      <c r="K375" s="16"/>
      <c r="L375" s="16"/>
      <c r="M375" s="16"/>
      <c r="N375" s="16"/>
      <c r="O375" s="16"/>
      <c r="P375" s="16"/>
    </row>
    <row r="376" spans="9:16" ht="12.75">
      <c r="I376" s="16"/>
      <c r="J376" s="16"/>
      <c r="K376" s="16"/>
      <c r="L376" s="16"/>
      <c r="M376" s="16"/>
      <c r="N376" s="16"/>
      <c r="O376" s="16"/>
      <c r="P376" s="16"/>
    </row>
    <row r="377" spans="9:16" ht="12.75">
      <c r="I377" s="16"/>
      <c r="J377" s="16"/>
      <c r="K377" s="16"/>
      <c r="L377" s="16"/>
      <c r="M377" s="16"/>
      <c r="N377" s="16"/>
      <c r="O377" s="16"/>
      <c r="P377" s="16"/>
    </row>
    <row r="378" spans="9:16" ht="12.75">
      <c r="I378" s="16"/>
      <c r="J378" s="16"/>
      <c r="K378" s="16"/>
      <c r="L378" s="16"/>
      <c r="M378" s="16"/>
      <c r="N378" s="16"/>
      <c r="O378" s="16"/>
      <c r="P378" s="16"/>
    </row>
    <row r="379" spans="9:16" ht="12.75">
      <c r="I379" s="16"/>
      <c r="J379" s="16"/>
      <c r="K379" s="16"/>
      <c r="L379" s="16"/>
      <c r="M379" s="16"/>
      <c r="N379" s="16"/>
      <c r="O379" s="16"/>
      <c r="P379" s="16"/>
    </row>
    <row r="380" spans="9:16" ht="12.75">
      <c r="I380" s="16"/>
      <c r="J380" s="16"/>
      <c r="K380" s="16"/>
      <c r="L380" s="16"/>
      <c r="M380" s="16"/>
      <c r="N380" s="16"/>
      <c r="O380" s="16"/>
      <c r="P380" s="16"/>
    </row>
    <row r="381" spans="9:16" ht="12.75">
      <c r="I381" s="16"/>
      <c r="J381" s="16"/>
      <c r="K381" s="16"/>
      <c r="L381" s="16"/>
      <c r="M381" s="16"/>
      <c r="N381" s="16"/>
      <c r="O381" s="16"/>
      <c r="P381" s="16"/>
    </row>
    <row r="382" spans="9:16" ht="12.75">
      <c r="I382" s="16"/>
      <c r="J382" s="16"/>
      <c r="K382" s="16"/>
      <c r="L382" s="16"/>
      <c r="M382" s="16"/>
      <c r="N382" s="16"/>
      <c r="O382" s="16"/>
      <c r="P382" s="16"/>
    </row>
    <row r="383" spans="9:16" ht="12.75">
      <c r="I383" s="16"/>
      <c r="J383" s="16"/>
      <c r="K383" s="16"/>
      <c r="L383" s="16"/>
      <c r="M383" s="16"/>
      <c r="N383" s="16"/>
      <c r="O383" s="16"/>
      <c r="P383" s="16"/>
    </row>
    <row r="384" spans="9:16" ht="12.75">
      <c r="I384" s="16"/>
      <c r="J384" s="16"/>
      <c r="K384" s="16"/>
      <c r="L384" s="16"/>
      <c r="M384" s="16"/>
      <c r="N384" s="16"/>
      <c r="O384" s="16"/>
      <c r="P384" s="16"/>
    </row>
    <row r="385" spans="9:16" ht="12.75">
      <c r="I385" s="16"/>
      <c r="J385" s="16"/>
      <c r="K385" s="16"/>
      <c r="L385" s="16"/>
      <c r="M385" s="16"/>
      <c r="N385" s="16"/>
      <c r="O385" s="16"/>
      <c r="P385" s="16"/>
    </row>
    <row r="386" spans="9:16" ht="12.75">
      <c r="I386" s="16"/>
      <c r="J386" s="16"/>
      <c r="K386" s="16"/>
      <c r="L386" s="16"/>
      <c r="M386" s="16"/>
      <c r="N386" s="16"/>
      <c r="O386" s="16"/>
      <c r="P386" s="16"/>
    </row>
    <row r="387" spans="9:16" ht="12.75">
      <c r="I387" s="16"/>
      <c r="J387" s="16"/>
      <c r="K387" s="16"/>
      <c r="L387" s="16"/>
      <c r="M387" s="16"/>
      <c r="N387" s="16"/>
      <c r="O387" s="16"/>
      <c r="P387" s="16"/>
    </row>
    <row r="388" spans="9:16" ht="12.75">
      <c r="I388" s="16"/>
      <c r="J388" s="16"/>
      <c r="K388" s="16"/>
      <c r="L388" s="16"/>
      <c r="M388" s="16"/>
      <c r="N388" s="16"/>
      <c r="O388" s="16"/>
      <c r="P388" s="16"/>
    </row>
    <row r="389" spans="9:16" ht="12.75">
      <c r="I389" s="16"/>
      <c r="J389" s="16"/>
      <c r="K389" s="16"/>
      <c r="L389" s="16"/>
      <c r="M389" s="16"/>
      <c r="N389" s="16"/>
      <c r="O389" s="16"/>
      <c r="P389" s="16"/>
    </row>
    <row r="390" spans="9:16" ht="12.75">
      <c r="I390" s="16"/>
      <c r="J390" s="16"/>
      <c r="K390" s="16"/>
      <c r="L390" s="16"/>
      <c r="M390" s="16"/>
      <c r="N390" s="16"/>
      <c r="O390" s="16"/>
      <c r="P390" s="16"/>
    </row>
    <row r="391" spans="9:16" ht="12.75">
      <c r="I391" s="16"/>
      <c r="J391" s="16"/>
      <c r="K391" s="16"/>
      <c r="L391" s="16"/>
      <c r="M391" s="16"/>
      <c r="N391" s="16"/>
      <c r="O391" s="16"/>
      <c r="P391" s="16"/>
    </row>
    <row r="392" spans="9:16" ht="12.75">
      <c r="I392" s="16"/>
      <c r="J392" s="16"/>
      <c r="K392" s="16"/>
      <c r="L392" s="16"/>
      <c r="M392" s="16"/>
      <c r="N392" s="16"/>
      <c r="O392" s="16"/>
      <c r="P392" s="16"/>
    </row>
    <row r="393" spans="9:16" ht="12.75">
      <c r="I393" s="16"/>
      <c r="J393" s="16"/>
      <c r="K393" s="16"/>
      <c r="L393" s="16"/>
      <c r="M393" s="16"/>
      <c r="N393" s="16"/>
      <c r="O393" s="16"/>
      <c r="P393" s="16"/>
    </row>
    <row r="394" spans="9:16" ht="12.75">
      <c r="I394" s="16"/>
      <c r="J394" s="16"/>
      <c r="K394" s="16"/>
      <c r="L394" s="16"/>
      <c r="M394" s="16"/>
      <c r="N394" s="16"/>
      <c r="O394" s="16"/>
      <c r="P394" s="16"/>
    </row>
    <row r="395" spans="9:16" ht="12.75">
      <c r="I395" s="16"/>
      <c r="J395" s="16"/>
      <c r="K395" s="16"/>
      <c r="L395" s="16"/>
      <c r="M395" s="16"/>
      <c r="N395" s="16"/>
      <c r="O395" s="16"/>
      <c r="P395" s="16"/>
    </row>
    <row r="396" spans="9:16" ht="12.75">
      <c r="I396" s="16"/>
      <c r="J396" s="16"/>
      <c r="K396" s="16"/>
      <c r="L396" s="16"/>
      <c r="M396" s="16"/>
      <c r="N396" s="16"/>
      <c r="O396" s="16"/>
      <c r="P396" s="16"/>
    </row>
    <row r="397" spans="9:16" ht="12.75">
      <c r="I397" s="16"/>
      <c r="J397" s="16"/>
      <c r="K397" s="16"/>
      <c r="L397" s="16"/>
      <c r="M397" s="16"/>
      <c r="N397" s="16"/>
      <c r="O397" s="16"/>
      <c r="P397" s="16"/>
    </row>
    <row r="398" spans="9:16" ht="12.75">
      <c r="I398" s="16"/>
      <c r="J398" s="16"/>
      <c r="K398" s="16"/>
      <c r="L398" s="16"/>
      <c r="M398" s="16"/>
      <c r="N398" s="16"/>
      <c r="O398" s="16"/>
      <c r="P398" s="16"/>
    </row>
    <row r="399" spans="9:16" ht="12.75">
      <c r="I399" s="16"/>
      <c r="J399" s="16"/>
      <c r="K399" s="16"/>
      <c r="L399" s="16"/>
      <c r="M399" s="16"/>
      <c r="N399" s="16"/>
      <c r="O399" s="16"/>
      <c r="P399" s="16"/>
    </row>
    <row r="400" spans="9:16" ht="12.75">
      <c r="I400" s="16"/>
      <c r="J400" s="16"/>
      <c r="K400" s="16"/>
      <c r="L400" s="16"/>
      <c r="M400" s="16"/>
      <c r="N400" s="16"/>
      <c r="O400" s="16"/>
      <c r="P400" s="16"/>
    </row>
    <row r="401" spans="9:16" ht="12.75">
      <c r="I401" s="16"/>
      <c r="J401" s="16"/>
      <c r="K401" s="16"/>
      <c r="L401" s="16"/>
      <c r="M401" s="16"/>
      <c r="N401" s="16"/>
      <c r="O401" s="16"/>
      <c r="P401" s="16"/>
    </row>
    <row r="402" spans="9:16" ht="12.75">
      <c r="I402" s="16"/>
      <c r="J402" s="16"/>
      <c r="K402" s="16"/>
      <c r="L402" s="16"/>
      <c r="M402" s="16"/>
      <c r="N402" s="16"/>
      <c r="O402" s="16"/>
      <c r="P402" s="16"/>
    </row>
    <row r="403" spans="9:16" ht="12.75">
      <c r="I403" s="16"/>
      <c r="J403" s="16"/>
      <c r="K403" s="16"/>
      <c r="L403" s="16"/>
      <c r="M403" s="16"/>
      <c r="N403" s="16"/>
      <c r="O403" s="16"/>
      <c r="P403" s="16"/>
    </row>
    <row r="404" spans="9:16" ht="12.75">
      <c r="I404" s="16"/>
      <c r="J404" s="16"/>
      <c r="K404" s="16"/>
      <c r="L404" s="16"/>
      <c r="M404" s="16"/>
      <c r="N404" s="16"/>
      <c r="O404" s="16"/>
      <c r="P404" s="16"/>
    </row>
    <row r="405" spans="9:16" ht="12.75">
      <c r="I405" s="16"/>
      <c r="J405" s="16"/>
      <c r="K405" s="16"/>
      <c r="L405" s="16"/>
      <c r="M405" s="16"/>
      <c r="N405" s="16"/>
      <c r="O405" s="16"/>
      <c r="P405" s="16"/>
    </row>
    <row r="406" spans="9:16" ht="12.75">
      <c r="I406" s="16"/>
      <c r="J406" s="16"/>
      <c r="K406" s="16"/>
      <c r="L406" s="16"/>
      <c r="M406" s="16"/>
      <c r="N406" s="16"/>
      <c r="O406" s="16"/>
      <c r="P406" s="16"/>
    </row>
    <row r="407" spans="9:16" ht="12.75">
      <c r="I407" s="16"/>
      <c r="J407" s="16"/>
      <c r="K407" s="16"/>
      <c r="L407" s="16"/>
      <c r="M407" s="16"/>
      <c r="N407" s="16"/>
      <c r="O407" s="16"/>
      <c r="P407" s="16"/>
    </row>
    <row r="408" spans="9:16" ht="12.75">
      <c r="I408" s="16"/>
      <c r="J408" s="16"/>
      <c r="K408" s="16"/>
      <c r="L408" s="16"/>
      <c r="M408" s="16"/>
      <c r="N408" s="16"/>
      <c r="O408" s="16"/>
      <c r="P408" s="16"/>
    </row>
    <row r="409" spans="9:16" ht="12.75">
      <c r="I409" s="16"/>
      <c r="J409" s="16"/>
      <c r="K409" s="16"/>
      <c r="L409" s="16"/>
      <c r="M409" s="16"/>
      <c r="N409" s="16"/>
      <c r="O409" s="16"/>
      <c r="P409" s="16"/>
    </row>
    <row r="410" spans="9:16" ht="12.75">
      <c r="I410" s="16"/>
      <c r="J410" s="16"/>
      <c r="K410" s="16"/>
      <c r="L410" s="16"/>
      <c r="M410" s="16"/>
      <c r="N410" s="16"/>
      <c r="O410" s="16"/>
      <c r="P410" s="16"/>
    </row>
    <row r="411" spans="9:16" ht="12.75">
      <c r="I411" s="16"/>
      <c r="J411" s="16"/>
      <c r="K411" s="16"/>
      <c r="L411" s="16"/>
      <c r="M411" s="16"/>
      <c r="N411" s="16"/>
      <c r="O411" s="16"/>
      <c r="P411" s="16"/>
    </row>
    <row r="412" spans="9:16" ht="12.75">
      <c r="I412" s="16"/>
      <c r="J412" s="16"/>
      <c r="K412" s="16"/>
      <c r="L412" s="16"/>
      <c r="M412" s="16"/>
      <c r="N412" s="16"/>
      <c r="O412" s="16"/>
      <c r="P412" s="16"/>
    </row>
    <row r="413" spans="9:16" ht="12.75">
      <c r="I413" s="16"/>
      <c r="J413" s="16"/>
      <c r="K413" s="16"/>
      <c r="L413" s="16"/>
      <c r="M413" s="16"/>
      <c r="N413" s="16"/>
      <c r="O413" s="16"/>
      <c r="P413" s="16"/>
    </row>
    <row r="414" spans="9:16" ht="12.75">
      <c r="I414" s="16"/>
      <c r="J414" s="16"/>
      <c r="K414" s="16"/>
      <c r="L414" s="16"/>
      <c r="M414" s="16"/>
      <c r="N414" s="16"/>
      <c r="O414" s="16"/>
      <c r="P414" s="16"/>
    </row>
    <row r="415" spans="9:16" ht="12.75">
      <c r="I415" s="16"/>
      <c r="J415" s="16"/>
      <c r="K415" s="16"/>
      <c r="L415" s="16"/>
      <c r="M415" s="16"/>
      <c r="N415" s="16"/>
      <c r="O415" s="16"/>
      <c r="P415" s="16"/>
    </row>
    <row r="416" spans="9:16" ht="12.75">
      <c r="I416" s="16"/>
      <c r="J416" s="16"/>
      <c r="K416" s="16"/>
      <c r="L416" s="16"/>
      <c r="M416" s="16"/>
      <c r="N416" s="16"/>
      <c r="O416" s="16"/>
      <c r="P416" s="16"/>
    </row>
    <row r="417" spans="9:16" ht="12.75">
      <c r="I417" s="16"/>
      <c r="J417" s="16"/>
      <c r="K417" s="16"/>
      <c r="L417" s="16"/>
      <c r="M417" s="16"/>
      <c r="N417" s="16"/>
      <c r="O417" s="16"/>
      <c r="P417" s="16"/>
    </row>
    <row r="418" spans="9:16" ht="12.75">
      <c r="I418" s="16"/>
      <c r="J418" s="16"/>
      <c r="K418" s="16"/>
      <c r="L418" s="16"/>
      <c r="M418" s="16"/>
      <c r="N418" s="16"/>
      <c r="O418" s="16"/>
      <c r="P418" s="16"/>
    </row>
    <row r="419" spans="9:16" ht="12.75">
      <c r="I419" s="16"/>
      <c r="J419" s="16"/>
      <c r="K419" s="16"/>
      <c r="L419" s="16"/>
      <c r="M419" s="16"/>
      <c r="N419" s="16"/>
      <c r="O419" s="16"/>
      <c r="P419" s="16"/>
    </row>
    <row r="420" spans="9:16" ht="12.75">
      <c r="I420" s="16"/>
      <c r="J420" s="16"/>
      <c r="K420" s="16"/>
      <c r="L420" s="16"/>
      <c r="M420" s="16"/>
      <c r="N420" s="16"/>
      <c r="O420" s="16"/>
      <c r="P420" s="16"/>
    </row>
    <row r="421" spans="9:16" ht="12.75">
      <c r="I421" s="16"/>
      <c r="J421" s="16"/>
      <c r="K421" s="16"/>
      <c r="L421" s="16"/>
      <c r="M421" s="16"/>
      <c r="N421" s="16"/>
      <c r="O421" s="16"/>
      <c r="P421" s="16"/>
    </row>
    <row r="422" spans="9:16" ht="12.75">
      <c r="I422" s="16"/>
      <c r="J422" s="16"/>
      <c r="K422" s="16"/>
      <c r="L422" s="16"/>
      <c r="M422" s="16"/>
      <c r="N422" s="16"/>
      <c r="O422" s="16"/>
      <c r="P422" s="16"/>
    </row>
    <row r="423" spans="9:16" ht="12.75">
      <c r="I423" s="16"/>
      <c r="J423" s="16"/>
      <c r="K423" s="16"/>
      <c r="L423" s="16"/>
      <c r="M423" s="16"/>
      <c r="N423" s="16"/>
      <c r="O423" s="16"/>
      <c r="P423" s="16"/>
    </row>
    <row r="424" spans="9:16" ht="12.75">
      <c r="I424" s="16"/>
      <c r="J424" s="16"/>
      <c r="K424" s="16"/>
      <c r="L424" s="16"/>
      <c r="M424" s="16"/>
      <c r="N424" s="16"/>
      <c r="O424" s="16"/>
      <c r="P424" s="16"/>
    </row>
    <row r="425" spans="9:16" ht="12.75">
      <c r="I425" s="16"/>
      <c r="J425" s="16"/>
      <c r="K425" s="16"/>
      <c r="L425" s="16"/>
      <c r="M425" s="16"/>
      <c r="N425" s="16"/>
      <c r="O425" s="16"/>
      <c r="P425" s="16"/>
    </row>
    <row r="426" spans="9:16" ht="12.75">
      <c r="I426" s="16"/>
      <c r="J426" s="16"/>
      <c r="K426" s="16"/>
      <c r="L426" s="16"/>
      <c r="M426" s="16"/>
      <c r="N426" s="16"/>
      <c r="O426" s="16"/>
      <c r="P426" s="16"/>
    </row>
    <row r="427" spans="9:16" ht="12.75">
      <c r="I427" s="16"/>
      <c r="J427" s="16"/>
      <c r="K427" s="16"/>
      <c r="L427" s="16"/>
      <c r="M427" s="16"/>
      <c r="N427" s="16"/>
      <c r="O427" s="16"/>
      <c r="P427" s="16"/>
    </row>
    <row r="428" spans="9:16" ht="12.75">
      <c r="I428" s="16"/>
      <c r="J428" s="16"/>
      <c r="K428" s="16"/>
      <c r="L428" s="16"/>
      <c r="M428" s="16"/>
      <c r="N428" s="16"/>
      <c r="O428" s="16"/>
      <c r="P428" s="16"/>
    </row>
    <row r="429" spans="9:16" ht="12.75">
      <c r="I429" s="16"/>
      <c r="J429" s="16"/>
      <c r="K429" s="16"/>
      <c r="L429" s="16"/>
      <c r="M429" s="16"/>
      <c r="N429" s="16"/>
      <c r="O429" s="16"/>
      <c r="P429" s="16"/>
    </row>
    <row r="430" spans="9:16" ht="12.75">
      <c r="I430" s="16"/>
      <c r="J430" s="16"/>
      <c r="K430" s="16"/>
      <c r="L430" s="16"/>
      <c r="M430" s="16"/>
      <c r="N430" s="16"/>
      <c r="O430" s="16"/>
      <c r="P430" s="16"/>
    </row>
    <row r="431" spans="9:16" ht="12.75">
      <c r="I431" s="16"/>
      <c r="J431" s="16"/>
      <c r="K431" s="16"/>
      <c r="L431" s="16"/>
      <c r="M431" s="16"/>
      <c r="N431" s="16"/>
      <c r="O431" s="16"/>
      <c r="P431" s="16"/>
    </row>
    <row r="432" spans="9:16" ht="12.75">
      <c r="I432" s="16"/>
      <c r="J432" s="16"/>
      <c r="K432" s="16"/>
      <c r="L432" s="16"/>
      <c r="M432" s="16"/>
      <c r="N432" s="16"/>
      <c r="O432" s="16"/>
      <c r="P432" s="16"/>
    </row>
    <row r="433" spans="9:16" ht="12.75">
      <c r="I433" s="16"/>
      <c r="J433" s="16"/>
      <c r="K433" s="16"/>
      <c r="L433" s="16"/>
      <c r="M433" s="16"/>
      <c r="N433" s="16"/>
      <c r="O433" s="16"/>
      <c r="P433" s="16"/>
    </row>
    <row r="434" spans="9:16" ht="12.75">
      <c r="I434" s="16"/>
      <c r="J434" s="16"/>
      <c r="K434" s="16"/>
      <c r="L434" s="16"/>
      <c r="M434" s="16"/>
      <c r="N434" s="16"/>
      <c r="O434" s="16"/>
      <c r="P434" s="16"/>
    </row>
    <row r="435" spans="9:16" ht="12.75">
      <c r="I435" s="16"/>
      <c r="J435" s="16"/>
      <c r="K435" s="16"/>
      <c r="L435" s="16"/>
      <c r="M435" s="16"/>
      <c r="N435" s="16"/>
      <c r="O435" s="16"/>
      <c r="P435" s="16"/>
    </row>
    <row r="436" spans="9:16" ht="12.75">
      <c r="I436" s="16"/>
      <c r="J436" s="16"/>
      <c r="K436" s="16"/>
      <c r="L436" s="16"/>
      <c r="M436" s="16"/>
      <c r="N436" s="16"/>
      <c r="O436" s="16"/>
      <c r="P436" s="16"/>
    </row>
    <row r="437" spans="9:16" ht="12.75">
      <c r="I437" s="16"/>
      <c r="J437" s="16"/>
      <c r="K437" s="16"/>
      <c r="L437" s="16"/>
      <c r="M437" s="16"/>
      <c r="N437" s="16"/>
      <c r="O437" s="16"/>
      <c r="P437" s="16"/>
    </row>
    <row r="438" spans="9:16" ht="12.75">
      <c r="I438" s="16"/>
      <c r="J438" s="16"/>
      <c r="K438" s="16"/>
      <c r="L438" s="16"/>
      <c r="M438" s="16"/>
      <c r="N438" s="16"/>
      <c r="O438" s="16"/>
      <c r="P438" s="16"/>
    </row>
    <row r="439" spans="9:16" ht="12.75">
      <c r="I439" s="16"/>
      <c r="J439" s="16"/>
      <c r="K439" s="16"/>
      <c r="L439" s="16"/>
      <c r="M439" s="16"/>
      <c r="N439" s="16"/>
      <c r="O439" s="16"/>
      <c r="P439" s="16"/>
    </row>
    <row r="440" spans="9:16" ht="12.75">
      <c r="I440" s="16"/>
      <c r="J440" s="16"/>
      <c r="K440" s="16"/>
      <c r="L440" s="16"/>
      <c r="M440" s="16"/>
      <c r="N440" s="16"/>
      <c r="O440" s="16"/>
      <c r="P440" s="16"/>
    </row>
    <row r="441" spans="9:16" ht="12.75">
      <c r="I441" s="16"/>
      <c r="J441" s="16"/>
      <c r="K441" s="16"/>
      <c r="L441" s="16"/>
      <c r="M441" s="16"/>
      <c r="N441" s="16"/>
      <c r="O441" s="16"/>
      <c r="P441" s="16"/>
    </row>
    <row r="442" spans="9:16" ht="12.75">
      <c r="I442" s="16"/>
      <c r="J442" s="16"/>
      <c r="K442" s="16"/>
      <c r="L442" s="16"/>
      <c r="M442" s="16"/>
      <c r="N442" s="16"/>
      <c r="O442" s="16"/>
      <c r="P442" s="16"/>
    </row>
    <row r="443" spans="9:16" ht="12.75">
      <c r="I443" s="16"/>
      <c r="J443" s="16"/>
      <c r="K443" s="16"/>
      <c r="L443" s="16"/>
      <c r="M443" s="16"/>
      <c r="N443" s="16"/>
      <c r="O443" s="16"/>
      <c r="P443" s="16"/>
    </row>
    <row r="444" spans="9:16" ht="12.75">
      <c r="I444" s="16"/>
      <c r="J444" s="16"/>
      <c r="K444" s="16"/>
      <c r="L444" s="16"/>
      <c r="M444" s="16"/>
      <c r="N444" s="16"/>
      <c r="O444" s="16"/>
      <c r="P444" s="16"/>
    </row>
    <row r="445" spans="9:16" ht="12.75">
      <c r="I445" s="16"/>
      <c r="J445" s="16"/>
      <c r="K445" s="16"/>
      <c r="L445" s="16"/>
      <c r="M445" s="16"/>
      <c r="N445" s="16"/>
      <c r="O445" s="16"/>
      <c r="P445" s="16"/>
    </row>
    <row r="446" spans="9:16" ht="12.75">
      <c r="I446" s="16"/>
      <c r="J446" s="16"/>
      <c r="K446" s="16"/>
      <c r="L446" s="16"/>
      <c r="M446" s="16"/>
      <c r="N446" s="16"/>
      <c r="O446" s="16"/>
      <c r="P446" s="16"/>
    </row>
    <row r="447" spans="9:16" ht="12.75">
      <c r="I447" s="16"/>
      <c r="J447" s="16"/>
      <c r="K447" s="16"/>
      <c r="L447" s="16"/>
      <c r="M447" s="16"/>
      <c r="N447" s="16"/>
      <c r="O447" s="16"/>
      <c r="P447" s="16"/>
    </row>
    <row r="448" spans="9:16" ht="12.75">
      <c r="I448" s="16"/>
      <c r="J448" s="16"/>
      <c r="K448" s="16"/>
      <c r="L448" s="16"/>
      <c r="M448" s="16"/>
      <c r="N448" s="16"/>
      <c r="O448" s="16"/>
      <c r="P448" s="16"/>
    </row>
    <row r="449" spans="9:16" ht="12.75">
      <c r="I449" s="16"/>
      <c r="J449" s="16"/>
      <c r="K449" s="16"/>
      <c r="L449" s="16"/>
      <c r="M449" s="16"/>
      <c r="N449" s="16"/>
      <c r="O449" s="16"/>
      <c r="P449" s="16"/>
    </row>
    <row r="450" spans="9:16" ht="12.75">
      <c r="I450" s="16"/>
      <c r="J450" s="16"/>
      <c r="K450" s="16"/>
      <c r="L450" s="16"/>
      <c r="M450" s="16"/>
      <c r="N450" s="16"/>
      <c r="O450" s="16"/>
      <c r="P450" s="16"/>
    </row>
    <row r="451" spans="9:16" ht="12.75">
      <c r="I451" s="16"/>
      <c r="J451" s="16"/>
      <c r="K451" s="16"/>
      <c r="L451" s="16"/>
      <c r="M451" s="16"/>
      <c r="N451" s="16"/>
      <c r="O451" s="16"/>
      <c r="P451" s="16"/>
    </row>
    <row r="452" spans="9:16" ht="12.75">
      <c r="I452" s="16"/>
      <c r="J452" s="16"/>
      <c r="K452" s="16"/>
      <c r="L452" s="16"/>
      <c r="M452" s="16"/>
      <c r="N452" s="16"/>
      <c r="O452" s="16"/>
      <c r="P452" s="16"/>
    </row>
    <row r="453" spans="9:16" ht="12.75">
      <c r="I453" s="16"/>
      <c r="J453" s="16"/>
      <c r="K453" s="16"/>
      <c r="L453" s="16"/>
      <c r="M453" s="16"/>
      <c r="N453" s="16"/>
      <c r="O453" s="16"/>
      <c r="P453" s="16"/>
    </row>
    <row r="454" spans="9:16" ht="12.75">
      <c r="I454" s="16"/>
      <c r="J454" s="16"/>
      <c r="K454" s="16"/>
      <c r="L454" s="16"/>
      <c r="M454" s="16"/>
      <c r="N454" s="16"/>
      <c r="O454" s="16"/>
      <c r="P454" s="16"/>
    </row>
    <row r="455" spans="9:16" ht="12.75">
      <c r="I455" s="16"/>
      <c r="J455" s="16"/>
      <c r="K455" s="16"/>
      <c r="L455" s="16"/>
      <c r="M455" s="16"/>
      <c r="N455" s="16"/>
      <c r="O455" s="16"/>
      <c r="P455" s="16"/>
    </row>
    <row r="456" spans="9:16" ht="12.75">
      <c r="I456" s="16"/>
      <c r="J456" s="16"/>
      <c r="K456" s="16"/>
      <c r="L456" s="16"/>
      <c r="M456" s="16"/>
      <c r="N456" s="16"/>
      <c r="O456" s="16"/>
      <c r="P456" s="16"/>
    </row>
    <row r="457" spans="9:16" ht="12.75">
      <c r="I457" s="16"/>
      <c r="J457" s="16"/>
      <c r="K457" s="16"/>
      <c r="L457" s="16"/>
      <c r="M457" s="16"/>
      <c r="N457" s="16"/>
      <c r="O457" s="16"/>
      <c r="P457" s="16"/>
    </row>
    <row r="458" spans="9:16" ht="12.75">
      <c r="I458" s="16"/>
      <c r="J458" s="16"/>
      <c r="K458" s="16"/>
      <c r="L458" s="16"/>
      <c r="M458" s="16"/>
      <c r="N458" s="16"/>
      <c r="O458" s="16"/>
      <c r="P458" s="16"/>
    </row>
    <row r="459" spans="9:16" ht="12.75">
      <c r="I459" s="16"/>
      <c r="J459" s="16"/>
      <c r="K459" s="16"/>
      <c r="L459" s="16"/>
      <c r="M459" s="16"/>
      <c r="N459" s="16"/>
      <c r="O459" s="16"/>
      <c r="P459" s="16"/>
    </row>
    <row r="460" spans="9:16" ht="12.75">
      <c r="I460" s="16"/>
      <c r="J460" s="16"/>
      <c r="K460" s="16"/>
      <c r="L460" s="16"/>
      <c r="M460" s="16"/>
      <c r="N460" s="16"/>
      <c r="O460" s="16"/>
      <c r="P460" s="16"/>
    </row>
    <row r="461" spans="9:16" ht="12.75">
      <c r="I461" s="16"/>
      <c r="J461" s="16"/>
      <c r="K461" s="16"/>
      <c r="L461" s="16"/>
      <c r="M461" s="16"/>
      <c r="N461" s="16"/>
      <c r="O461" s="16"/>
      <c r="P461" s="16"/>
    </row>
    <row r="462" spans="9:16" ht="12.75">
      <c r="I462" s="16"/>
      <c r="J462" s="16"/>
      <c r="K462" s="16"/>
      <c r="L462" s="16"/>
      <c r="M462" s="16"/>
      <c r="N462" s="16"/>
      <c r="O462" s="16"/>
      <c r="P462" s="16"/>
    </row>
    <row r="463" spans="9:16" ht="12.75">
      <c r="I463" s="16"/>
      <c r="J463" s="16"/>
      <c r="K463" s="16"/>
      <c r="L463" s="16"/>
      <c r="M463" s="16"/>
      <c r="N463" s="16"/>
      <c r="O463" s="16"/>
      <c r="P463" s="16"/>
    </row>
    <row r="464" spans="9:16" ht="12.75">
      <c r="I464" s="16"/>
      <c r="J464" s="16"/>
      <c r="K464" s="16"/>
      <c r="L464" s="16"/>
      <c r="M464" s="16"/>
      <c r="N464" s="16"/>
      <c r="O464" s="16"/>
      <c r="P464" s="16"/>
    </row>
    <row r="465" spans="9:16" ht="12.75">
      <c r="I465" s="16"/>
      <c r="J465" s="16"/>
      <c r="K465" s="16"/>
      <c r="L465" s="16"/>
      <c r="M465" s="16"/>
      <c r="N465" s="16"/>
      <c r="O465" s="16"/>
      <c r="P465" s="16"/>
    </row>
    <row r="466" spans="9:16" ht="12.75">
      <c r="I466" s="16"/>
      <c r="J466" s="16"/>
      <c r="K466" s="16"/>
      <c r="L466" s="16"/>
      <c r="M466" s="16"/>
      <c r="N466" s="16"/>
      <c r="O466" s="16"/>
      <c r="P466" s="16"/>
    </row>
    <row r="467" spans="9:16" ht="12.75">
      <c r="I467" s="16"/>
      <c r="J467" s="16"/>
      <c r="K467" s="16"/>
      <c r="L467" s="16"/>
      <c r="M467" s="16"/>
      <c r="N467" s="16"/>
      <c r="O467" s="16"/>
      <c r="P467" s="16"/>
    </row>
    <row r="468" spans="9:16" ht="12.75">
      <c r="I468" s="16"/>
      <c r="J468" s="16"/>
      <c r="K468" s="16"/>
      <c r="L468" s="16"/>
      <c r="M468" s="16"/>
      <c r="N468" s="16"/>
      <c r="O468" s="16"/>
      <c r="P468" s="16"/>
    </row>
    <row r="469" spans="9:16" ht="12.75">
      <c r="I469" s="16"/>
      <c r="J469" s="16"/>
      <c r="K469" s="16"/>
      <c r="L469" s="16"/>
      <c r="M469" s="16"/>
      <c r="N469" s="16"/>
      <c r="O469" s="16"/>
      <c r="P469" s="16"/>
    </row>
    <row r="470" spans="9:16" ht="12.75">
      <c r="I470" s="16"/>
      <c r="J470" s="16"/>
      <c r="K470" s="16"/>
      <c r="L470" s="16"/>
      <c r="M470" s="16"/>
      <c r="N470" s="16"/>
      <c r="O470" s="16"/>
      <c r="P470" s="16"/>
    </row>
    <row r="471" spans="9:16" ht="12.75">
      <c r="I471" s="16"/>
      <c r="J471" s="16"/>
      <c r="K471" s="16"/>
      <c r="L471" s="16"/>
      <c r="M471" s="16"/>
      <c r="N471" s="16"/>
      <c r="O471" s="16"/>
      <c r="P471" s="16"/>
    </row>
    <row r="472" spans="9:16" ht="12.75">
      <c r="I472" s="16"/>
      <c r="J472" s="16"/>
      <c r="K472" s="16"/>
      <c r="L472" s="16"/>
      <c r="M472" s="16"/>
      <c r="N472" s="16"/>
      <c r="O472" s="16"/>
      <c r="P472" s="16"/>
    </row>
    <row r="473" spans="9:16" ht="12.75">
      <c r="I473" s="16"/>
      <c r="J473" s="16"/>
      <c r="K473" s="16"/>
      <c r="L473" s="16"/>
      <c r="M473" s="16"/>
      <c r="N473" s="16"/>
      <c r="O473" s="16"/>
      <c r="P473" s="16"/>
    </row>
    <row r="474" spans="9:16" ht="12.75">
      <c r="I474" s="16"/>
      <c r="J474" s="16"/>
      <c r="K474" s="16"/>
      <c r="L474" s="16"/>
      <c r="M474" s="16"/>
      <c r="N474" s="16"/>
      <c r="O474" s="16"/>
      <c r="P474" s="16"/>
    </row>
    <row r="475" spans="9:16" ht="12.75">
      <c r="I475" s="16"/>
      <c r="J475" s="16"/>
      <c r="K475" s="16"/>
      <c r="L475" s="16"/>
      <c r="M475" s="16"/>
      <c r="N475" s="16"/>
      <c r="O475" s="16"/>
      <c r="P475" s="16"/>
    </row>
    <row r="476" spans="9:16" ht="12.75">
      <c r="I476" s="16"/>
      <c r="J476" s="16"/>
      <c r="K476" s="16"/>
      <c r="L476" s="16"/>
      <c r="M476" s="16"/>
      <c r="N476" s="16"/>
      <c r="O476" s="16"/>
      <c r="P476" s="16"/>
    </row>
    <row r="477" spans="9:16" ht="12.75">
      <c r="I477" s="16"/>
      <c r="J477" s="16"/>
      <c r="K477" s="16"/>
      <c r="L477" s="16"/>
      <c r="M477" s="16"/>
      <c r="N477" s="16"/>
      <c r="O477" s="16"/>
      <c r="P477" s="16"/>
    </row>
    <row r="478" spans="9:16" ht="12.75">
      <c r="I478" s="16"/>
      <c r="J478" s="16"/>
      <c r="K478" s="16"/>
      <c r="L478" s="16"/>
      <c r="M478" s="16"/>
      <c r="N478" s="16"/>
      <c r="O478" s="16"/>
      <c r="P478" s="16"/>
    </row>
    <row r="479" spans="9:16" ht="12.75">
      <c r="I479" s="16"/>
      <c r="J479" s="16"/>
      <c r="K479" s="16"/>
      <c r="L479" s="16"/>
      <c r="M479" s="16"/>
      <c r="N479" s="16"/>
      <c r="O479" s="16"/>
      <c r="P479" s="16"/>
    </row>
    <row r="480" spans="9:16" ht="12.75">
      <c r="I480" s="16"/>
      <c r="J480" s="16"/>
      <c r="K480" s="16"/>
      <c r="L480" s="16"/>
      <c r="M480" s="16"/>
      <c r="N480" s="16"/>
      <c r="O480" s="16"/>
      <c r="P480" s="16"/>
    </row>
    <row r="481" spans="9:16" ht="12.75">
      <c r="I481" s="16"/>
      <c r="J481" s="16"/>
      <c r="K481" s="16"/>
      <c r="L481" s="16"/>
      <c r="M481" s="16"/>
      <c r="N481" s="16"/>
      <c r="O481" s="16"/>
      <c r="P481" s="16"/>
    </row>
    <row r="482" spans="9:16" ht="12.75">
      <c r="I482" s="16"/>
      <c r="J482" s="16"/>
      <c r="K482" s="16"/>
      <c r="L482" s="16"/>
      <c r="M482" s="16"/>
      <c r="N482" s="16"/>
      <c r="O482" s="16"/>
      <c r="P482" s="16"/>
    </row>
    <row r="483" spans="9:16" ht="12.75">
      <c r="I483" s="16"/>
      <c r="J483" s="16"/>
      <c r="K483" s="16"/>
      <c r="L483" s="16"/>
      <c r="M483" s="16"/>
      <c r="N483" s="16"/>
      <c r="O483" s="16"/>
      <c r="P483" s="16"/>
    </row>
    <row r="484" spans="9:16" ht="12.75">
      <c r="I484" s="16"/>
      <c r="J484" s="16"/>
      <c r="K484" s="16"/>
      <c r="L484" s="16"/>
      <c r="M484" s="16"/>
      <c r="N484" s="16"/>
      <c r="O484" s="16"/>
      <c r="P484" s="16"/>
    </row>
    <row r="485" spans="9:16" ht="12.75">
      <c r="I485" s="16"/>
      <c r="J485" s="16"/>
      <c r="K485" s="16"/>
      <c r="L485" s="16"/>
      <c r="M485" s="16"/>
      <c r="N485" s="16"/>
      <c r="O485" s="16"/>
      <c r="P485" s="16"/>
    </row>
    <row r="486" spans="9:16" ht="12.75">
      <c r="I486" s="16"/>
      <c r="J486" s="16"/>
      <c r="K486" s="16"/>
      <c r="L486" s="16"/>
      <c r="M486" s="16"/>
      <c r="N486" s="16"/>
      <c r="O486" s="16"/>
      <c r="P486" s="16"/>
    </row>
    <row r="487" spans="9:16" ht="12.75">
      <c r="I487" s="16"/>
      <c r="J487" s="16"/>
      <c r="K487" s="16"/>
      <c r="L487" s="16"/>
      <c r="M487" s="16"/>
      <c r="N487" s="16"/>
      <c r="O487" s="16"/>
      <c r="P487" s="16"/>
    </row>
    <row r="488" spans="9:16" ht="12.75">
      <c r="I488" s="16"/>
      <c r="J488" s="16"/>
      <c r="K488" s="16"/>
      <c r="L488" s="16"/>
      <c r="M488" s="16"/>
      <c r="N488" s="16"/>
      <c r="O488" s="16"/>
      <c r="P488" s="16"/>
    </row>
    <row r="489" spans="9:16" ht="12.75">
      <c r="I489" s="16"/>
      <c r="J489" s="16"/>
      <c r="K489" s="16"/>
      <c r="L489" s="16"/>
      <c r="M489" s="16"/>
      <c r="N489" s="16"/>
      <c r="O489" s="16"/>
      <c r="P489" s="16"/>
    </row>
    <row r="490" spans="9:16" ht="12.75">
      <c r="I490" s="16"/>
      <c r="J490" s="16"/>
      <c r="K490" s="16"/>
      <c r="L490" s="16"/>
      <c r="M490" s="16"/>
      <c r="N490" s="16"/>
      <c r="O490" s="16"/>
      <c r="P490" s="16"/>
    </row>
    <row r="491" spans="9:16" ht="12.75">
      <c r="I491" s="16"/>
      <c r="J491" s="16"/>
      <c r="K491" s="16"/>
      <c r="L491" s="16"/>
      <c r="M491" s="16"/>
      <c r="N491" s="16"/>
      <c r="O491" s="16"/>
      <c r="P491" s="16"/>
    </row>
    <row r="492" spans="9:16" ht="12.75">
      <c r="I492" s="16"/>
      <c r="J492" s="16"/>
      <c r="K492" s="16"/>
      <c r="L492" s="16"/>
      <c r="M492" s="16"/>
      <c r="N492" s="16"/>
      <c r="O492" s="16"/>
      <c r="P492" s="16"/>
    </row>
    <row r="493" spans="9:16" ht="12.75">
      <c r="I493" s="16"/>
      <c r="J493" s="16"/>
      <c r="K493" s="16"/>
      <c r="L493" s="16"/>
      <c r="M493" s="16"/>
      <c r="N493" s="16"/>
      <c r="O493" s="16"/>
      <c r="P493" s="16"/>
    </row>
    <row r="494" spans="9:16" ht="12.75">
      <c r="I494" s="16"/>
      <c r="J494" s="16"/>
      <c r="K494" s="16"/>
      <c r="L494" s="16"/>
      <c r="M494" s="16"/>
      <c r="N494" s="16"/>
      <c r="O494" s="16"/>
      <c r="P494" s="16"/>
    </row>
    <row r="495" spans="9:16" ht="12.75">
      <c r="I495" s="16"/>
      <c r="J495" s="16"/>
      <c r="K495" s="16"/>
      <c r="L495" s="16"/>
      <c r="M495" s="16"/>
      <c r="N495" s="16"/>
      <c r="O495" s="16"/>
      <c r="P495" s="16"/>
    </row>
    <row r="496" spans="9:16" ht="12.75">
      <c r="I496" s="16"/>
      <c r="J496" s="16"/>
      <c r="K496" s="16"/>
      <c r="L496" s="16"/>
      <c r="M496" s="16"/>
      <c r="N496" s="16"/>
      <c r="O496" s="16"/>
      <c r="P496" s="16"/>
    </row>
    <row r="497" spans="9:16" ht="12.75">
      <c r="I497" s="16"/>
      <c r="J497" s="16"/>
      <c r="K497" s="16"/>
      <c r="L497" s="16"/>
      <c r="M497" s="16"/>
      <c r="N497" s="16"/>
      <c r="O497" s="16"/>
      <c r="P497" s="16"/>
    </row>
    <row r="498" spans="9:16" ht="12.75">
      <c r="I498" s="16"/>
      <c r="J498" s="16"/>
      <c r="K498" s="16"/>
      <c r="L498" s="16"/>
      <c r="M498" s="16"/>
      <c r="N498" s="16"/>
      <c r="O498" s="16"/>
      <c r="P498" s="16"/>
    </row>
    <row r="499" spans="9:16" ht="12.75">
      <c r="I499" s="16"/>
      <c r="J499" s="16"/>
      <c r="K499" s="16"/>
      <c r="L499" s="16"/>
      <c r="M499" s="16"/>
      <c r="N499" s="16"/>
      <c r="O499" s="16"/>
      <c r="P499" s="16"/>
    </row>
    <row r="500" spans="9:16" ht="12.75">
      <c r="I500" s="16"/>
      <c r="J500" s="16"/>
      <c r="K500" s="16"/>
      <c r="L500" s="16"/>
      <c r="M500" s="16"/>
      <c r="N500" s="16"/>
      <c r="O500" s="16"/>
      <c r="P500" s="16"/>
    </row>
    <row r="501" spans="9:16" ht="12.75">
      <c r="I501" s="16"/>
      <c r="J501" s="16"/>
      <c r="K501" s="16"/>
      <c r="L501" s="16"/>
      <c r="M501" s="16"/>
      <c r="N501" s="16"/>
      <c r="O501" s="16"/>
      <c r="P501" s="16"/>
    </row>
    <row r="502" spans="9:16" ht="12.75">
      <c r="I502" s="16"/>
      <c r="J502" s="16"/>
      <c r="K502" s="16"/>
      <c r="L502" s="16"/>
      <c r="M502" s="16"/>
      <c r="N502" s="16"/>
      <c r="O502" s="16"/>
      <c r="P502" s="16"/>
    </row>
    <row r="503" spans="9:16" ht="12.75">
      <c r="I503" s="16"/>
      <c r="J503" s="16"/>
      <c r="K503" s="16"/>
      <c r="L503" s="16"/>
      <c r="M503" s="16"/>
      <c r="N503" s="16"/>
      <c r="O503" s="16"/>
      <c r="P503" s="16"/>
    </row>
    <row r="504" spans="9:16" ht="12.75">
      <c r="I504" s="16"/>
      <c r="J504" s="16"/>
      <c r="K504" s="16"/>
      <c r="L504" s="16"/>
      <c r="M504" s="16"/>
      <c r="N504" s="16"/>
      <c r="O504" s="16"/>
      <c r="P504" s="16"/>
    </row>
    <row r="505" spans="9:16" ht="12.75">
      <c r="I505" s="16"/>
      <c r="J505" s="16"/>
      <c r="K505" s="16"/>
      <c r="L505" s="16"/>
      <c r="M505" s="16"/>
      <c r="N505" s="16"/>
      <c r="O505" s="16"/>
      <c r="P505" s="16"/>
    </row>
    <row r="506" spans="9:16" ht="12.75">
      <c r="I506" s="16"/>
      <c r="J506" s="16"/>
      <c r="K506" s="16"/>
      <c r="L506" s="16"/>
      <c r="M506" s="16"/>
      <c r="N506" s="16"/>
      <c r="O506" s="16"/>
      <c r="P506" s="16"/>
    </row>
    <row r="507" spans="9:16" ht="12.75">
      <c r="I507" s="16"/>
      <c r="J507" s="16"/>
      <c r="K507" s="16"/>
      <c r="L507" s="16"/>
      <c r="M507" s="16"/>
      <c r="N507" s="16"/>
      <c r="O507" s="16"/>
      <c r="P507" s="16"/>
    </row>
    <row r="508" spans="9:16" ht="12.75">
      <c r="I508" s="16"/>
      <c r="J508" s="16"/>
      <c r="K508" s="16"/>
      <c r="L508" s="16"/>
      <c r="M508" s="16"/>
      <c r="N508" s="16"/>
      <c r="O508" s="16"/>
      <c r="P508" s="16"/>
    </row>
    <row r="509" spans="9:16" ht="12.75">
      <c r="I509" s="16"/>
      <c r="J509" s="16"/>
      <c r="K509" s="16"/>
      <c r="L509" s="16"/>
      <c r="M509" s="16"/>
      <c r="N509" s="16"/>
      <c r="O509" s="16"/>
      <c r="P509" s="16"/>
    </row>
    <row r="510" spans="9:16" ht="12.75">
      <c r="I510" s="16"/>
      <c r="J510" s="16"/>
      <c r="K510" s="16"/>
      <c r="L510" s="16"/>
      <c r="M510" s="16"/>
      <c r="N510" s="16"/>
      <c r="O510" s="16"/>
      <c r="P510" s="16"/>
    </row>
    <row r="511" spans="9:16" ht="12.75">
      <c r="I511" s="16"/>
      <c r="J511" s="16"/>
      <c r="K511" s="16"/>
      <c r="L511" s="16"/>
      <c r="M511" s="16"/>
      <c r="N511" s="16"/>
      <c r="O511" s="16"/>
      <c r="P511" s="16"/>
    </row>
    <row r="512" spans="9:16" ht="12.75">
      <c r="I512" s="16"/>
      <c r="J512" s="16"/>
      <c r="K512" s="16"/>
      <c r="L512" s="16"/>
      <c r="M512" s="16"/>
      <c r="N512" s="16"/>
      <c r="O512" s="16"/>
      <c r="P512" s="16"/>
    </row>
    <row r="513" spans="9:16" ht="12.75">
      <c r="I513" s="16"/>
      <c r="J513" s="16"/>
      <c r="K513" s="16"/>
      <c r="L513" s="16"/>
      <c r="M513" s="16"/>
      <c r="N513" s="16"/>
      <c r="O513" s="16"/>
      <c r="P513" s="16"/>
    </row>
    <row r="514" spans="9:16" ht="12.75">
      <c r="I514" s="16"/>
      <c r="J514" s="16"/>
      <c r="K514" s="16"/>
      <c r="L514" s="16"/>
      <c r="M514" s="16"/>
      <c r="N514" s="16"/>
      <c r="O514" s="16"/>
      <c r="P514" s="16"/>
    </row>
    <row r="515" spans="9:16" ht="12.75">
      <c r="I515" s="16"/>
      <c r="J515" s="16"/>
      <c r="K515" s="16"/>
      <c r="L515" s="16"/>
      <c r="M515" s="16"/>
      <c r="N515" s="16"/>
      <c r="O515" s="16"/>
      <c r="P515" s="16"/>
    </row>
    <row r="516" spans="9:16" ht="12.75">
      <c r="I516" s="16"/>
      <c r="J516" s="16"/>
      <c r="K516" s="16"/>
      <c r="L516" s="16"/>
      <c r="M516" s="16"/>
      <c r="N516" s="16"/>
      <c r="O516" s="16"/>
      <c r="P516" s="16"/>
    </row>
    <row r="517" spans="9:16" ht="12.75">
      <c r="I517" s="16"/>
      <c r="J517" s="16"/>
      <c r="K517" s="16"/>
      <c r="L517" s="16"/>
      <c r="M517" s="16"/>
      <c r="N517" s="16"/>
      <c r="O517" s="16"/>
      <c r="P517" s="16"/>
    </row>
    <row r="518" spans="9:16" ht="12.75">
      <c r="I518" s="16"/>
      <c r="J518" s="16"/>
      <c r="K518" s="16"/>
      <c r="L518" s="16"/>
      <c r="M518" s="16"/>
      <c r="N518" s="16"/>
      <c r="O518" s="16"/>
      <c r="P518" s="16"/>
    </row>
    <row r="519" spans="9:16" ht="12.75">
      <c r="I519" s="16"/>
      <c r="J519" s="16"/>
      <c r="K519" s="16"/>
      <c r="L519" s="16"/>
      <c r="M519" s="16"/>
      <c r="N519" s="16"/>
      <c r="O519" s="16"/>
      <c r="P519" s="16"/>
    </row>
    <row r="520" spans="9:16" ht="12.75">
      <c r="I520" s="16"/>
      <c r="J520" s="16"/>
      <c r="K520" s="16"/>
      <c r="L520" s="16"/>
      <c r="M520" s="16"/>
      <c r="N520" s="16"/>
      <c r="O520" s="16"/>
      <c r="P520" s="16"/>
    </row>
    <row r="521" spans="9:16" ht="12.75">
      <c r="I521" s="16"/>
      <c r="J521" s="16"/>
      <c r="K521" s="16"/>
      <c r="L521" s="16"/>
      <c r="M521" s="16"/>
      <c r="N521" s="16"/>
      <c r="O521" s="16"/>
      <c r="P521" s="16"/>
    </row>
    <row r="522" spans="9:16" ht="12.75">
      <c r="I522" s="16"/>
      <c r="J522" s="16"/>
      <c r="K522" s="16"/>
      <c r="L522" s="16"/>
      <c r="M522" s="16"/>
      <c r="N522" s="16"/>
      <c r="O522" s="16"/>
      <c r="P522" s="16"/>
    </row>
    <row r="523" spans="9:16" ht="12.75">
      <c r="I523" s="16"/>
      <c r="J523" s="16"/>
      <c r="K523" s="16"/>
      <c r="L523" s="16"/>
      <c r="M523" s="16"/>
      <c r="N523" s="16"/>
      <c r="O523" s="16"/>
      <c r="P523" s="16"/>
    </row>
    <row r="524" spans="9:16" ht="12.75">
      <c r="I524" s="16"/>
      <c r="J524" s="16"/>
      <c r="K524" s="16"/>
      <c r="L524" s="16"/>
      <c r="M524" s="16"/>
      <c r="N524" s="16"/>
      <c r="O524" s="16"/>
      <c r="P524" s="16"/>
    </row>
    <row r="525" spans="9:16" ht="12.75">
      <c r="I525" s="16"/>
      <c r="J525" s="16"/>
      <c r="K525" s="16"/>
      <c r="L525" s="16"/>
      <c r="M525" s="16"/>
      <c r="N525" s="16"/>
      <c r="O525" s="16"/>
      <c r="P525" s="16"/>
    </row>
    <row r="526" spans="9:16" ht="12.75">
      <c r="I526" s="16"/>
      <c r="J526" s="16"/>
      <c r="K526" s="16"/>
      <c r="L526" s="16"/>
      <c r="M526" s="16"/>
      <c r="N526" s="16"/>
      <c r="O526" s="16"/>
      <c r="P526" s="16"/>
    </row>
    <row r="527" spans="9:16" ht="12.75">
      <c r="I527" s="16"/>
      <c r="J527" s="16"/>
      <c r="K527" s="16"/>
      <c r="L527" s="16"/>
      <c r="M527" s="16"/>
      <c r="N527" s="16"/>
      <c r="O527" s="16"/>
      <c r="P527" s="16"/>
    </row>
    <row r="528" spans="9:16" ht="12.75">
      <c r="I528" s="16"/>
      <c r="J528" s="16"/>
      <c r="K528" s="16"/>
      <c r="L528" s="16"/>
      <c r="M528" s="16"/>
      <c r="N528" s="16"/>
      <c r="O528" s="16"/>
      <c r="P528" s="16"/>
    </row>
    <row r="529" spans="9:16" ht="12.75">
      <c r="I529" s="16"/>
      <c r="J529" s="16"/>
      <c r="K529" s="16"/>
      <c r="L529" s="16"/>
      <c r="M529" s="16"/>
      <c r="N529" s="16"/>
      <c r="O529" s="16"/>
      <c r="P529" s="16"/>
    </row>
    <row r="530" spans="9:16" ht="12.75">
      <c r="I530" s="16"/>
      <c r="J530" s="16"/>
      <c r="K530" s="16"/>
      <c r="L530" s="16"/>
      <c r="M530" s="16"/>
      <c r="N530" s="16"/>
      <c r="O530" s="16"/>
      <c r="P530" s="16"/>
    </row>
  </sheetData>
  <sheetProtection/>
  <mergeCells count="165">
    <mergeCell ref="O148:O149"/>
    <mergeCell ref="O190:O191"/>
    <mergeCell ref="R63:R64"/>
    <mergeCell ref="R109:R110"/>
    <mergeCell ref="R148:R149"/>
    <mergeCell ref="R190:R191"/>
    <mergeCell ref="T7:T8"/>
    <mergeCell ref="U7:U8"/>
    <mergeCell ref="T63:T64"/>
    <mergeCell ref="U63:U64"/>
    <mergeCell ref="T109:T110"/>
    <mergeCell ref="U109:U110"/>
    <mergeCell ref="T148:T149"/>
    <mergeCell ref="U148:U149"/>
    <mergeCell ref="T190:T191"/>
    <mergeCell ref="U190:U191"/>
    <mergeCell ref="A62:S62"/>
    <mergeCell ref="I7:I8"/>
    <mergeCell ref="B7:B8"/>
    <mergeCell ref="A14:A17"/>
    <mergeCell ref="G7:G8"/>
    <mergeCell ref="C7:C8"/>
    <mergeCell ref="A166:A168"/>
    <mergeCell ref="A172:A174"/>
    <mergeCell ref="A161:A164"/>
    <mergeCell ref="A154:A159"/>
    <mergeCell ref="A150:A152"/>
    <mergeCell ref="A115:A118"/>
    <mergeCell ref="A120:A121"/>
    <mergeCell ref="S190:S191"/>
    <mergeCell ref="B189:S189"/>
    <mergeCell ref="B190:B191"/>
    <mergeCell ref="C190:C191"/>
    <mergeCell ref="D190:D191"/>
    <mergeCell ref="F190:F191"/>
    <mergeCell ref="G190:G191"/>
    <mergeCell ref="H190:H191"/>
    <mergeCell ref="E190:E191"/>
    <mergeCell ref="J190:J191"/>
    <mergeCell ref="K190:K191"/>
    <mergeCell ref="P190:P191"/>
    <mergeCell ref="I190:I191"/>
    <mergeCell ref="Q190:Q191"/>
    <mergeCell ref="S148:S149"/>
    <mergeCell ref="E109:E110"/>
    <mergeCell ref="F109:F110"/>
    <mergeCell ref="H109:H110"/>
    <mergeCell ref="I109:I110"/>
    <mergeCell ref="H148:H149"/>
    <mergeCell ref="A111:A113"/>
    <mergeCell ref="A132:A133"/>
    <mergeCell ref="A135:A137"/>
    <mergeCell ref="A147:S147"/>
    <mergeCell ref="A148:A149"/>
    <mergeCell ref="B109:B110"/>
    <mergeCell ref="S109:S110"/>
    <mergeCell ref="M148:M149"/>
    <mergeCell ref="P148:P149"/>
    <mergeCell ref="Q148:Q149"/>
    <mergeCell ref="D148:D149"/>
    <mergeCell ref="A144:V144"/>
    <mergeCell ref="A123:A125"/>
    <mergeCell ref="A127:A130"/>
    <mergeCell ref="A146:S146"/>
    <mergeCell ref="G109:G110"/>
    <mergeCell ref="A109:A110"/>
    <mergeCell ref="B148:B149"/>
    <mergeCell ref="C148:C149"/>
    <mergeCell ref="D109:D110"/>
    <mergeCell ref="A96:A98"/>
    <mergeCell ref="A65:A66"/>
    <mergeCell ref="A68:A71"/>
    <mergeCell ref="A78:A81"/>
    <mergeCell ref="B63:B64"/>
    <mergeCell ref="C63:C64"/>
    <mergeCell ref="A63:A64"/>
    <mergeCell ref="A73:A76"/>
    <mergeCell ref="E148:E149"/>
    <mergeCell ref="A106:V106"/>
    <mergeCell ref="V148:V149"/>
    <mergeCell ref="A142:V142"/>
    <mergeCell ref="A143:V143"/>
    <mergeCell ref="L109:L110"/>
    <mergeCell ref="M109:M110"/>
    <mergeCell ref="L148:L149"/>
    <mergeCell ref="A107:S107"/>
    <mergeCell ref="C109:C110"/>
    <mergeCell ref="V7:V8"/>
    <mergeCell ref="V109:V110"/>
    <mergeCell ref="A103:V103"/>
    <mergeCell ref="A104:V104"/>
    <mergeCell ref="A105:V105"/>
    <mergeCell ref="H63:H64"/>
    <mergeCell ref="E63:E64"/>
    <mergeCell ref="A83:A87"/>
    <mergeCell ref="A89:A91"/>
    <mergeCell ref="A93:A94"/>
    <mergeCell ref="V190:V191"/>
    <mergeCell ref="B184:V184"/>
    <mergeCell ref="B185:V185"/>
    <mergeCell ref="B186:V186"/>
    <mergeCell ref="B187:V187"/>
    <mergeCell ref="I148:I149"/>
    <mergeCell ref="F148:F149"/>
    <mergeCell ref="G148:G149"/>
    <mergeCell ref="J148:J149"/>
    <mergeCell ref="K148:K149"/>
    <mergeCell ref="K63:K64"/>
    <mergeCell ref="P63:P64"/>
    <mergeCell ref="Q63:Q64"/>
    <mergeCell ref="J109:J110"/>
    <mergeCell ref="K109:K110"/>
    <mergeCell ref="P109:P110"/>
    <mergeCell ref="L63:L64"/>
    <mergeCell ref="M63:M64"/>
    <mergeCell ref="O63:O64"/>
    <mergeCell ref="O109:O110"/>
    <mergeCell ref="A61:S61"/>
    <mergeCell ref="B197:C197"/>
    <mergeCell ref="A56:B56"/>
    <mergeCell ref="A34:A37"/>
    <mergeCell ref="A39:A41"/>
    <mergeCell ref="I63:I64"/>
    <mergeCell ref="S63:S64"/>
    <mergeCell ref="A108:S108"/>
    <mergeCell ref="A145:V145"/>
    <mergeCell ref="J63:J64"/>
    <mergeCell ref="L7:L8"/>
    <mergeCell ref="M7:M8"/>
    <mergeCell ref="F56:S56"/>
    <mergeCell ref="A29:A32"/>
    <mergeCell ref="D7:D8"/>
    <mergeCell ref="A7:A8"/>
    <mergeCell ref="H7:H8"/>
    <mergeCell ref="O7:O8"/>
    <mergeCell ref="L190:L191"/>
    <mergeCell ref="M190:M191"/>
    <mergeCell ref="A1:V1"/>
    <mergeCell ref="A2:V2"/>
    <mergeCell ref="A3:V3"/>
    <mergeCell ref="A4:V4"/>
    <mergeCell ref="V63:V64"/>
    <mergeCell ref="S7:S8"/>
    <mergeCell ref="A58:V58"/>
    <mergeCell ref="A59:V59"/>
    <mergeCell ref="A5:S5"/>
    <mergeCell ref="A6:S6"/>
    <mergeCell ref="Q109:Q110"/>
    <mergeCell ref="J7:J8"/>
    <mergeCell ref="K7:K8"/>
    <mergeCell ref="P7:P8"/>
    <mergeCell ref="Q7:Q8"/>
    <mergeCell ref="D63:D64"/>
    <mergeCell ref="F63:F64"/>
    <mergeCell ref="F7:F8"/>
    <mergeCell ref="G63:G64"/>
    <mergeCell ref="E7:E8"/>
    <mergeCell ref="A9:A12"/>
    <mergeCell ref="A19:A22"/>
    <mergeCell ref="A43:A47"/>
    <mergeCell ref="A49:A50"/>
    <mergeCell ref="A24:A27"/>
    <mergeCell ref="A57:V57"/>
    <mergeCell ref="A60:V60"/>
    <mergeCell ref="R7:R8"/>
  </mergeCells>
  <printOptions gridLines="1"/>
  <pageMargins left="0.91" right="0.15748031496062992" top="0.21" bottom="0.2362204724409449" header="0.15748031496062992" footer="0.1968503937007874"/>
  <pageSetup horizontalDpi="600" verticalDpi="600" orientation="landscape" paperSize="129" scale="60" r:id="rId3"/>
  <rowBreaks count="4" manualBreakCount="4">
    <brk id="56" max="18" man="1"/>
    <brk id="100" max="255" man="1"/>
    <brk id="139" max="8" man="1"/>
    <brk id="18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CUNDINAMARCA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MORENO VALERO</dc:creator>
  <cp:keywords/>
  <dc:description/>
  <cp:lastModifiedBy>Luz Stephanie Duran Wilches</cp:lastModifiedBy>
  <cp:lastPrinted>2013-09-18T19:31:39Z</cp:lastPrinted>
  <dcterms:created xsi:type="dcterms:W3CDTF">2001-11-08T14:03:53Z</dcterms:created>
  <dcterms:modified xsi:type="dcterms:W3CDTF">2017-03-09T22:15:50Z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b815fc2278d64194b492b17ab5f5b790</vt:lpwstr>
  </property>
</Properties>
</file>