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icubides\Desktop\infome de gestion\DEFINITIVOS- SEPTIEMBRE 17\"/>
    </mc:Choice>
  </mc:AlternateContent>
  <bookViews>
    <workbookView xWindow="-60" yWindow="-75" windowWidth="10950" windowHeight="8160" tabRatio="686" firstSheet="2" activeTab="3"/>
  </bookViews>
  <sheets>
    <sheet name="Datos_ob" sheetId="7" state="hidden" r:id="rId1"/>
    <sheet name="Datos_Pr" sheetId="4" state="hidden" r:id="rId2"/>
    <sheet name="Meta de Producto" sheetId="18" r:id="rId3"/>
    <sheet name="Datos_P" sheetId="17" r:id="rId4"/>
    <sheet name="ARGUMENTOS" sheetId="19" r:id="rId5"/>
    <sheet name="Metas de Resultado" sheetId="9" r:id="rId6"/>
    <sheet name="datos_R" sheetId="16" r:id="rId7"/>
  </sheets>
  <definedNames>
    <definedName name="_xlnm._FilterDatabase" localSheetId="3" hidden="1">Datos_P!$E$4:$EE$542</definedName>
    <definedName name="_xlnm._FilterDatabase" localSheetId="1" hidden="1">Datos_Pr!$A$3:$BB$36</definedName>
    <definedName name="_xlnm._FilterDatabase" localSheetId="6" hidden="1">datos_R!$C$4:$CA$106</definedName>
    <definedName name="_xlnm._FilterDatabase" localSheetId="2" hidden="1">'Meta de Producto'!#REF!</definedName>
    <definedName name="_xlnm._FilterDatabase" localSheetId="5" hidden="1">'Metas de Resultado'!#REF!</definedName>
    <definedName name="ACCION_COMUNAL">datos_R!$E$130</definedName>
    <definedName name="AGRICULTURA">datos_R!$F$130:$F$132</definedName>
    <definedName name="AGRICULTURA." localSheetId="2">Datos_P!$R$560:$R$589</definedName>
    <definedName name="AMBIENTE">datos_R!$G$130:$G$132</definedName>
    <definedName name="AMBIENTE." localSheetId="2">Datos_P!$S$560:$S$579</definedName>
    <definedName name="BENEFICENCIA." localSheetId="2">Datos_P!$I$560:$I$564</definedName>
    <definedName name="BOSQUES">datos_R!$H$130</definedName>
    <definedName name="BOSQUES." localSheetId="2">Datos_P!$J$560:$J$569</definedName>
    <definedName name="CIENCIA_Y_TECNOLOGIA">datos_R!$I$130</definedName>
    <definedName name="CIENCIA_Y_TECNOLOGIA." localSheetId="2">Datos_P!$T$560:$T$575</definedName>
    <definedName name="COMPETITIVIDAD">datos_R!$J$130:$J$131</definedName>
    <definedName name="COMPETITIVIDAD." localSheetId="2">Datos_P!$U$560:$U$577</definedName>
    <definedName name="CONTROL_INTERNO">datos_R!$K$130</definedName>
    <definedName name="COOPERACION." localSheetId="2">Datos_P!$V$560</definedName>
    <definedName name="CORSOCUN." localSheetId="2">Datos_P!$K$560:$K$561</definedName>
    <definedName name="DESARROLLO_SOCIAL">datos_R!$L$130:$L$139</definedName>
    <definedName name="DESARROLLO_SOCIAL." localSheetId="2">Datos_P!$W$560:$W$635</definedName>
    <definedName name="EDUCACION">datos_R!$M$130:$M$138</definedName>
    <definedName name="EDUCACION." localSheetId="2">Datos_P!$X$560:$X$603</definedName>
    <definedName name="ENTIDADES">Datos_P!$H$559:$AJ$559</definedName>
    <definedName name="ENTIDADESR" localSheetId="5">datos_R!$D$129:$AA$129</definedName>
    <definedName name="EPC">datos_R!$N$130:$N$131</definedName>
    <definedName name="EPC." localSheetId="2">Datos_P!$L$560:$L$570</definedName>
    <definedName name="FUNCION_PUBLICA." localSheetId="2">Datos_P!$Y$560:$Y$567</definedName>
    <definedName name="GENERAL">datos_R!$O$130</definedName>
    <definedName name="GENERAL." localSheetId="2">Datos_P!$Z$560:$Z$563</definedName>
    <definedName name="GOBIERNO">datos_R!$P$130:$P$137</definedName>
    <definedName name="GOBIERNO." localSheetId="2">Datos_P!$AA$560:$AA$606</definedName>
    <definedName name="HACIENDA." localSheetId="2">Datos_P!$AB$560:$AB$561</definedName>
    <definedName name="ICCU">datos_R!$Q$130:$Q$132</definedName>
    <definedName name="ICCU." localSheetId="2">Datos_P!$M$560:$M$585</definedName>
    <definedName name="IDACO." localSheetId="2">Datos_P!$P$560:$P$571</definedName>
    <definedName name="IDECUT">datos_R!$R$130:$R$131</definedName>
    <definedName name="IDECUT." localSheetId="2">Datos_P!$N$560:$N$600</definedName>
    <definedName name="INDEPORTES">datos_R!$S$130:$S$136</definedName>
    <definedName name="INDEPORTES." localSheetId="2">Datos_P!$N$560:$N$600</definedName>
    <definedName name="INTEGRACION_REGIONAL">datos_R!$T$130:$T$131</definedName>
    <definedName name="INTEGRACION_REGIONAL." localSheetId="2">Datos_P!$AC$560:$AC$565</definedName>
    <definedName name="MINAS">datos_R!$U$130:$U$132</definedName>
    <definedName name="MINAS." localSheetId="2">Datos_P!$AE$560:$AE$565</definedName>
    <definedName name="MOVILIDAD">datos_R!$V$130:$V$135</definedName>
    <definedName name="MOVILIDAD." localSheetId="2">Datos_P!$AF$560:$AF$563</definedName>
    <definedName name="OBJETIVO_1">Datos_Pr!$C$48:$C$57</definedName>
    <definedName name="OBJETIVO_2">Datos_Pr!$D$48:$D$55</definedName>
    <definedName name="OBJETIVO_3">Datos_Pr!$E$48:$E$54</definedName>
    <definedName name="OBJETIVO_4">Datos_Pr!$F$48:$F$55</definedName>
    <definedName name="OBJETIVOS">Datos_Pr!$B$47:$F$47</definedName>
    <definedName name="PLANEACION">datos_R!$W$130:$W$137</definedName>
    <definedName name="PLANEACION." localSheetId="2">Datos_P!$AG$560:$AG$584</definedName>
    <definedName name="PRENSA." localSheetId="2">Datos_P!$AH$560</definedName>
    <definedName name="SALUD">datos_R!$X$130:$X$134</definedName>
    <definedName name="SALUD." localSheetId="2">Datos_P!$AI$560:$AI$606</definedName>
    <definedName name="TIC">datos_R!$Y$130</definedName>
    <definedName name="TIC." localSheetId="2">Datos_P!$AD$560:$AD$580</definedName>
    <definedName name="TODAS" localSheetId="5">datos_R!$D$130:$D$231</definedName>
    <definedName name="TODAS." localSheetId="2">Datos_P!$H$560:$H$1096</definedName>
    <definedName name="TODOS">Datos_Pr!$B$48:$B$80</definedName>
    <definedName name="UAEPRAE">datos_R!$Z$130</definedName>
    <definedName name="UAEPRAE." localSheetId="2">Datos_P!$AJ$560:$AJ$565</definedName>
    <definedName name="VIVIENDA">datos_R!$AA$130</definedName>
    <definedName name="VIVIENDA." localSheetId="2">Datos_P!$Q$560:$Q$568</definedName>
  </definedNames>
  <calcPr calcId="152511"/>
</workbook>
</file>

<file path=xl/calcChain.xml><?xml version="1.0" encoding="utf-8"?>
<calcChain xmlns="http://schemas.openxmlformats.org/spreadsheetml/2006/main">
  <c r="M24" i="18" l="1"/>
  <c r="N24" i="18"/>
  <c r="O483" i="17" l="1"/>
  <c r="E11" i="9" l="1"/>
  <c r="K13" i="18" l="1"/>
  <c r="N17" i="18" l="1"/>
  <c r="N25" i="18" l="1"/>
  <c r="N23" i="18"/>
  <c r="M23" i="18"/>
  <c r="N22" i="18"/>
  <c r="M22" i="18"/>
  <c r="E13" i="18" l="1"/>
  <c r="H25" i="18"/>
  <c r="B27" i="18" l="1"/>
  <c r="D6" i="18"/>
  <c r="H24" i="18" l="1"/>
  <c r="H23" i="18"/>
  <c r="C23" i="18"/>
  <c r="R16" i="18"/>
  <c r="N16" i="18" s="1"/>
  <c r="P16" i="18"/>
  <c r="O16" i="18"/>
  <c r="C16" i="18"/>
  <c r="J13" i="18"/>
  <c r="C17" i="18"/>
  <c r="C11" i="18"/>
  <c r="L10" i="18"/>
  <c r="C10" i="18"/>
  <c r="P9" i="18"/>
  <c r="D9" i="18"/>
  <c r="C9" i="18"/>
  <c r="O22" i="18" l="1"/>
  <c r="O5" i="17"/>
  <c r="T5" i="17"/>
  <c r="V5" i="17"/>
  <c r="W5" i="17"/>
  <c r="X5" i="17" s="1"/>
  <c r="Z5" i="17"/>
  <c r="AV5" i="17"/>
  <c r="AT5" i="17" s="1"/>
  <c r="AX5" i="17"/>
  <c r="AY5" i="17"/>
  <c r="AZ5" i="17" s="1"/>
  <c r="BB5" i="17"/>
  <c r="BX5" i="17"/>
  <c r="BV5" i="17" s="1"/>
  <c r="CB5" i="17"/>
  <c r="CC5" i="17"/>
  <c r="CD5" i="17" s="1"/>
  <c r="CJ5" i="17"/>
  <c r="CH5" i="17" s="1"/>
  <c r="CL5" i="17"/>
  <c r="CM5" i="17"/>
  <c r="CN5" i="17"/>
  <c r="CO5" i="17" s="1"/>
  <c r="DK5" i="17"/>
  <c r="O6" i="17"/>
  <c r="T6" i="17"/>
  <c r="V6" i="17"/>
  <c r="W6" i="17"/>
  <c r="X6" i="17" s="1"/>
  <c r="AV6" i="17"/>
  <c r="AT6" i="17" s="1"/>
  <c r="AX6" i="17"/>
  <c r="AY6" i="17"/>
  <c r="AZ6" i="17" s="1"/>
  <c r="BX6" i="17"/>
  <c r="BV6" i="17" s="1"/>
  <c r="CB6" i="17"/>
  <c r="CC6" i="17"/>
  <c r="CD6" i="17" s="1"/>
  <c r="CJ6" i="17"/>
  <c r="CH6" i="17" s="1"/>
  <c r="CL6" i="17"/>
  <c r="CM6" i="17"/>
  <c r="CN6" i="17"/>
  <c r="DK6" i="17"/>
  <c r="O7" i="17"/>
  <c r="T7" i="17"/>
  <c r="V7" i="17"/>
  <c r="W7" i="17"/>
  <c r="X7" i="17" s="1"/>
  <c r="Z7" i="17"/>
  <c r="AV7" i="17"/>
  <c r="AT7" i="17" s="1"/>
  <c r="AX7" i="17"/>
  <c r="AY7" i="17"/>
  <c r="AZ7" i="17" s="1"/>
  <c r="BB7" i="17"/>
  <c r="BX7" i="17"/>
  <c r="BV7" i="17" s="1"/>
  <c r="CB7" i="17"/>
  <c r="CC7" i="17"/>
  <c r="CD7" i="17" s="1"/>
  <c r="CJ7" i="17"/>
  <c r="CH7" i="17" s="1"/>
  <c r="CL7" i="17"/>
  <c r="CM7" i="17"/>
  <c r="CN7" i="17"/>
  <c r="DK7" i="17"/>
  <c r="O8" i="17"/>
  <c r="T8" i="17"/>
  <c r="V8" i="17"/>
  <c r="W8" i="17"/>
  <c r="X8" i="17" s="1"/>
  <c r="Z8" i="17" s="1"/>
  <c r="AV8" i="17"/>
  <c r="AT8" i="17" s="1"/>
  <c r="AX8" i="17"/>
  <c r="AY8" i="17"/>
  <c r="AZ8" i="17" s="1"/>
  <c r="BX8" i="17"/>
  <c r="BV8" i="17" s="1"/>
  <c r="CB8" i="17"/>
  <c r="CC8" i="17"/>
  <c r="CD8" i="17" s="1"/>
  <c r="CJ8" i="17"/>
  <c r="CH8" i="17" s="1"/>
  <c r="CL8" i="17"/>
  <c r="CM8" i="17"/>
  <c r="CN8" i="17"/>
  <c r="CO8" i="17" s="1"/>
  <c r="DK8" i="17"/>
  <c r="O9" i="17"/>
  <c r="T9" i="17"/>
  <c r="R9" i="17" s="1"/>
  <c r="V9" i="17"/>
  <c r="W9" i="17"/>
  <c r="X9" i="17" s="1"/>
  <c r="AV9" i="17"/>
  <c r="AT9" i="17" s="1"/>
  <c r="AX9" i="17"/>
  <c r="AY9" i="17"/>
  <c r="AZ9" i="17" s="1"/>
  <c r="BB9" i="17" s="1"/>
  <c r="BX9" i="17"/>
  <c r="BV9" i="17" s="1"/>
  <c r="CB9" i="17"/>
  <c r="CC9" i="17"/>
  <c r="CD9" i="17" s="1"/>
  <c r="CF9" i="17"/>
  <c r="CJ9" i="17"/>
  <c r="CH9" i="17" s="1"/>
  <c r="CL9" i="17"/>
  <c r="CM9" i="17"/>
  <c r="CN9" i="17"/>
  <c r="CO9" i="17" s="1"/>
  <c r="DK9" i="17"/>
  <c r="O10" i="17"/>
  <c r="T10" i="17"/>
  <c r="R10" i="17" s="1"/>
  <c r="V10" i="17"/>
  <c r="W10" i="17"/>
  <c r="X10" i="17" s="1"/>
  <c r="AV10" i="17"/>
  <c r="AX10" i="17"/>
  <c r="AY10" i="17"/>
  <c r="AZ10" i="17" s="1"/>
  <c r="BB10" i="17" s="1"/>
  <c r="BX10" i="17"/>
  <c r="BV10" i="17" s="1"/>
  <c r="CB10" i="17"/>
  <c r="CC10" i="17"/>
  <c r="CD10" i="17" s="1"/>
  <c r="CF10" i="17"/>
  <c r="CJ10" i="17"/>
  <c r="CH10" i="17" s="1"/>
  <c r="CL10" i="17"/>
  <c r="CM10" i="17"/>
  <c r="CN10" i="17"/>
  <c r="CO10" i="17" s="1"/>
  <c r="DK10" i="17"/>
  <c r="O11" i="17"/>
  <c r="T11" i="17"/>
  <c r="R11" i="17" s="1"/>
  <c r="V11" i="17"/>
  <c r="W11" i="17"/>
  <c r="X11" i="17" s="1"/>
  <c r="AV11" i="17"/>
  <c r="AT11" i="17" s="1"/>
  <c r="AX11" i="17"/>
  <c r="AY11" i="17"/>
  <c r="AZ11" i="17" s="1"/>
  <c r="BX11" i="17"/>
  <c r="BV11" i="17" s="1"/>
  <c r="CB11" i="17"/>
  <c r="CC11" i="17"/>
  <c r="CD11" i="17" s="1"/>
  <c r="CJ11" i="17"/>
  <c r="CH11" i="17" s="1"/>
  <c r="CL11" i="17"/>
  <c r="CM11" i="17"/>
  <c r="CN11" i="17"/>
  <c r="DK11" i="17"/>
  <c r="O12" i="17"/>
  <c r="T12" i="17"/>
  <c r="R12" i="17" s="1"/>
  <c r="V12" i="17"/>
  <c r="W12" i="17"/>
  <c r="X12" i="17" s="1"/>
  <c r="Z12" i="17"/>
  <c r="AV12" i="17"/>
  <c r="AT12" i="17" s="1"/>
  <c r="AX12" i="17"/>
  <c r="AY12" i="17"/>
  <c r="AZ12" i="17" s="1"/>
  <c r="BB12" i="17"/>
  <c r="BX12" i="17"/>
  <c r="BV12" i="17" s="1"/>
  <c r="CB12" i="17"/>
  <c r="CC12" i="17"/>
  <c r="CD12" i="17" s="1"/>
  <c r="CF12" i="17"/>
  <c r="CJ12" i="17"/>
  <c r="CH12" i="17" s="1"/>
  <c r="CL12" i="17"/>
  <c r="CM12" i="17"/>
  <c r="CN12" i="17"/>
  <c r="DK12" i="17"/>
  <c r="O13" i="17"/>
  <c r="T13" i="17"/>
  <c r="R13" i="17" s="1"/>
  <c r="V13" i="17"/>
  <c r="W13" i="17"/>
  <c r="X13" i="17" s="1"/>
  <c r="Z13" i="17"/>
  <c r="AV13" i="17"/>
  <c r="AT13" i="17" s="1"/>
  <c r="AX13" i="17"/>
  <c r="AY13" i="17"/>
  <c r="AZ13" i="17" s="1"/>
  <c r="BB13" i="17"/>
  <c r="BX13" i="17"/>
  <c r="BV13" i="17" s="1"/>
  <c r="CB13" i="17"/>
  <c r="CC13" i="17"/>
  <c r="CD13" i="17" s="1"/>
  <c r="CJ13" i="17"/>
  <c r="CH13" i="17" s="1"/>
  <c r="CL13" i="17"/>
  <c r="CM13" i="17"/>
  <c r="CN13" i="17"/>
  <c r="CO13" i="17" s="1"/>
  <c r="DK13" i="17"/>
  <c r="O14" i="17"/>
  <c r="T14" i="17"/>
  <c r="V14" i="17"/>
  <c r="W14" i="17"/>
  <c r="X14" i="17" s="1"/>
  <c r="AV14" i="17"/>
  <c r="AT14" i="17" s="1"/>
  <c r="AX14" i="17"/>
  <c r="AY14" i="17"/>
  <c r="AZ14" i="17" s="1"/>
  <c r="BB14" i="17"/>
  <c r="BX14" i="17"/>
  <c r="BV14" i="17" s="1"/>
  <c r="CB14" i="17"/>
  <c r="CC14" i="17"/>
  <c r="CD14" i="17" s="1"/>
  <c r="CJ14" i="17"/>
  <c r="CH14" i="17" s="1"/>
  <c r="CL14" i="17"/>
  <c r="CM14" i="17"/>
  <c r="CN14" i="17"/>
  <c r="DK14" i="17"/>
  <c r="O15" i="17"/>
  <c r="T15" i="17"/>
  <c r="V15" i="17"/>
  <c r="W15" i="17"/>
  <c r="X15" i="17" s="1"/>
  <c r="Z15" i="17" s="1"/>
  <c r="AV15" i="17"/>
  <c r="AT15" i="17" s="1"/>
  <c r="AX15" i="17"/>
  <c r="AY15" i="17"/>
  <c r="AZ15" i="17" s="1"/>
  <c r="BX15" i="17"/>
  <c r="BV15" i="17" s="1"/>
  <c r="CB15" i="17"/>
  <c r="CC15" i="17"/>
  <c r="CJ15" i="17"/>
  <c r="CH15" i="17" s="1"/>
  <c r="CL15" i="17"/>
  <c r="CM15" i="17"/>
  <c r="CN15" i="17"/>
  <c r="CO15" i="17" s="1"/>
  <c r="DK15" i="17"/>
  <c r="O16" i="17"/>
  <c r="T16" i="17"/>
  <c r="R16" i="17" s="1"/>
  <c r="V16" i="17"/>
  <c r="W16" i="17"/>
  <c r="X16" i="17" s="1"/>
  <c r="Z16" i="17" s="1"/>
  <c r="AV16" i="17"/>
  <c r="AT16" i="17" s="1"/>
  <c r="AX16" i="17"/>
  <c r="AY16" i="17"/>
  <c r="AZ16" i="17" s="1"/>
  <c r="BB16" i="17" s="1"/>
  <c r="BX16" i="17"/>
  <c r="BV16" i="17" s="1"/>
  <c r="CB16" i="17"/>
  <c r="CC16" i="17"/>
  <c r="CD16" i="17" s="1"/>
  <c r="CJ16" i="17"/>
  <c r="CH16" i="17" s="1"/>
  <c r="CL16" i="17"/>
  <c r="CM16" i="17"/>
  <c r="CN16" i="17"/>
  <c r="CO16" i="17" s="1"/>
  <c r="DK16" i="17"/>
  <c r="O17" i="17"/>
  <c r="T17" i="17"/>
  <c r="V17" i="17"/>
  <c r="W17" i="17"/>
  <c r="X17" i="17" s="1"/>
  <c r="Z17" i="17" s="1"/>
  <c r="AV17" i="17"/>
  <c r="AT17" i="17" s="1"/>
  <c r="AX17" i="17"/>
  <c r="AY17" i="17"/>
  <c r="AZ17" i="17" s="1"/>
  <c r="BB17" i="17"/>
  <c r="BX17" i="17"/>
  <c r="BV17" i="17" s="1"/>
  <c r="CB17" i="17"/>
  <c r="CC17" i="17"/>
  <c r="CF17" i="17"/>
  <c r="CJ17" i="17"/>
  <c r="CH17" i="17" s="1"/>
  <c r="CL17" i="17"/>
  <c r="CM17" i="17"/>
  <c r="CN17" i="17"/>
  <c r="CO17" i="17" s="1"/>
  <c r="DK17" i="17"/>
  <c r="O18" i="17"/>
  <c r="T18" i="17"/>
  <c r="V18" i="17"/>
  <c r="W18" i="17"/>
  <c r="X18" i="17" s="1"/>
  <c r="Z18" i="17"/>
  <c r="AV18" i="17"/>
  <c r="AT18" i="17" s="1"/>
  <c r="AX18" i="17"/>
  <c r="AY18" i="17"/>
  <c r="AZ18" i="17" s="1"/>
  <c r="BB18" i="17"/>
  <c r="BX18" i="17"/>
  <c r="BV18" i="17" s="1"/>
  <c r="CB18" i="17"/>
  <c r="CC18" i="17"/>
  <c r="CJ18" i="17"/>
  <c r="CH18" i="17" s="1"/>
  <c r="CL18" i="17"/>
  <c r="CM18" i="17"/>
  <c r="CN18" i="17"/>
  <c r="CO18" i="17" s="1"/>
  <c r="DK18" i="17"/>
  <c r="O19" i="17"/>
  <c r="T19" i="17"/>
  <c r="R19" i="17" s="1"/>
  <c r="V19" i="17"/>
  <c r="W19" i="17"/>
  <c r="X19" i="17" s="1"/>
  <c r="Z19" i="17"/>
  <c r="AV19" i="17"/>
  <c r="AX19" i="17"/>
  <c r="AY19" i="17"/>
  <c r="AZ19" i="17" s="1"/>
  <c r="BB19" i="17"/>
  <c r="BX19" i="17"/>
  <c r="BV19" i="17" s="1"/>
  <c r="CB19" i="17"/>
  <c r="CC19" i="17"/>
  <c r="CD19" i="17" s="1"/>
  <c r="CF19" i="17"/>
  <c r="CJ19" i="17"/>
  <c r="CH19" i="17" s="1"/>
  <c r="CL19" i="17"/>
  <c r="CM19" i="17"/>
  <c r="CN19" i="17"/>
  <c r="CO19" i="17" s="1"/>
  <c r="DK19" i="17"/>
  <c r="O20" i="17"/>
  <c r="T20" i="17"/>
  <c r="R20" i="17" s="1"/>
  <c r="V20" i="17"/>
  <c r="W20" i="17"/>
  <c r="X20" i="17" s="1"/>
  <c r="AV20" i="17"/>
  <c r="AT20" i="17" s="1"/>
  <c r="AX20" i="17"/>
  <c r="AY20" i="17"/>
  <c r="AZ20" i="17" s="1"/>
  <c r="BB20" i="17"/>
  <c r="BX20" i="17"/>
  <c r="BV20" i="17" s="1"/>
  <c r="CB20" i="17"/>
  <c r="CC20" i="17"/>
  <c r="CD20" i="17" s="1"/>
  <c r="CJ20" i="17"/>
  <c r="CL20" i="17"/>
  <c r="CM20" i="17"/>
  <c r="CN20" i="17"/>
  <c r="CO20" i="17" s="1"/>
  <c r="DK20" i="17"/>
  <c r="O21" i="17"/>
  <c r="T21" i="17"/>
  <c r="R21" i="17" s="1"/>
  <c r="V21" i="17"/>
  <c r="W21" i="17"/>
  <c r="X21" i="17" s="1"/>
  <c r="AV21" i="17"/>
  <c r="AT21" i="17" s="1"/>
  <c r="AX21" i="17"/>
  <c r="AY21" i="17"/>
  <c r="AZ21" i="17" s="1"/>
  <c r="BX21" i="17"/>
  <c r="BV21" i="17" s="1"/>
  <c r="CB21" i="17"/>
  <c r="CC21" i="17"/>
  <c r="CD21" i="17" s="1"/>
  <c r="CF21" i="17"/>
  <c r="CJ21" i="17"/>
  <c r="CH21" i="17" s="1"/>
  <c r="CL21" i="17"/>
  <c r="CM21" i="17"/>
  <c r="CN21" i="17"/>
  <c r="DK21" i="17"/>
  <c r="O22" i="17"/>
  <c r="T22" i="17"/>
  <c r="V22" i="17"/>
  <c r="W22" i="17"/>
  <c r="X22" i="17" s="1"/>
  <c r="AV22" i="17"/>
  <c r="AT22" i="17" s="1"/>
  <c r="AX22" i="17"/>
  <c r="AY22" i="17"/>
  <c r="AZ22" i="17" s="1"/>
  <c r="BX22" i="17"/>
  <c r="BV22" i="17" s="1"/>
  <c r="CB22" i="17"/>
  <c r="CC22" i="17"/>
  <c r="CJ22" i="17"/>
  <c r="CH22" i="17" s="1"/>
  <c r="CL22" i="17"/>
  <c r="CM22" i="17"/>
  <c r="CN22" i="17"/>
  <c r="CO22" i="17" s="1"/>
  <c r="DK22" i="17"/>
  <c r="O23" i="17"/>
  <c r="T23" i="17"/>
  <c r="R23" i="17" s="1"/>
  <c r="V23" i="17"/>
  <c r="W23" i="17"/>
  <c r="X23" i="17" s="1"/>
  <c r="AV23" i="17"/>
  <c r="AX23" i="17"/>
  <c r="AY23" i="17"/>
  <c r="AZ23" i="17" s="1"/>
  <c r="BB23" i="17"/>
  <c r="BX23" i="17"/>
  <c r="BV23" i="17" s="1"/>
  <c r="CB23" i="17"/>
  <c r="CC23" i="17"/>
  <c r="CJ23" i="17"/>
  <c r="CH23" i="17" s="1"/>
  <c r="CL23" i="17"/>
  <c r="CM23" i="17"/>
  <c r="CN23" i="17"/>
  <c r="DK23" i="17"/>
  <c r="O24" i="17"/>
  <c r="T24" i="17"/>
  <c r="V24" i="17"/>
  <c r="W24" i="17"/>
  <c r="X24" i="17" s="1"/>
  <c r="AV24" i="17"/>
  <c r="AT24" i="17" s="1"/>
  <c r="AX24" i="17"/>
  <c r="AY24" i="17"/>
  <c r="AZ24" i="17" s="1"/>
  <c r="BB24" i="17" s="1"/>
  <c r="BX24" i="17"/>
  <c r="BV24" i="17" s="1"/>
  <c r="CB24" i="17"/>
  <c r="CC24" i="17"/>
  <c r="CJ24" i="17"/>
  <c r="CH24" i="17" s="1"/>
  <c r="CL24" i="17"/>
  <c r="CM24" i="17"/>
  <c r="CN24" i="17"/>
  <c r="DK24" i="17"/>
  <c r="O25" i="17"/>
  <c r="T25" i="17"/>
  <c r="R25" i="17" s="1"/>
  <c r="V25" i="17"/>
  <c r="W25" i="17"/>
  <c r="X25" i="17" s="1"/>
  <c r="AV25" i="17"/>
  <c r="AX25" i="17"/>
  <c r="AY25" i="17"/>
  <c r="AZ25" i="17" s="1"/>
  <c r="BB25" i="17" s="1"/>
  <c r="BX25" i="17"/>
  <c r="BV25" i="17" s="1"/>
  <c r="CB25" i="17"/>
  <c r="CC25" i="17"/>
  <c r="CD25" i="17" s="1"/>
  <c r="CF25" i="17"/>
  <c r="CJ25" i="17"/>
  <c r="CH25" i="17" s="1"/>
  <c r="CL25" i="17"/>
  <c r="CM25" i="17"/>
  <c r="CN25" i="17"/>
  <c r="DK25" i="17"/>
  <c r="O26" i="17"/>
  <c r="T26" i="17"/>
  <c r="V26" i="17"/>
  <c r="W26" i="17"/>
  <c r="X26" i="17" s="1"/>
  <c r="Z26" i="17"/>
  <c r="AV26" i="17"/>
  <c r="AT26" i="17" s="1"/>
  <c r="AX26" i="17"/>
  <c r="AY26" i="17"/>
  <c r="AZ26" i="17" s="1"/>
  <c r="BB26" i="17"/>
  <c r="BX26" i="17"/>
  <c r="BV26" i="17" s="1"/>
  <c r="CB26" i="17"/>
  <c r="CC26" i="17"/>
  <c r="CJ26" i="17"/>
  <c r="CH26" i="17" s="1"/>
  <c r="CL26" i="17"/>
  <c r="CM26" i="17"/>
  <c r="CN26" i="17"/>
  <c r="DK26" i="17"/>
  <c r="O27" i="17"/>
  <c r="T27" i="17"/>
  <c r="R27" i="17" s="1"/>
  <c r="V27" i="17"/>
  <c r="W27" i="17"/>
  <c r="X27" i="17" s="1"/>
  <c r="Z27" i="17" s="1"/>
  <c r="AV27" i="17"/>
  <c r="AT27" i="17" s="1"/>
  <c r="AX27" i="17"/>
  <c r="AY27" i="17"/>
  <c r="AZ27" i="17" s="1"/>
  <c r="BX27" i="17"/>
  <c r="BV27" i="17" s="1"/>
  <c r="CB27" i="17"/>
  <c r="CC27" i="17"/>
  <c r="CD27" i="17" s="1"/>
  <c r="CJ27" i="17"/>
  <c r="CH27" i="17" s="1"/>
  <c r="CL27" i="17"/>
  <c r="CM27" i="17"/>
  <c r="CN27" i="17"/>
  <c r="CO27" i="17" s="1"/>
  <c r="DK27" i="17"/>
  <c r="O28" i="17"/>
  <c r="T28" i="17"/>
  <c r="R28" i="17" s="1"/>
  <c r="V28" i="17"/>
  <c r="W28" i="17"/>
  <c r="X28" i="17" s="1"/>
  <c r="Z28" i="17" s="1"/>
  <c r="AV28" i="17"/>
  <c r="AX28" i="17"/>
  <c r="AY28" i="17"/>
  <c r="AZ28" i="17" s="1"/>
  <c r="BB28" i="17" s="1"/>
  <c r="BX28" i="17"/>
  <c r="BV28" i="17" s="1"/>
  <c r="CB28" i="17"/>
  <c r="CC28" i="17"/>
  <c r="CD28" i="17" s="1"/>
  <c r="CJ28" i="17"/>
  <c r="CH28" i="17" s="1"/>
  <c r="CL28" i="17"/>
  <c r="CM28" i="17"/>
  <c r="CN28" i="17"/>
  <c r="CO28" i="17" s="1"/>
  <c r="DK28" i="17"/>
  <c r="O29" i="17"/>
  <c r="T29" i="17"/>
  <c r="V29" i="17"/>
  <c r="W29" i="17"/>
  <c r="X29" i="17" s="1"/>
  <c r="Z29" i="17" s="1"/>
  <c r="AV29" i="17"/>
  <c r="AT29" i="17" s="1"/>
  <c r="AX29" i="17"/>
  <c r="AY29" i="17"/>
  <c r="AZ29" i="17" s="1"/>
  <c r="BX29" i="17"/>
  <c r="BV29" i="17" s="1"/>
  <c r="CB29" i="17"/>
  <c r="CC29" i="17"/>
  <c r="CD29" i="17" s="1"/>
  <c r="CF29" i="17"/>
  <c r="CJ29" i="17"/>
  <c r="CH29" i="17" s="1"/>
  <c r="CL29" i="17"/>
  <c r="CM29" i="17"/>
  <c r="CN29" i="17"/>
  <c r="DK29" i="17"/>
  <c r="O30" i="17"/>
  <c r="T30" i="17"/>
  <c r="R30" i="17" s="1"/>
  <c r="V30" i="17"/>
  <c r="W30" i="17"/>
  <c r="X30" i="17" s="1"/>
  <c r="Z30" i="17"/>
  <c r="AV30" i="17"/>
  <c r="AX30" i="17"/>
  <c r="AY30" i="17"/>
  <c r="AZ30" i="17" s="1"/>
  <c r="BB30" i="17"/>
  <c r="BX30" i="17"/>
  <c r="BV30" i="17" s="1"/>
  <c r="CB30" i="17"/>
  <c r="CC30" i="17"/>
  <c r="CD30" i="17" s="1"/>
  <c r="CF30" i="17"/>
  <c r="CJ30" i="17"/>
  <c r="CH30" i="17" s="1"/>
  <c r="CL30" i="17"/>
  <c r="CM30" i="17"/>
  <c r="CN30" i="17"/>
  <c r="DK30" i="17"/>
  <c r="O31" i="17"/>
  <c r="T31" i="17"/>
  <c r="R31" i="17" s="1"/>
  <c r="V31" i="17"/>
  <c r="W31" i="17"/>
  <c r="X31" i="17" s="1"/>
  <c r="AV31" i="17"/>
  <c r="AX31" i="17"/>
  <c r="AY31" i="17"/>
  <c r="AZ31" i="17" s="1"/>
  <c r="BX31" i="17"/>
  <c r="BV31" i="17" s="1"/>
  <c r="CB31" i="17"/>
  <c r="CC31" i="17"/>
  <c r="CD31" i="17" s="1"/>
  <c r="CF31" i="17" s="1"/>
  <c r="CJ31" i="17"/>
  <c r="CH31" i="17" s="1"/>
  <c r="CL31" i="17"/>
  <c r="CM31" i="17"/>
  <c r="CN31" i="17"/>
  <c r="CO31" i="17" s="1"/>
  <c r="DK31" i="17"/>
  <c r="O32" i="17"/>
  <c r="T32" i="17"/>
  <c r="V32" i="17"/>
  <c r="W32" i="17"/>
  <c r="X32" i="17" s="1"/>
  <c r="AV32" i="17"/>
  <c r="AT32" i="17" s="1"/>
  <c r="AX32" i="17"/>
  <c r="AY32" i="17"/>
  <c r="AZ32" i="17" s="1"/>
  <c r="BX32" i="17"/>
  <c r="BV32" i="17" s="1"/>
  <c r="CB32" i="17"/>
  <c r="CC32" i="17"/>
  <c r="CJ32" i="17"/>
  <c r="CH32" i="17" s="1"/>
  <c r="CL32" i="17"/>
  <c r="CM32" i="17"/>
  <c r="CN32" i="17"/>
  <c r="DK32" i="17"/>
  <c r="O33" i="17"/>
  <c r="T33" i="17"/>
  <c r="R33" i="17" s="1"/>
  <c r="V33" i="17"/>
  <c r="W33" i="17"/>
  <c r="X33" i="17" s="1"/>
  <c r="Z33" i="17" s="1"/>
  <c r="AV33" i="17"/>
  <c r="AT33" i="17" s="1"/>
  <c r="AX33" i="17"/>
  <c r="AY33" i="17"/>
  <c r="AZ33" i="17" s="1"/>
  <c r="BB33" i="17"/>
  <c r="BX33" i="17"/>
  <c r="BV33" i="17" s="1"/>
  <c r="CB33" i="17"/>
  <c r="CC33" i="17"/>
  <c r="CJ33" i="17"/>
  <c r="CH33" i="17" s="1"/>
  <c r="CL33" i="17"/>
  <c r="CM33" i="17"/>
  <c r="CN33" i="17"/>
  <c r="CO33" i="17" s="1"/>
  <c r="DK33" i="17"/>
  <c r="O34" i="17"/>
  <c r="T34" i="17"/>
  <c r="R34" i="17" s="1"/>
  <c r="V34" i="17"/>
  <c r="W34" i="17"/>
  <c r="X34" i="17" s="1"/>
  <c r="Z34" i="17" s="1"/>
  <c r="AV34" i="17"/>
  <c r="AX34" i="17"/>
  <c r="AY34" i="17"/>
  <c r="AZ34" i="17" s="1"/>
  <c r="BB34" i="17" s="1"/>
  <c r="BX34" i="17"/>
  <c r="BV34" i="17" s="1"/>
  <c r="CB34" i="17"/>
  <c r="CC34" i="17"/>
  <c r="CJ34" i="17"/>
  <c r="CH34" i="17" s="1"/>
  <c r="CL34" i="17"/>
  <c r="CM34" i="17"/>
  <c r="CN34" i="17"/>
  <c r="DK34" i="17"/>
  <c r="O35" i="17"/>
  <c r="T35" i="17"/>
  <c r="R35" i="17" s="1"/>
  <c r="V35" i="17"/>
  <c r="W35" i="17"/>
  <c r="X35" i="17" s="1"/>
  <c r="Z35" i="17" s="1"/>
  <c r="AV35" i="17"/>
  <c r="AT35" i="17" s="1"/>
  <c r="AX35" i="17"/>
  <c r="AY35" i="17"/>
  <c r="AZ35" i="17" s="1"/>
  <c r="BB35" i="17" s="1"/>
  <c r="BX35" i="17"/>
  <c r="BV35" i="17" s="1"/>
  <c r="CB35" i="17"/>
  <c r="CC35" i="17"/>
  <c r="CJ35" i="17"/>
  <c r="CH35" i="17" s="1"/>
  <c r="CL35" i="17"/>
  <c r="CM35" i="17"/>
  <c r="CN35" i="17"/>
  <c r="CO35" i="17" s="1"/>
  <c r="DK35" i="17"/>
  <c r="O36" i="17"/>
  <c r="T36" i="17"/>
  <c r="R36" i="17" s="1"/>
  <c r="V36" i="17"/>
  <c r="W36" i="17"/>
  <c r="X36" i="17" s="1"/>
  <c r="AV36" i="17"/>
  <c r="AT36" i="17" s="1"/>
  <c r="AX36" i="17"/>
  <c r="AY36" i="17"/>
  <c r="AZ36" i="17" s="1"/>
  <c r="BX36" i="17"/>
  <c r="BV36" i="17" s="1"/>
  <c r="CB36" i="17"/>
  <c r="CC36" i="17"/>
  <c r="CJ36" i="17"/>
  <c r="CH36" i="17" s="1"/>
  <c r="CL36" i="17"/>
  <c r="CM36" i="17"/>
  <c r="CN36" i="17"/>
  <c r="DK36" i="17"/>
  <c r="O37" i="17"/>
  <c r="T37" i="17"/>
  <c r="R37" i="17" s="1"/>
  <c r="V37" i="17"/>
  <c r="W37" i="17"/>
  <c r="X37" i="17" s="1"/>
  <c r="AV37" i="17"/>
  <c r="AT37" i="17" s="1"/>
  <c r="AX37" i="17"/>
  <c r="AY37" i="17"/>
  <c r="AZ37" i="17" s="1"/>
  <c r="BB37" i="17"/>
  <c r="BX37" i="17"/>
  <c r="BV37" i="17" s="1"/>
  <c r="CB37" i="17"/>
  <c r="CC37" i="17"/>
  <c r="CJ37" i="17"/>
  <c r="CL37" i="17"/>
  <c r="CM37" i="17"/>
  <c r="CN37" i="17"/>
  <c r="CO37" i="17" s="1"/>
  <c r="DK37" i="17"/>
  <c r="O38" i="17"/>
  <c r="T38" i="17"/>
  <c r="V38" i="17"/>
  <c r="W38" i="17"/>
  <c r="X38" i="17" s="1"/>
  <c r="Z38" i="17"/>
  <c r="AV38" i="17"/>
  <c r="AT38" i="17" s="1"/>
  <c r="AX38" i="17"/>
  <c r="AY38" i="17"/>
  <c r="AZ38" i="17" s="1"/>
  <c r="BB38" i="17"/>
  <c r="BX38" i="17"/>
  <c r="BV38" i="17" s="1"/>
  <c r="CB38" i="17"/>
  <c r="CC38" i="17"/>
  <c r="CF38" i="17"/>
  <c r="CJ38" i="17"/>
  <c r="CH38" i="17" s="1"/>
  <c r="CL38" i="17"/>
  <c r="CM38" i="17"/>
  <c r="CN38" i="17"/>
  <c r="DK38" i="17"/>
  <c r="O39" i="17"/>
  <c r="T39" i="17"/>
  <c r="R39" i="17" s="1"/>
  <c r="V39" i="17"/>
  <c r="W39" i="17"/>
  <c r="X39" i="17" s="1"/>
  <c r="Z39" i="17"/>
  <c r="AV39" i="17"/>
  <c r="AT39" i="17" s="1"/>
  <c r="AX39" i="17"/>
  <c r="AY39" i="17"/>
  <c r="AZ39" i="17" s="1"/>
  <c r="BB39" i="17"/>
  <c r="BX39" i="17"/>
  <c r="BV39" i="17" s="1"/>
  <c r="CB39" i="17"/>
  <c r="CC39" i="17"/>
  <c r="CD39" i="17" s="1"/>
  <c r="CF39" i="17"/>
  <c r="CJ39" i="17"/>
  <c r="CH39" i="17" s="1"/>
  <c r="CL39" i="17"/>
  <c r="CM39" i="17"/>
  <c r="CN39" i="17"/>
  <c r="CO39" i="17" s="1"/>
  <c r="DK39" i="17"/>
  <c r="O40" i="17"/>
  <c r="T40" i="17"/>
  <c r="R40" i="17" s="1"/>
  <c r="V40" i="17"/>
  <c r="W40" i="17"/>
  <c r="X40" i="17" s="1"/>
  <c r="Z40" i="17"/>
  <c r="AV40" i="17"/>
  <c r="AT40" i="17" s="1"/>
  <c r="AX40" i="17"/>
  <c r="AY40" i="17"/>
  <c r="AZ40" i="17" s="1"/>
  <c r="BB40" i="17"/>
  <c r="BX40" i="17"/>
  <c r="BV40" i="17" s="1"/>
  <c r="CB40" i="17"/>
  <c r="CC40" i="17"/>
  <c r="CD40" i="17" s="1"/>
  <c r="CF40" i="17" s="1"/>
  <c r="CJ40" i="17"/>
  <c r="CH40" i="17" s="1"/>
  <c r="CL40" i="17"/>
  <c r="CM40" i="17"/>
  <c r="CN40" i="17"/>
  <c r="DK40" i="17"/>
  <c r="O41" i="17"/>
  <c r="T41" i="17"/>
  <c r="V41" i="17"/>
  <c r="W41" i="17"/>
  <c r="X41" i="17" s="1"/>
  <c r="Z41" i="17"/>
  <c r="AV41" i="17"/>
  <c r="AT41" i="17" s="1"/>
  <c r="AX41" i="17"/>
  <c r="AY41" i="17"/>
  <c r="AZ41" i="17" s="1"/>
  <c r="BB41" i="17"/>
  <c r="BX41" i="17"/>
  <c r="BV41" i="17" s="1"/>
  <c r="CB41" i="17"/>
  <c r="CC41" i="17"/>
  <c r="CD41" i="17" s="1"/>
  <c r="CF41" i="17" s="1"/>
  <c r="CJ41" i="17"/>
  <c r="CH41" i="17" s="1"/>
  <c r="CL41" i="17"/>
  <c r="CM41" i="17"/>
  <c r="CN41" i="17"/>
  <c r="CO41" i="17" s="1"/>
  <c r="DK41" i="17"/>
  <c r="O42" i="17"/>
  <c r="T42" i="17"/>
  <c r="V42" i="17"/>
  <c r="W42" i="17"/>
  <c r="X42" i="17" s="1"/>
  <c r="Z42" i="17"/>
  <c r="AV42" i="17"/>
  <c r="AT42" i="17" s="1"/>
  <c r="AX42" i="17"/>
  <c r="AY42" i="17"/>
  <c r="AZ42" i="17" s="1"/>
  <c r="BB42" i="17"/>
  <c r="BX42" i="17"/>
  <c r="BV42" i="17" s="1"/>
  <c r="CB42" i="17"/>
  <c r="CC42" i="17"/>
  <c r="CD42" i="17" s="1"/>
  <c r="CF42" i="17"/>
  <c r="CJ42" i="17"/>
  <c r="CH42" i="17" s="1"/>
  <c r="CL42" i="17"/>
  <c r="CM42" i="17"/>
  <c r="CN42" i="17"/>
  <c r="CO42" i="17" s="1"/>
  <c r="DK42" i="17"/>
  <c r="O43" i="17"/>
  <c r="T43" i="17"/>
  <c r="V43" i="17"/>
  <c r="W43" i="17"/>
  <c r="X43" i="17" s="1"/>
  <c r="Z43" i="17"/>
  <c r="AV43" i="17"/>
  <c r="AT43" i="17" s="1"/>
  <c r="AX43" i="17"/>
  <c r="AY43" i="17"/>
  <c r="AZ43" i="17" s="1"/>
  <c r="BB43" i="17"/>
  <c r="BX43" i="17"/>
  <c r="BV43" i="17" s="1"/>
  <c r="CB43" i="17"/>
  <c r="CC43" i="17"/>
  <c r="CD43" i="17" s="1"/>
  <c r="CF43" i="17"/>
  <c r="CJ43" i="17"/>
  <c r="CH43" i="17" s="1"/>
  <c r="CL43" i="17"/>
  <c r="CM43" i="17"/>
  <c r="CN43" i="17"/>
  <c r="DK43" i="17"/>
  <c r="O44" i="17"/>
  <c r="T44" i="17"/>
  <c r="R44" i="17" s="1"/>
  <c r="V44" i="17"/>
  <c r="W44" i="17"/>
  <c r="X44" i="17" s="1"/>
  <c r="AV44" i="17"/>
  <c r="AT44" i="17" s="1"/>
  <c r="AX44" i="17"/>
  <c r="AY44" i="17"/>
  <c r="AZ44" i="17" s="1"/>
  <c r="BB44" i="17" s="1"/>
  <c r="BX44" i="17"/>
  <c r="BV44" i="17" s="1"/>
  <c r="CB44" i="17"/>
  <c r="CC44" i="17"/>
  <c r="CD44" i="17" s="1"/>
  <c r="CF44" i="17" s="1"/>
  <c r="CJ44" i="17"/>
  <c r="CH44" i="17" s="1"/>
  <c r="CL44" i="17"/>
  <c r="CM44" i="17"/>
  <c r="CN44" i="17"/>
  <c r="CO44" i="17" s="1"/>
  <c r="DK44" i="17"/>
  <c r="O45" i="17"/>
  <c r="T45" i="17"/>
  <c r="V45" i="17"/>
  <c r="W45" i="17"/>
  <c r="X45" i="17" s="1"/>
  <c r="Z45" i="17" s="1"/>
  <c r="AV45" i="17"/>
  <c r="AT45" i="17" s="1"/>
  <c r="AX45" i="17"/>
  <c r="AY45" i="17"/>
  <c r="AZ45" i="17" s="1"/>
  <c r="BX45" i="17"/>
  <c r="BV45" i="17" s="1"/>
  <c r="CB45" i="17"/>
  <c r="CC45" i="17"/>
  <c r="CD45" i="17" s="1"/>
  <c r="CJ45" i="17"/>
  <c r="CH45" i="17" s="1"/>
  <c r="CL45" i="17"/>
  <c r="CM45" i="17"/>
  <c r="CN45" i="17"/>
  <c r="DK45" i="17"/>
  <c r="O46" i="17"/>
  <c r="T46" i="17"/>
  <c r="V46" i="17"/>
  <c r="W46" i="17"/>
  <c r="X46" i="17" s="1"/>
  <c r="AV46" i="17"/>
  <c r="AT46" i="17" s="1"/>
  <c r="AX46" i="17"/>
  <c r="AY46" i="17"/>
  <c r="AZ46" i="17" s="1"/>
  <c r="BB46" i="17"/>
  <c r="BX46" i="17"/>
  <c r="BV46" i="17" s="1"/>
  <c r="CB46" i="17"/>
  <c r="CC46" i="17"/>
  <c r="CD46" i="17" s="1"/>
  <c r="CF46" i="17"/>
  <c r="CJ46" i="17"/>
  <c r="CH46" i="17" s="1"/>
  <c r="CL46" i="17"/>
  <c r="CM46" i="17"/>
  <c r="CN46" i="17"/>
  <c r="DK46" i="17"/>
  <c r="O47" i="17"/>
  <c r="T47" i="17"/>
  <c r="V47" i="17"/>
  <c r="W47" i="17"/>
  <c r="X47" i="17" s="1"/>
  <c r="AV47" i="17"/>
  <c r="AT47" i="17" s="1"/>
  <c r="AX47" i="17"/>
  <c r="AY47" i="17"/>
  <c r="AZ47" i="17" s="1"/>
  <c r="BX47" i="17"/>
  <c r="BV47" i="17" s="1"/>
  <c r="CB47" i="17"/>
  <c r="CC47" i="17"/>
  <c r="CJ47" i="17"/>
  <c r="CH47" i="17" s="1"/>
  <c r="CL47" i="17"/>
  <c r="CM47" i="17"/>
  <c r="CN47" i="17"/>
  <c r="CO47" i="17" s="1"/>
  <c r="DK47" i="17"/>
  <c r="O48" i="17"/>
  <c r="T48" i="17"/>
  <c r="R48" i="17" s="1"/>
  <c r="V48" i="17"/>
  <c r="W48" i="17"/>
  <c r="X48" i="17" s="1"/>
  <c r="Z48" i="17" s="1"/>
  <c r="AV48" i="17"/>
  <c r="AX48" i="17"/>
  <c r="AY48" i="17"/>
  <c r="AZ48" i="17" s="1"/>
  <c r="BX48" i="17"/>
  <c r="BV48" i="17" s="1"/>
  <c r="CB48" i="17"/>
  <c r="CC48" i="17"/>
  <c r="CD48" i="17" s="1"/>
  <c r="CJ48" i="17"/>
  <c r="CH48" i="17" s="1"/>
  <c r="CL48" i="17"/>
  <c r="CM48" i="17"/>
  <c r="CN48" i="17"/>
  <c r="DK48" i="17"/>
  <c r="O49" i="17"/>
  <c r="T49" i="17"/>
  <c r="V49" i="17"/>
  <c r="W49" i="17"/>
  <c r="X49" i="17" s="1"/>
  <c r="AV49" i="17"/>
  <c r="AT49" i="17" s="1"/>
  <c r="AX49" i="17"/>
  <c r="AY49" i="17"/>
  <c r="AZ49" i="17" s="1"/>
  <c r="BX49" i="17"/>
  <c r="BV49" i="17" s="1"/>
  <c r="CB49" i="17"/>
  <c r="CC49" i="17"/>
  <c r="CD49" i="17" s="1"/>
  <c r="CF49" i="17" s="1"/>
  <c r="CJ49" i="17"/>
  <c r="CH49" i="17" s="1"/>
  <c r="CL49" i="17"/>
  <c r="CM49" i="17"/>
  <c r="CN49" i="17"/>
  <c r="DK49" i="17"/>
  <c r="O50" i="17"/>
  <c r="T50" i="17"/>
  <c r="V50" i="17"/>
  <c r="W50" i="17"/>
  <c r="X50" i="17" s="1"/>
  <c r="Z50" i="17" s="1"/>
  <c r="AV50" i="17"/>
  <c r="AT50" i="17" s="1"/>
  <c r="AX50" i="17"/>
  <c r="AY50" i="17"/>
  <c r="AZ50" i="17" s="1"/>
  <c r="BX50" i="17"/>
  <c r="BV50" i="17" s="1"/>
  <c r="CB50" i="17"/>
  <c r="CC50" i="17"/>
  <c r="CD50" i="17" s="1"/>
  <c r="CJ50" i="17"/>
  <c r="CH50" i="17" s="1"/>
  <c r="CL50" i="17"/>
  <c r="CM50" i="17"/>
  <c r="CN50" i="17"/>
  <c r="DK50" i="17"/>
  <c r="O51" i="17"/>
  <c r="T51" i="17"/>
  <c r="V51" i="17"/>
  <c r="W51" i="17"/>
  <c r="X51" i="17" s="1"/>
  <c r="Z51" i="17"/>
  <c r="AV51" i="17"/>
  <c r="AT51" i="17" s="1"/>
  <c r="AX51" i="17"/>
  <c r="AY51" i="17"/>
  <c r="AZ51" i="17" s="1"/>
  <c r="BX51" i="17"/>
  <c r="BV51" i="17" s="1"/>
  <c r="CB51" i="17"/>
  <c r="CC51" i="17"/>
  <c r="CJ51" i="17"/>
  <c r="CH51" i="17" s="1"/>
  <c r="CL51" i="17"/>
  <c r="CM51" i="17"/>
  <c r="CN51" i="17"/>
  <c r="CO51" i="17" s="1"/>
  <c r="DK51" i="17"/>
  <c r="T52" i="17"/>
  <c r="R52" i="17" s="1"/>
  <c r="V52" i="17"/>
  <c r="W52" i="17"/>
  <c r="X52" i="17" s="1"/>
  <c r="AV52" i="17"/>
  <c r="AT52" i="17" s="1"/>
  <c r="AX52" i="17"/>
  <c r="AY52" i="17"/>
  <c r="AZ52" i="17" s="1"/>
  <c r="BX52" i="17"/>
  <c r="BV52" i="17" s="1"/>
  <c r="CB52" i="17"/>
  <c r="CC52" i="17"/>
  <c r="CF52" i="17"/>
  <c r="CJ52" i="17"/>
  <c r="CH52" i="17" s="1"/>
  <c r="CL52" i="17"/>
  <c r="CM52" i="17"/>
  <c r="CN52" i="17"/>
  <c r="DK52" i="17"/>
  <c r="O53" i="17"/>
  <c r="T53" i="17"/>
  <c r="R53" i="17" s="1"/>
  <c r="V53" i="17"/>
  <c r="W53" i="17"/>
  <c r="X53" i="17" s="1"/>
  <c r="AV53" i="17"/>
  <c r="AT53" i="17" s="1"/>
  <c r="AX53" i="17"/>
  <c r="AY53" i="17"/>
  <c r="AZ53" i="17" s="1"/>
  <c r="BX53" i="17"/>
  <c r="BV53" i="17" s="1"/>
  <c r="CB53" i="17"/>
  <c r="CC53" i="17"/>
  <c r="CF53" i="17"/>
  <c r="CJ53" i="17"/>
  <c r="CH53" i="17" s="1"/>
  <c r="CL53" i="17"/>
  <c r="CM53" i="17"/>
  <c r="CN53" i="17"/>
  <c r="CO53" i="17" s="1"/>
  <c r="DK53" i="17"/>
  <c r="O54" i="17"/>
  <c r="T54" i="17"/>
  <c r="R54" i="17" s="1"/>
  <c r="V54" i="17"/>
  <c r="W54" i="17"/>
  <c r="X54" i="17" s="1"/>
  <c r="Z54" i="17" s="1"/>
  <c r="AV54" i="17"/>
  <c r="AT54" i="17" s="1"/>
  <c r="AX54" i="17"/>
  <c r="AY54" i="17"/>
  <c r="AZ54" i="17" s="1"/>
  <c r="BB54" i="17" s="1"/>
  <c r="BX54" i="17"/>
  <c r="BV54" i="17" s="1"/>
  <c r="CB54" i="17"/>
  <c r="CC54" i="17"/>
  <c r="CD54" i="17" s="1"/>
  <c r="CF54" i="17" s="1"/>
  <c r="CJ54" i="17"/>
  <c r="CH54" i="17" s="1"/>
  <c r="CL54" i="17"/>
  <c r="CM54" i="17"/>
  <c r="CN54" i="17"/>
  <c r="CO54" i="17" s="1"/>
  <c r="DK54" i="17"/>
  <c r="O55" i="17"/>
  <c r="T55" i="17"/>
  <c r="R55" i="17" s="1"/>
  <c r="V55" i="17"/>
  <c r="W55" i="17"/>
  <c r="X55" i="17" s="1"/>
  <c r="Z55" i="17" s="1"/>
  <c r="AV55" i="17"/>
  <c r="AT55" i="17" s="1"/>
  <c r="AX55" i="17"/>
  <c r="AY55" i="17"/>
  <c r="AZ55" i="17" s="1"/>
  <c r="BX55" i="17"/>
  <c r="BV55" i="17" s="1"/>
  <c r="CB55" i="17"/>
  <c r="CC55" i="17"/>
  <c r="CJ55" i="17"/>
  <c r="CH55" i="17" s="1"/>
  <c r="CL55" i="17"/>
  <c r="CM55" i="17"/>
  <c r="CN55" i="17"/>
  <c r="CO55" i="17" s="1"/>
  <c r="DK55" i="17"/>
  <c r="O56" i="17"/>
  <c r="T56" i="17"/>
  <c r="R56" i="17" s="1"/>
  <c r="V56" i="17"/>
  <c r="W56" i="17"/>
  <c r="X56" i="17" s="1"/>
  <c r="AV56" i="17"/>
  <c r="AX56" i="17"/>
  <c r="AY56" i="17"/>
  <c r="AZ56" i="17" s="1"/>
  <c r="BB56" i="17"/>
  <c r="BX56" i="17"/>
  <c r="BV56" i="17" s="1"/>
  <c r="CB56" i="17"/>
  <c r="CC56" i="17"/>
  <c r="CD56" i="17" s="1"/>
  <c r="CF56" i="17"/>
  <c r="CJ56" i="17"/>
  <c r="CH56" i="17" s="1"/>
  <c r="CL56" i="17"/>
  <c r="CM56" i="17"/>
  <c r="CN56" i="17"/>
  <c r="DK56" i="17"/>
  <c r="O57" i="17"/>
  <c r="T57" i="17"/>
  <c r="V57" i="17"/>
  <c r="W57" i="17"/>
  <c r="X57" i="17" s="1"/>
  <c r="Z57" i="17"/>
  <c r="AV57" i="17"/>
  <c r="AT57" i="17" s="1"/>
  <c r="AX57" i="17"/>
  <c r="AY57" i="17"/>
  <c r="AZ57" i="17" s="1"/>
  <c r="BB57" i="17"/>
  <c r="BX57" i="17"/>
  <c r="BV57" i="17" s="1"/>
  <c r="CB57" i="17"/>
  <c r="CC57" i="17"/>
  <c r="CD57" i="17" s="1"/>
  <c r="CF57" i="17" s="1"/>
  <c r="CJ57" i="17"/>
  <c r="CH57" i="17" s="1"/>
  <c r="CL57" i="17"/>
  <c r="CM57" i="17"/>
  <c r="CN57" i="17"/>
  <c r="DK57" i="17"/>
  <c r="O58" i="17"/>
  <c r="T58" i="17"/>
  <c r="R58" i="17" s="1"/>
  <c r="V58" i="17"/>
  <c r="W58" i="17"/>
  <c r="X58" i="17" s="1"/>
  <c r="Z58" i="17" s="1"/>
  <c r="AV58" i="17"/>
  <c r="AX58" i="17"/>
  <c r="AY58" i="17"/>
  <c r="AZ58" i="17" s="1"/>
  <c r="BX58" i="17"/>
  <c r="BV58" i="17" s="1"/>
  <c r="CB58" i="17"/>
  <c r="CC58" i="17"/>
  <c r="CD58" i="17" s="1"/>
  <c r="CJ58" i="17"/>
  <c r="CH58" i="17" s="1"/>
  <c r="CL58" i="17"/>
  <c r="CM58" i="17"/>
  <c r="CN58" i="17"/>
  <c r="CO58" i="17" s="1"/>
  <c r="DK58" i="17"/>
  <c r="O59" i="17"/>
  <c r="T59" i="17"/>
  <c r="V59" i="17"/>
  <c r="W59" i="17"/>
  <c r="X59" i="17" s="1"/>
  <c r="AV59" i="17"/>
  <c r="AT59" i="17" s="1"/>
  <c r="AX59" i="17"/>
  <c r="AY59" i="17"/>
  <c r="AZ59" i="17" s="1"/>
  <c r="BB59" i="17" s="1"/>
  <c r="BX59" i="17"/>
  <c r="BV59" i="17" s="1"/>
  <c r="CB59" i="17"/>
  <c r="CC59" i="17"/>
  <c r="CJ59" i="17"/>
  <c r="CH59" i="17" s="1"/>
  <c r="CL59" i="17"/>
  <c r="CM59" i="17"/>
  <c r="CN59" i="17"/>
  <c r="CO59" i="17" s="1"/>
  <c r="DK59" i="17"/>
  <c r="O60" i="17"/>
  <c r="T60" i="17"/>
  <c r="R60" i="17" s="1"/>
  <c r="V60" i="17"/>
  <c r="W60" i="17"/>
  <c r="X60" i="17" s="1"/>
  <c r="AV60" i="17"/>
  <c r="AT60" i="17" s="1"/>
  <c r="AX60" i="17"/>
  <c r="AY60" i="17"/>
  <c r="AZ60" i="17" s="1"/>
  <c r="BB60" i="17"/>
  <c r="BX60" i="17"/>
  <c r="BV60" i="17" s="1"/>
  <c r="CB60" i="17"/>
  <c r="CC60" i="17"/>
  <c r="CD60" i="17" s="1"/>
  <c r="CF60" i="17" s="1"/>
  <c r="CJ60" i="17"/>
  <c r="CH60" i="17" s="1"/>
  <c r="CL60" i="17"/>
  <c r="CM60" i="17"/>
  <c r="CN60" i="17"/>
  <c r="CO60" i="17" s="1"/>
  <c r="DK60" i="17"/>
  <c r="O61" i="17"/>
  <c r="T61" i="17"/>
  <c r="R61" i="17" s="1"/>
  <c r="V61" i="17"/>
  <c r="W61" i="17"/>
  <c r="X61" i="17" s="1"/>
  <c r="Z61" i="17" s="1"/>
  <c r="AV61" i="17"/>
  <c r="AT61" i="17" s="1"/>
  <c r="AX61" i="17"/>
  <c r="AY61" i="17"/>
  <c r="AZ61" i="17" s="1"/>
  <c r="BB61" i="17"/>
  <c r="BX61" i="17"/>
  <c r="BV61" i="17" s="1"/>
  <c r="CB61" i="17"/>
  <c r="CC61" i="17"/>
  <c r="CD61" i="17" s="1"/>
  <c r="CF61" i="17"/>
  <c r="CJ61" i="17"/>
  <c r="CL61" i="17"/>
  <c r="CM61" i="17"/>
  <c r="CN61" i="17"/>
  <c r="DK61" i="17"/>
  <c r="O62" i="17"/>
  <c r="T62" i="17"/>
  <c r="V62" i="17"/>
  <c r="W62" i="17"/>
  <c r="X62" i="17" s="1"/>
  <c r="Z62" i="17" s="1"/>
  <c r="AV62" i="17"/>
  <c r="AT62" i="17" s="1"/>
  <c r="AX62" i="17"/>
  <c r="AY62" i="17"/>
  <c r="AZ62" i="17" s="1"/>
  <c r="BX62" i="17"/>
  <c r="BV62" i="17" s="1"/>
  <c r="CB62" i="17"/>
  <c r="CC62" i="17"/>
  <c r="CJ62" i="17"/>
  <c r="CH62" i="17" s="1"/>
  <c r="CL62" i="17"/>
  <c r="CM62" i="17"/>
  <c r="CN62" i="17"/>
  <c r="CO62" i="17" s="1"/>
  <c r="DK62" i="17"/>
  <c r="O63" i="17"/>
  <c r="T63" i="17"/>
  <c r="V63" i="17"/>
  <c r="W63" i="17"/>
  <c r="X63" i="17" s="1"/>
  <c r="AV63" i="17"/>
  <c r="AT63" i="17" s="1"/>
  <c r="AX63" i="17"/>
  <c r="AY63" i="17"/>
  <c r="AZ63" i="17" s="1"/>
  <c r="BX63" i="17"/>
  <c r="BV63" i="17" s="1"/>
  <c r="CB63" i="17"/>
  <c r="CC63" i="17"/>
  <c r="CJ63" i="17"/>
  <c r="CH63" i="17" s="1"/>
  <c r="CL63" i="17"/>
  <c r="CM63" i="17"/>
  <c r="CN63" i="17"/>
  <c r="CO63" i="17" s="1"/>
  <c r="DK63" i="17"/>
  <c r="O64" i="17"/>
  <c r="T64" i="17"/>
  <c r="R64" i="17" s="1"/>
  <c r="V64" i="17"/>
  <c r="W64" i="17"/>
  <c r="X64" i="17" s="1"/>
  <c r="AV64" i="17"/>
  <c r="AT64" i="17" s="1"/>
  <c r="AX64" i="17"/>
  <c r="AY64" i="17"/>
  <c r="AZ64" i="17" s="1"/>
  <c r="BX64" i="17"/>
  <c r="BV64" i="17" s="1"/>
  <c r="CB64" i="17"/>
  <c r="CC64" i="17"/>
  <c r="CD64" i="17" s="1"/>
  <c r="CJ64" i="17"/>
  <c r="CH64" i="17" s="1"/>
  <c r="CL64" i="17"/>
  <c r="CM64" i="17"/>
  <c r="CN64" i="17"/>
  <c r="CO64" i="17" s="1"/>
  <c r="DK64" i="17"/>
  <c r="O65" i="17"/>
  <c r="T65" i="17"/>
  <c r="V65" i="17"/>
  <c r="W65" i="17"/>
  <c r="X65" i="17" s="1"/>
  <c r="Z65" i="17" s="1"/>
  <c r="AV65" i="17"/>
  <c r="AT65" i="17" s="1"/>
  <c r="AX65" i="17"/>
  <c r="AY65" i="17"/>
  <c r="AZ65" i="17" s="1"/>
  <c r="BB65" i="17"/>
  <c r="BX65" i="17"/>
  <c r="BV65" i="17" s="1"/>
  <c r="CB65" i="17"/>
  <c r="CC65" i="17"/>
  <c r="CJ65" i="17"/>
  <c r="CH65" i="17" s="1"/>
  <c r="CL65" i="17"/>
  <c r="CM65" i="17"/>
  <c r="CN65" i="17"/>
  <c r="DK65" i="17"/>
  <c r="O66" i="17"/>
  <c r="T66" i="17"/>
  <c r="V66" i="17"/>
  <c r="W66" i="17"/>
  <c r="X66" i="17" s="1"/>
  <c r="Z66" i="17" s="1"/>
  <c r="AV66" i="17"/>
  <c r="AT66" i="17" s="1"/>
  <c r="AX66" i="17"/>
  <c r="AY66" i="17"/>
  <c r="AZ66" i="17" s="1"/>
  <c r="BX66" i="17"/>
  <c r="BV66" i="17" s="1"/>
  <c r="CB66" i="17"/>
  <c r="CC66" i="17"/>
  <c r="CD66" i="17" s="1"/>
  <c r="CJ66" i="17"/>
  <c r="CH66" i="17" s="1"/>
  <c r="CL66" i="17"/>
  <c r="CM66" i="17"/>
  <c r="CN66" i="17"/>
  <c r="DK66" i="17"/>
  <c r="O67" i="17"/>
  <c r="T67" i="17"/>
  <c r="V67" i="17"/>
  <c r="W67" i="17"/>
  <c r="X67" i="17" s="1"/>
  <c r="AV67" i="17"/>
  <c r="AT67" i="17" s="1"/>
  <c r="AX67" i="17"/>
  <c r="AY67" i="17"/>
  <c r="AZ67" i="17" s="1"/>
  <c r="BB67" i="17" s="1"/>
  <c r="BX67" i="17"/>
  <c r="BV67" i="17" s="1"/>
  <c r="CB67" i="17"/>
  <c r="CC67" i="17"/>
  <c r="CJ67" i="17"/>
  <c r="CH67" i="17" s="1"/>
  <c r="CL67" i="17"/>
  <c r="CM67" i="17"/>
  <c r="CN67" i="17"/>
  <c r="CO67" i="17" s="1"/>
  <c r="DK67" i="17"/>
  <c r="O68" i="17"/>
  <c r="T68" i="17"/>
  <c r="R68" i="17" s="1"/>
  <c r="V68" i="17"/>
  <c r="W68" i="17"/>
  <c r="X68" i="17" s="1"/>
  <c r="Z68" i="17" s="1"/>
  <c r="AV68" i="17"/>
  <c r="AT68" i="17" s="1"/>
  <c r="AX68" i="17"/>
  <c r="AY68" i="17"/>
  <c r="AZ68" i="17" s="1"/>
  <c r="BB68" i="17"/>
  <c r="BX68" i="17"/>
  <c r="BV68" i="17" s="1"/>
  <c r="CB68" i="17"/>
  <c r="CC68" i="17"/>
  <c r="CD68" i="17" s="1"/>
  <c r="CF68" i="17"/>
  <c r="CJ68" i="17"/>
  <c r="CH68" i="17" s="1"/>
  <c r="CL68" i="17"/>
  <c r="CM68" i="17"/>
  <c r="CN68" i="17"/>
  <c r="CO68" i="17" s="1"/>
  <c r="DK68" i="17"/>
  <c r="O69" i="17"/>
  <c r="T69" i="17"/>
  <c r="V69" i="17"/>
  <c r="W69" i="17"/>
  <c r="X69" i="17" s="1"/>
  <c r="AV69" i="17"/>
  <c r="AT69" i="17" s="1"/>
  <c r="AX69" i="17"/>
  <c r="AY69" i="17"/>
  <c r="AZ69" i="17" s="1"/>
  <c r="BX69" i="17"/>
  <c r="BV69" i="17" s="1"/>
  <c r="CB69" i="17"/>
  <c r="CC69" i="17"/>
  <c r="CJ69" i="17"/>
  <c r="CH69" i="17" s="1"/>
  <c r="CL69" i="17"/>
  <c r="CM69" i="17"/>
  <c r="CN69" i="17"/>
  <c r="DK69" i="17"/>
  <c r="O70" i="17"/>
  <c r="T70" i="17"/>
  <c r="R70" i="17" s="1"/>
  <c r="V70" i="17"/>
  <c r="W70" i="17"/>
  <c r="X70" i="17" s="1"/>
  <c r="AV70" i="17"/>
  <c r="AX70" i="17"/>
  <c r="AY70" i="17"/>
  <c r="AZ70" i="17" s="1"/>
  <c r="BB70" i="17" s="1"/>
  <c r="BX70" i="17"/>
  <c r="BV70" i="17" s="1"/>
  <c r="CB70" i="17"/>
  <c r="CC70" i="17"/>
  <c r="CD70" i="17" s="1"/>
  <c r="CJ70" i="17"/>
  <c r="CH70" i="17" s="1"/>
  <c r="CL70" i="17"/>
  <c r="CM70" i="17"/>
  <c r="CN70" i="17"/>
  <c r="DK70" i="17"/>
  <c r="O71" i="17"/>
  <c r="T71" i="17"/>
  <c r="R71" i="17" s="1"/>
  <c r="V71" i="17"/>
  <c r="W71" i="17"/>
  <c r="X71" i="17" s="1"/>
  <c r="AV71" i="17"/>
  <c r="AT71" i="17" s="1"/>
  <c r="AX71" i="17"/>
  <c r="AY71" i="17"/>
  <c r="AZ71" i="17" s="1"/>
  <c r="BB71" i="17"/>
  <c r="BX71" i="17"/>
  <c r="BV71" i="17" s="1"/>
  <c r="CB71" i="17"/>
  <c r="CC71" i="17"/>
  <c r="CD71" i="17" s="1"/>
  <c r="CF71" i="17" s="1"/>
  <c r="CJ71" i="17"/>
  <c r="CH71" i="17" s="1"/>
  <c r="CL71" i="17"/>
  <c r="CM71" i="17"/>
  <c r="CN71" i="17"/>
  <c r="CO71" i="17" s="1"/>
  <c r="DK71" i="17"/>
  <c r="O72" i="17"/>
  <c r="T72" i="17"/>
  <c r="R72" i="17" s="1"/>
  <c r="V72" i="17"/>
  <c r="W72" i="17"/>
  <c r="X72" i="17" s="1"/>
  <c r="Z72" i="17"/>
  <c r="AV72" i="17"/>
  <c r="AX72" i="17"/>
  <c r="AY72" i="17"/>
  <c r="AZ72" i="17" s="1"/>
  <c r="BB72" i="17" s="1"/>
  <c r="BX72" i="17"/>
  <c r="BV72" i="17" s="1"/>
  <c r="CB72" i="17"/>
  <c r="CC72" i="17"/>
  <c r="CD72" i="17" s="1"/>
  <c r="CJ72" i="17"/>
  <c r="CH72" i="17" s="1"/>
  <c r="CL72" i="17"/>
  <c r="CM72" i="17"/>
  <c r="CN72" i="17"/>
  <c r="CO72" i="17" s="1"/>
  <c r="DK72" i="17"/>
  <c r="O73" i="17"/>
  <c r="T73" i="17"/>
  <c r="V73" i="17"/>
  <c r="W73" i="17"/>
  <c r="X73" i="17" s="1"/>
  <c r="Z73" i="17" s="1"/>
  <c r="AV73" i="17"/>
  <c r="AT73" i="17" s="1"/>
  <c r="AX73" i="17"/>
  <c r="AY73" i="17"/>
  <c r="AZ73" i="17" s="1"/>
  <c r="BB73" i="17"/>
  <c r="BX73" i="17"/>
  <c r="BV73" i="17" s="1"/>
  <c r="CB73" i="17"/>
  <c r="CC73" i="17"/>
  <c r="CJ73" i="17"/>
  <c r="CH73" i="17" s="1"/>
  <c r="CL73" i="17"/>
  <c r="CM73" i="17"/>
  <c r="CN73" i="17"/>
  <c r="CO73" i="17" s="1"/>
  <c r="DK73" i="17"/>
  <c r="O74" i="17"/>
  <c r="T74" i="17"/>
  <c r="R74" i="17" s="1"/>
  <c r="V74" i="17"/>
  <c r="W74" i="17"/>
  <c r="X74" i="17" s="1"/>
  <c r="Z74" i="17"/>
  <c r="AV74" i="17"/>
  <c r="AX74" i="17"/>
  <c r="AY74" i="17"/>
  <c r="AZ74" i="17" s="1"/>
  <c r="BB74" i="17"/>
  <c r="BX74" i="17"/>
  <c r="BV74" i="17" s="1"/>
  <c r="CB74" i="17"/>
  <c r="CC74" i="17"/>
  <c r="CJ74" i="17"/>
  <c r="CH74" i="17" s="1"/>
  <c r="CL74" i="17"/>
  <c r="CM74" i="17"/>
  <c r="CN74" i="17"/>
  <c r="CO74" i="17" s="1"/>
  <c r="DK74" i="17"/>
  <c r="O75" i="17"/>
  <c r="T75" i="17"/>
  <c r="V75" i="17"/>
  <c r="W75" i="17"/>
  <c r="X75" i="17" s="1"/>
  <c r="AV75" i="17"/>
  <c r="AT75" i="17" s="1"/>
  <c r="AX75" i="17"/>
  <c r="AY75" i="17"/>
  <c r="AZ75" i="17" s="1"/>
  <c r="BX75" i="17"/>
  <c r="BV75" i="17" s="1"/>
  <c r="CB75" i="17"/>
  <c r="CC75" i="17"/>
  <c r="CJ75" i="17"/>
  <c r="CH75" i="17" s="1"/>
  <c r="CL75" i="17"/>
  <c r="CM75" i="17"/>
  <c r="CN75" i="17"/>
  <c r="DK75" i="17"/>
  <c r="O76" i="17"/>
  <c r="T76" i="17"/>
  <c r="V76" i="17"/>
  <c r="W76" i="17"/>
  <c r="X76" i="17" s="1"/>
  <c r="Z76" i="17"/>
  <c r="AV76" i="17"/>
  <c r="AT76" i="17" s="1"/>
  <c r="AX76" i="17"/>
  <c r="AY76" i="17"/>
  <c r="AZ76" i="17" s="1"/>
  <c r="BB76" i="17"/>
  <c r="BX76" i="17"/>
  <c r="BV76" i="17" s="1"/>
  <c r="CB76" i="17"/>
  <c r="CC76" i="17"/>
  <c r="CD76" i="17" s="1"/>
  <c r="CF76" i="17"/>
  <c r="CJ76" i="17"/>
  <c r="CH76" i="17" s="1"/>
  <c r="CL76" i="17"/>
  <c r="CM76" i="17"/>
  <c r="CN76" i="17"/>
  <c r="CO76" i="17" s="1"/>
  <c r="DK76" i="17"/>
  <c r="O77" i="17"/>
  <c r="T77" i="17"/>
  <c r="R77" i="17" s="1"/>
  <c r="V77" i="17"/>
  <c r="W77" i="17"/>
  <c r="X77" i="17" s="1"/>
  <c r="Z77" i="17"/>
  <c r="AV77" i="17"/>
  <c r="AT77" i="17" s="1"/>
  <c r="AX77" i="17"/>
  <c r="AY77" i="17"/>
  <c r="AZ77" i="17" s="1"/>
  <c r="BB77" i="17"/>
  <c r="BX77" i="17"/>
  <c r="BV77" i="17" s="1"/>
  <c r="CB77" i="17"/>
  <c r="CC77" i="17"/>
  <c r="CD77" i="17" s="1"/>
  <c r="CJ77" i="17"/>
  <c r="CH77" i="17" s="1"/>
  <c r="CL77" i="17"/>
  <c r="CM77" i="17"/>
  <c r="CN77" i="17"/>
  <c r="CO77" i="17" s="1"/>
  <c r="DK77" i="17"/>
  <c r="O78" i="17"/>
  <c r="T78" i="17"/>
  <c r="V78" i="17"/>
  <c r="W78" i="17"/>
  <c r="X78" i="17" s="1"/>
  <c r="Z78" i="17"/>
  <c r="AV78" i="17"/>
  <c r="AT78" i="17" s="1"/>
  <c r="AX78" i="17"/>
  <c r="AY78" i="17"/>
  <c r="AZ78" i="17" s="1"/>
  <c r="BB78" i="17"/>
  <c r="BX78" i="17"/>
  <c r="BV78" i="17" s="1"/>
  <c r="CB78" i="17"/>
  <c r="CC78" i="17"/>
  <c r="CD78" i="17" s="1"/>
  <c r="CF78" i="17"/>
  <c r="CJ78" i="17"/>
  <c r="CH78" i="17" s="1"/>
  <c r="CL78" i="17"/>
  <c r="CM78" i="17"/>
  <c r="CN78" i="17"/>
  <c r="CO78" i="17" s="1"/>
  <c r="DK78" i="17"/>
  <c r="T79" i="17"/>
  <c r="V79" i="17"/>
  <c r="W79" i="17"/>
  <c r="X79" i="17" s="1"/>
  <c r="Z79" i="17"/>
  <c r="AV79" i="17"/>
  <c r="AT79" i="17" s="1"/>
  <c r="AX79" i="17"/>
  <c r="AY79" i="17"/>
  <c r="AZ79" i="17" s="1"/>
  <c r="BB79" i="17"/>
  <c r="BX79" i="17"/>
  <c r="BV79" i="17" s="1"/>
  <c r="CB79" i="17"/>
  <c r="CC79" i="17"/>
  <c r="CD79" i="17" s="1"/>
  <c r="CF79" i="17"/>
  <c r="CJ79" i="17"/>
  <c r="CH79" i="17" s="1"/>
  <c r="CL79" i="17"/>
  <c r="CM79" i="17"/>
  <c r="CN79" i="17"/>
  <c r="CO79" i="17" s="1"/>
  <c r="DK79" i="17"/>
  <c r="O80" i="17"/>
  <c r="T80" i="17"/>
  <c r="R80" i="17" s="1"/>
  <c r="V80" i="17"/>
  <c r="W80" i="17"/>
  <c r="X80" i="17" s="1"/>
  <c r="Z80" i="17" s="1"/>
  <c r="AV80" i="17"/>
  <c r="AX80" i="17"/>
  <c r="AY80" i="17"/>
  <c r="AZ80" i="17" s="1"/>
  <c r="BX80" i="17"/>
  <c r="BV80" i="17" s="1"/>
  <c r="CB80" i="17"/>
  <c r="CC80" i="17"/>
  <c r="CD80" i="17" s="1"/>
  <c r="CF80" i="17" s="1"/>
  <c r="CJ80" i="17"/>
  <c r="CH80" i="17" s="1"/>
  <c r="CL80" i="17"/>
  <c r="CM80" i="17"/>
  <c r="CN80" i="17"/>
  <c r="CO80" i="17" s="1"/>
  <c r="DK80" i="17"/>
  <c r="O81" i="17"/>
  <c r="T81" i="17"/>
  <c r="V81" i="17"/>
  <c r="W81" i="17"/>
  <c r="X81" i="17" s="1"/>
  <c r="Z81" i="17" s="1"/>
  <c r="AV81" i="17"/>
  <c r="AT81" i="17" s="1"/>
  <c r="AX81" i="17"/>
  <c r="AY81" i="17"/>
  <c r="AZ81" i="17" s="1"/>
  <c r="BX81" i="17"/>
  <c r="BV81" i="17" s="1"/>
  <c r="CB81" i="17"/>
  <c r="CC81" i="17"/>
  <c r="CF81" i="17"/>
  <c r="CJ81" i="17"/>
  <c r="CH81" i="17" s="1"/>
  <c r="CL81" i="17"/>
  <c r="CM81" i="17"/>
  <c r="CN81" i="17"/>
  <c r="CO81" i="17" s="1"/>
  <c r="DK81" i="17"/>
  <c r="O82" i="17"/>
  <c r="T82" i="17"/>
  <c r="V82" i="17"/>
  <c r="W82" i="17"/>
  <c r="X82" i="17" s="1"/>
  <c r="Z82" i="17" s="1"/>
  <c r="AV82" i="17"/>
  <c r="AT82" i="17" s="1"/>
  <c r="AX82" i="17"/>
  <c r="AY82" i="17"/>
  <c r="AZ82" i="17" s="1"/>
  <c r="BX82" i="17"/>
  <c r="BV82" i="17" s="1"/>
  <c r="CB82" i="17"/>
  <c r="CC82" i="17"/>
  <c r="CJ82" i="17"/>
  <c r="CH82" i="17" s="1"/>
  <c r="CL82" i="17"/>
  <c r="CM82" i="17"/>
  <c r="CN82" i="17"/>
  <c r="CO82" i="17" s="1"/>
  <c r="DK82" i="17"/>
  <c r="O83" i="17"/>
  <c r="T83" i="17"/>
  <c r="V83" i="17"/>
  <c r="W83" i="17"/>
  <c r="X83" i="17" s="1"/>
  <c r="Z83" i="17"/>
  <c r="AV83" i="17"/>
  <c r="AT83" i="17" s="1"/>
  <c r="AX83" i="17"/>
  <c r="AY83" i="17"/>
  <c r="AZ83" i="17" s="1"/>
  <c r="BX83" i="17"/>
  <c r="BV83" i="17" s="1"/>
  <c r="CB83" i="17"/>
  <c r="CC83" i="17"/>
  <c r="CD83" i="17" s="1"/>
  <c r="CF83" i="17"/>
  <c r="CJ83" i="17"/>
  <c r="CH83" i="17" s="1"/>
  <c r="CL83" i="17"/>
  <c r="CM83" i="17"/>
  <c r="CN83" i="17"/>
  <c r="DK83" i="17"/>
  <c r="O84" i="17"/>
  <c r="T84" i="17"/>
  <c r="V84" i="17"/>
  <c r="W84" i="17"/>
  <c r="X84" i="17" s="1"/>
  <c r="Z84" i="17" s="1"/>
  <c r="AV84" i="17"/>
  <c r="AT84" i="17" s="1"/>
  <c r="AX84" i="17"/>
  <c r="AY84" i="17"/>
  <c r="AZ84" i="17" s="1"/>
  <c r="BB84" i="17" s="1"/>
  <c r="BX84" i="17"/>
  <c r="BV84" i="17" s="1"/>
  <c r="CB84" i="17"/>
  <c r="CC84" i="17"/>
  <c r="CJ84" i="17"/>
  <c r="CH84" i="17" s="1"/>
  <c r="CL84" i="17"/>
  <c r="CM84" i="17"/>
  <c r="CN84" i="17"/>
  <c r="DK84" i="17"/>
  <c r="O85" i="17"/>
  <c r="T85" i="17"/>
  <c r="V85" i="17"/>
  <c r="W85" i="17"/>
  <c r="X85" i="17" s="1"/>
  <c r="AV85" i="17"/>
  <c r="AT85" i="17" s="1"/>
  <c r="AX85" i="17"/>
  <c r="AY85" i="17"/>
  <c r="AZ85" i="17" s="1"/>
  <c r="BB85" i="17"/>
  <c r="BX85" i="17"/>
  <c r="BV85" i="17" s="1"/>
  <c r="CB85" i="17"/>
  <c r="CC85" i="17"/>
  <c r="CF85" i="17"/>
  <c r="CJ85" i="17"/>
  <c r="CH85" i="17" s="1"/>
  <c r="CL85" i="17"/>
  <c r="CM85" i="17"/>
  <c r="CN85" i="17"/>
  <c r="CO85" i="17" s="1"/>
  <c r="DK85" i="17"/>
  <c r="O86" i="17"/>
  <c r="T86" i="17"/>
  <c r="R86" i="17" s="1"/>
  <c r="V86" i="17"/>
  <c r="W86" i="17"/>
  <c r="X86" i="17" s="1"/>
  <c r="AV86" i="17"/>
  <c r="AT86" i="17" s="1"/>
  <c r="AX86" i="17"/>
  <c r="AY86" i="17"/>
  <c r="AZ86" i="17" s="1"/>
  <c r="BX86" i="17"/>
  <c r="BV86" i="17" s="1"/>
  <c r="CB86" i="17"/>
  <c r="CC86" i="17"/>
  <c r="CD86" i="17" s="1"/>
  <c r="CF86" i="17" s="1"/>
  <c r="CJ86" i="17"/>
  <c r="CH86" i="17" s="1"/>
  <c r="CL86" i="17"/>
  <c r="CM86" i="17"/>
  <c r="CN86" i="17"/>
  <c r="DK86" i="17"/>
  <c r="O87" i="17"/>
  <c r="T87" i="17"/>
  <c r="V87" i="17"/>
  <c r="W87" i="17"/>
  <c r="X87" i="17" s="1"/>
  <c r="Z87" i="17" s="1"/>
  <c r="AV87" i="17"/>
  <c r="AT87" i="17" s="1"/>
  <c r="AX87" i="17"/>
  <c r="AY87" i="17"/>
  <c r="AZ87" i="17" s="1"/>
  <c r="BX87" i="17"/>
  <c r="BV87" i="17" s="1"/>
  <c r="CB87" i="17"/>
  <c r="CC87" i="17"/>
  <c r="CD87" i="17" s="1"/>
  <c r="CJ87" i="17"/>
  <c r="CH87" i="17" s="1"/>
  <c r="CL87" i="17"/>
  <c r="CM87" i="17"/>
  <c r="CN87" i="17"/>
  <c r="CO87" i="17" s="1"/>
  <c r="DK87" i="17"/>
  <c r="O88" i="17"/>
  <c r="T88" i="17"/>
  <c r="R88" i="17" s="1"/>
  <c r="V88" i="17"/>
  <c r="W88" i="17"/>
  <c r="X88" i="17" s="1"/>
  <c r="AV88" i="17"/>
  <c r="AT88" i="17" s="1"/>
  <c r="AX88" i="17"/>
  <c r="AY88" i="17"/>
  <c r="AZ88" i="17" s="1"/>
  <c r="BB88" i="17" s="1"/>
  <c r="BX88" i="17"/>
  <c r="BV88" i="17" s="1"/>
  <c r="CB88" i="17"/>
  <c r="CC88" i="17"/>
  <c r="CJ88" i="17"/>
  <c r="CH88" i="17" s="1"/>
  <c r="CL88" i="17"/>
  <c r="CM88" i="17"/>
  <c r="CN88" i="17"/>
  <c r="CO88" i="17" s="1"/>
  <c r="DK88" i="17"/>
  <c r="O89" i="17"/>
  <c r="T89" i="17"/>
  <c r="R89" i="17" s="1"/>
  <c r="V89" i="17"/>
  <c r="W89" i="17"/>
  <c r="X89" i="17" s="1"/>
  <c r="Z89" i="17" s="1"/>
  <c r="AV89" i="17"/>
  <c r="AX89" i="17"/>
  <c r="AY89" i="17"/>
  <c r="AZ89" i="17" s="1"/>
  <c r="BX89" i="17"/>
  <c r="BV89" i="17" s="1"/>
  <c r="CB89" i="17"/>
  <c r="CC89" i="17"/>
  <c r="CF89" i="17"/>
  <c r="CJ89" i="17"/>
  <c r="CH89" i="17" s="1"/>
  <c r="CL89" i="17"/>
  <c r="CM89" i="17"/>
  <c r="CN89" i="17"/>
  <c r="DK89" i="17"/>
  <c r="O90" i="17"/>
  <c r="T90" i="17"/>
  <c r="R90" i="17" s="1"/>
  <c r="V90" i="17"/>
  <c r="W90" i="17"/>
  <c r="X90" i="17" s="1"/>
  <c r="Z90" i="17" s="1"/>
  <c r="AV90" i="17"/>
  <c r="AT90" i="17" s="1"/>
  <c r="AX90" i="17"/>
  <c r="AY90" i="17"/>
  <c r="AZ90" i="17" s="1"/>
  <c r="BX90" i="17"/>
  <c r="BV90" i="17" s="1"/>
  <c r="CB90" i="17"/>
  <c r="CC90" i="17"/>
  <c r="CD90" i="17" s="1"/>
  <c r="CF90" i="17"/>
  <c r="CJ90" i="17"/>
  <c r="CH90" i="17" s="1"/>
  <c r="CL90" i="17"/>
  <c r="CM90" i="17"/>
  <c r="CN90" i="17"/>
  <c r="CO90" i="17" s="1"/>
  <c r="DK90" i="17"/>
  <c r="O91" i="17"/>
  <c r="T91" i="17"/>
  <c r="V91" i="17"/>
  <c r="W91" i="17"/>
  <c r="X91" i="17" s="1"/>
  <c r="Z91" i="17" s="1"/>
  <c r="AV91" i="17"/>
  <c r="AT91" i="17" s="1"/>
  <c r="AX91" i="17"/>
  <c r="AY91" i="17"/>
  <c r="AZ91" i="17" s="1"/>
  <c r="BB91" i="17" s="1"/>
  <c r="BX91" i="17"/>
  <c r="BV91" i="17" s="1"/>
  <c r="CB91" i="17"/>
  <c r="CC91" i="17"/>
  <c r="CJ91" i="17"/>
  <c r="CH91" i="17" s="1"/>
  <c r="CL91" i="17"/>
  <c r="CM91" i="17"/>
  <c r="CN91" i="17"/>
  <c r="DK91" i="17"/>
  <c r="O92" i="17"/>
  <c r="T92" i="17"/>
  <c r="R92" i="17" s="1"/>
  <c r="V92" i="17"/>
  <c r="W92" i="17"/>
  <c r="X92" i="17" s="1"/>
  <c r="Z92" i="17" s="1"/>
  <c r="AV92" i="17"/>
  <c r="AX92" i="17"/>
  <c r="AY92" i="17"/>
  <c r="AZ92" i="17" s="1"/>
  <c r="BB92" i="17"/>
  <c r="BX92" i="17"/>
  <c r="BV92" i="17" s="1"/>
  <c r="CB92" i="17"/>
  <c r="CC92" i="17"/>
  <c r="CJ92" i="17"/>
  <c r="CH92" i="17" s="1"/>
  <c r="CL92" i="17"/>
  <c r="CM92" i="17"/>
  <c r="CN92" i="17"/>
  <c r="DK92" i="17"/>
  <c r="O93" i="17"/>
  <c r="T93" i="17"/>
  <c r="V93" i="17"/>
  <c r="W93" i="17"/>
  <c r="X93" i="17" s="1"/>
  <c r="AV93" i="17"/>
  <c r="AT93" i="17" s="1"/>
  <c r="AX93" i="17"/>
  <c r="AY93" i="17"/>
  <c r="AZ93" i="17" s="1"/>
  <c r="BB93" i="17"/>
  <c r="BX93" i="17"/>
  <c r="BV93" i="17" s="1"/>
  <c r="CB93" i="17"/>
  <c r="CC93" i="17"/>
  <c r="CF93" i="17"/>
  <c r="CJ93" i="17"/>
  <c r="CH93" i="17" s="1"/>
  <c r="CL93" i="17"/>
  <c r="CM93" i="17"/>
  <c r="CN93" i="17"/>
  <c r="CO93" i="17" s="1"/>
  <c r="DK93" i="17"/>
  <c r="O94" i="17"/>
  <c r="T94" i="17"/>
  <c r="R94" i="17" s="1"/>
  <c r="V94" i="17"/>
  <c r="W94" i="17"/>
  <c r="X94" i="17" s="1"/>
  <c r="Z94" i="17" s="1"/>
  <c r="AV94" i="17"/>
  <c r="AT94" i="17" s="1"/>
  <c r="AX94" i="17"/>
  <c r="AY94" i="17"/>
  <c r="AZ94" i="17" s="1"/>
  <c r="BX94" i="17"/>
  <c r="BV94" i="17" s="1"/>
  <c r="CB94" i="17"/>
  <c r="CC94" i="17"/>
  <c r="CD94" i="17" s="1"/>
  <c r="CJ94" i="17"/>
  <c r="CH94" i="17" s="1"/>
  <c r="CL94" i="17"/>
  <c r="CM94" i="17"/>
  <c r="CN94" i="17"/>
  <c r="DK94" i="17"/>
  <c r="O95" i="17"/>
  <c r="T95" i="17"/>
  <c r="R95" i="17" s="1"/>
  <c r="V95" i="17"/>
  <c r="W95" i="17"/>
  <c r="X95" i="17" s="1"/>
  <c r="AV95" i="17"/>
  <c r="AT95" i="17" s="1"/>
  <c r="AX95" i="17"/>
  <c r="AY95" i="17"/>
  <c r="AZ95" i="17" s="1"/>
  <c r="BX95" i="17"/>
  <c r="CB95" i="17"/>
  <c r="CC95" i="17"/>
  <c r="CD95" i="17" s="1"/>
  <c r="CJ95" i="17"/>
  <c r="CH95" i="17" s="1"/>
  <c r="CL95" i="17"/>
  <c r="CM95" i="17"/>
  <c r="CN95" i="17"/>
  <c r="CO95" i="17" s="1"/>
  <c r="DK95" i="17"/>
  <c r="O96" i="17"/>
  <c r="T96" i="17"/>
  <c r="R96" i="17" s="1"/>
  <c r="V96" i="17"/>
  <c r="W96" i="17"/>
  <c r="X96" i="17" s="1"/>
  <c r="AV96" i="17"/>
  <c r="AX96" i="17"/>
  <c r="AY96" i="17"/>
  <c r="AZ96" i="17" s="1"/>
  <c r="BB96" i="17"/>
  <c r="BX96" i="17"/>
  <c r="BV96" i="17" s="1"/>
  <c r="CB96" i="17"/>
  <c r="CC96" i="17"/>
  <c r="CD96" i="17" s="1"/>
  <c r="CJ96" i="17"/>
  <c r="CH96" i="17" s="1"/>
  <c r="CL96" i="17"/>
  <c r="CM96" i="17"/>
  <c r="CN96" i="17"/>
  <c r="DK96" i="17"/>
  <c r="O97" i="17"/>
  <c r="T97" i="17"/>
  <c r="R97" i="17" s="1"/>
  <c r="V97" i="17"/>
  <c r="W97" i="17"/>
  <c r="X97" i="17" s="1"/>
  <c r="Z97" i="17" s="1"/>
  <c r="AV97" i="17"/>
  <c r="AX97" i="17"/>
  <c r="AY97" i="17"/>
  <c r="AZ97" i="17" s="1"/>
  <c r="BX97" i="17"/>
  <c r="BV97" i="17" s="1"/>
  <c r="CB97" i="17"/>
  <c r="CC97" i="17"/>
  <c r="CD97" i="17" s="1"/>
  <c r="CF97" i="17"/>
  <c r="CJ97" i="17"/>
  <c r="CH97" i="17" s="1"/>
  <c r="CL97" i="17"/>
  <c r="CM97" i="17"/>
  <c r="CN97" i="17"/>
  <c r="DK97" i="17"/>
  <c r="O98" i="17"/>
  <c r="T98" i="17"/>
  <c r="R98" i="17" s="1"/>
  <c r="V98" i="17"/>
  <c r="W98" i="17"/>
  <c r="X98" i="17" s="1"/>
  <c r="Z98" i="17"/>
  <c r="AV98" i="17"/>
  <c r="AT98" i="17" s="1"/>
  <c r="AX98" i="17"/>
  <c r="AY98" i="17"/>
  <c r="AZ98" i="17" s="1"/>
  <c r="BX98" i="17"/>
  <c r="BV98" i="17" s="1"/>
  <c r="CB98" i="17"/>
  <c r="CC98" i="17"/>
  <c r="CD98" i="17" s="1"/>
  <c r="CJ98" i="17"/>
  <c r="CH98" i="17" s="1"/>
  <c r="CL98" i="17"/>
  <c r="CM98" i="17"/>
  <c r="CN98" i="17"/>
  <c r="CO98" i="17" s="1"/>
  <c r="DK98" i="17"/>
  <c r="O99" i="17"/>
  <c r="T99" i="17"/>
  <c r="V99" i="17"/>
  <c r="W99" i="17"/>
  <c r="X99" i="17" s="1"/>
  <c r="Z99" i="17"/>
  <c r="AV99" i="17"/>
  <c r="AT99" i="17" s="1"/>
  <c r="AX99" i="17"/>
  <c r="AY99" i="17"/>
  <c r="AZ99" i="17" s="1"/>
  <c r="BB99" i="17"/>
  <c r="BX99" i="17"/>
  <c r="BV99" i="17" s="1"/>
  <c r="CB99" i="17"/>
  <c r="CC99" i="17"/>
  <c r="CF99" i="17"/>
  <c r="CJ99" i="17"/>
  <c r="CH99" i="17" s="1"/>
  <c r="CL99" i="17"/>
  <c r="CM99" i="17"/>
  <c r="CN99" i="17"/>
  <c r="DK99" i="17"/>
  <c r="O100" i="17"/>
  <c r="T100" i="17"/>
  <c r="V100" i="17"/>
  <c r="W100" i="17"/>
  <c r="X100" i="17" s="1"/>
  <c r="AV100" i="17"/>
  <c r="AT100" i="17" s="1"/>
  <c r="AX100" i="17"/>
  <c r="AY100" i="17"/>
  <c r="AZ100" i="17" s="1"/>
  <c r="BX100" i="17"/>
  <c r="BV100" i="17" s="1"/>
  <c r="CB100" i="17"/>
  <c r="CC100" i="17"/>
  <c r="CD100" i="17" s="1"/>
  <c r="CF100" i="17" s="1"/>
  <c r="CJ100" i="17"/>
  <c r="CH100" i="17" s="1"/>
  <c r="CL100" i="17"/>
  <c r="CM100" i="17"/>
  <c r="CN100" i="17"/>
  <c r="DK100" i="17"/>
  <c r="O101" i="17"/>
  <c r="T101" i="17"/>
  <c r="V101" i="17"/>
  <c r="W101" i="17"/>
  <c r="X101" i="17" s="1"/>
  <c r="Z101" i="17" s="1"/>
  <c r="AV101" i="17"/>
  <c r="AT101" i="17" s="1"/>
  <c r="AX101" i="17"/>
  <c r="AY101" i="17"/>
  <c r="AZ101" i="17" s="1"/>
  <c r="BB101" i="17" s="1"/>
  <c r="BX101" i="17"/>
  <c r="BV101" i="17" s="1"/>
  <c r="CB101" i="17"/>
  <c r="CC101" i="17"/>
  <c r="CJ101" i="17"/>
  <c r="CH101" i="17" s="1"/>
  <c r="CL101" i="17"/>
  <c r="CM101" i="17"/>
  <c r="CN101" i="17"/>
  <c r="CO101" i="17" s="1"/>
  <c r="DK101" i="17"/>
  <c r="O102" i="17"/>
  <c r="T102" i="17"/>
  <c r="R102" i="17" s="1"/>
  <c r="V102" i="17"/>
  <c r="W102" i="17"/>
  <c r="X102" i="17" s="1"/>
  <c r="AV102" i="17"/>
  <c r="AX102" i="17"/>
  <c r="AY102" i="17"/>
  <c r="AZ102" i="17" s="1"/>
  <c r="BB102" i="17" s="1"/>
  <c r="BX102" i="17"/>
  <c r="BV102" i="17" s="1"/>
  <c r="CB102" i="17"/>
  <c r="CC102" i="17"/>
  <c r="CD102" i="17" s="1"/>
  <c r="CJ102" i="17"/>
  <c r="CH102" i="17" s="1"/>
  <c r="CL102" i="17"/>
  <c r="CM102" i="17"/>
  <c r="CN102" i="17"/>
  <c r="DK102" i="17"/>
  <c r="O103" i="17"/>
  <c r="T103" i="17"/>
  <c r="R103" i="17" s="1"/>
  <c r="V103" i="17"/>
  <c r="W103" i="17"/>
  <c r="X103" i="17" s="1"/>
  <c r="Z103" i="17"/>
  <c r="AV103" i="17"/>
  <c r="AT103" i="17" s="1"/>
  <c r="AX103" i="17"/>
  <c r="AY103" i="17"/>
  <c r="AZ103" i="17" s="1"/>
  <c r="BB103" i="17"/>
  <c r="BX103" i="17"/>
  <c r="BV103" i="17" s="1"/>
  <c r="CB103" i="17"/>
  <c r="CC103" i="17"/>
  <c r="CD103" i="17" s="1"/>
  <c r="CF103" i="17"/>
  <c r="CJ103" i="17"/>
  <c r="CH103" i="17" s="1"/>
  <c r="CL103" i="17"/>
  <c r="CM103" i="17"/>
  <c r="CN103" i="17"/>
  <c r="CO103" i="17" s="1"/>
  <c r="DK103" i="17"/>
  <c r="O104" i="17"/>
  <c r="T104" i="17"/>
  <c r="R104" i="17" s="1"/>
  <c r="V104" i="17"/>
  <c r="W104" i="17"/>
  <c r="X104" i="17" s="1"/>
  <c r="Z104" i="17"/>
  <c r="AV104" i="17"/>
  <c r="AT104" i="17" s="1"/>
  <c r="AX104" i="17"/>
  <c r="AY104" i="17"/>
  <c r="AZ104" i="17" s="1"/>
  <c r="BB104" i="17"/>
  <c r="BX104" i="17"/>
  <c r="BV104" i="17" s="1"/>
  <c r="CB104" i="17"/>
  <c r="CC104" i="17"/>
  <c r="CF104" i="17"/>
  <c r="CJ104" i="17"/>
  <c r="CH104" i="17" s="1"/>
  <c r="CL104" i="17"/>
  <c r="CM104" i="17"/>
  <c r="CN104" i="17"/>
  <c r="DK104" i="17"/>
  <c r="O105" i="17"/>
  <c r="T105" i="17"/>
  <c r="R105" i="17" s="1"/>
  <c r="V105" i="17"/>
  <c r="W105" i="17"/>
  <c r="X105" i="17" s="1"/>
  <c r="AV105" i="17"/>
  <c r="AX105" i="17"/>
  <c r="AY105" i="17"/>
  <c r="AZ105" i="17" s="1"/>
  <c r="BX105" i="17"/>
  <c r="BV105" i="17" s="1"/>
  <c r="CB105" i="17"/>
  <c r="CC105" i="17"/>
  <c r="CJ105" i="17"/>
  <c r="CH105" i="17" s="1"/>
  <c r="CL105" i="17"/>
  <c r="CM105" i="17"/>
  <c r="CN105" i="17"/>
  <c r="CO105" i="17" s="1"/>
  <c r="DK105" i="17"/>
  <c r="O106" i="17"/>
  <c r="T106" i="17"/>
  <c r="R106" i="17" s="1"/>
  <c r="V106" i="17"/>
  <c r="W106" i="17"/>
  <c r="X106" i="17" s="1"/>
  <c r="AV106" i="17"/>
  <c r="AT106" i="17" s="1"/>
  <c r="AX106" i="17"/>
  <c r="AY106" i="17"/>
  <c r="AZ106" i="17" s="1"/>
  <c r="BB106" i="17"/>
  <c r="BX106" i="17"/>
  <c r="BV106" i="17" s="1"/>
  <c r="CB106" i="17"/>
  <c r="CC106" i="17"/>
  <c r="CJ106" i="17"/>
  <c r="CH106" i="17" s="1"/>
  <c r="CL106" i="17"/>
  <c r="CM106" i="17"/>
  <c r="CN106" i="17"/>
  <c r="DK106" i="17"/>
  <c r="O107" i="17"/>
  <c r="T107" i="17"/>
  <c r="R107" i="17" s="1"/>
  <c r="V107" i="17"/>
  <c r="W107" i="17"/>
  <c r="X107" i="17" s="1"/>
  <c r="Z107" i="17"/>
  <c r="AV107" i="17"/>
  <c r="AX107" i="17"/>
  <c r="AY107" i="17"/>
  <c r="AZ107" i="17" s="1"/>
  <c r="BB107" i="17"/>
  <c r="BX107" i="17"/>
  <c r="BV107" i="17" s="1"/>
  <c r="CB107" i="17"/>
  <c r="CC107" i="17"/>
  <c r="CF107" i="17"/>
  <c r="CJ107" i="17"/>
  <c r="CH107" i="17" s="1"/>
  <c r="CL107" i="17"/>
  <c r="CM107" i="17"/>
  <c r="CN107" i="17"/>
  <c r="DK107" i="17"/>
  <c r="O108" i="17"/>
  <c r="T108" i="17"/>
  <c r="R108" i="17" s="1"/>
  <c r="V108" i="17"/>
  <c r="W108" i="17"/>
  <c r="X108" i="17" s="1"/>
  <c r="Z108" i="17" s="1"/>
  <c r="AV108" i="17"/>
  <c r="AX108" i="17"/>
  <c r="AY108" i="17"/>
  <c r="AZ108" i="17" s="1"/>
  <c r="BB108" i="17" s="1"/>
  <c r="BX108" i="17"/>
  <c r="BV108" i="17" s="1"/>
  <c r="CB108" i="17"/>
  <c r="CC108" i="17"/>
  <c r="CF108" i="17"/>
  <c r="CJ108" i="17"/>
  <c r="CH108" i="17" s="1"/>
  <c r="CL108" i="17"/>
  <c r="CM108" i="17"/>
  <c r="CN108" i="17"/>
  <c r="DK108" i="17"/>
  <c r="O109" i="17"/>
  <c r="T109" i="17"/>
  <c r="R109" i="17" s="1"/>
  <c r="V109" i="17"/>
  <c r="W109" i="17"/>
  <c r="X109" i="17" s="1"/>
  <c r="AV109" i="17"/>
  <c r="AX109" i="17"/>
  <c r="AY109" i="17"/>
  <c r="AZ109" i="17" s="1"/>
  <c r="BB109" i="17"/>
  <c r="BX109" i="17"/>
  <c r="BV109" i="17" s="1"/>
  <c r="CB109" i="17"/>
  <c r="CC109" i="17"/>
  <c r="CJ109" i="17"/>
  <c r="CH109" i="17" s="1"/>
  <c r="CL109" i="17"/>
  <c r="CM109" i="17"/>
  <c r="CN109" i="17"/>
  <c r="CO109" i="17" s="1"/>
  <c r="DK109" i="17"/>
  <c r="O110" i="17"/>
  <c r="T110" i="17"/>
  <c r="R110" i="17" s="1"/>
  <c r="V110" i="17"/>
  <c r="W110" i="17"/>
  <c r="X110" i="17" s="1"/>
  <c r="AV110" i="17"/>
  <c r="AT110" i="17" s="1"/>
  <c r="AX110" i="17"/>
  <c r="AY110" i="17"/>
  <c r="AZ110" i="17" s="1"/>
  <c r="BB110" i="17" s="1"/>
  <c r="BX110" i="17"/>
  <c r="CB110" i="17"/>
  <c r="CC110" i="17"/>
  <c r="CD110" i="17" s="1"/>
  <c r="CF110" i="17" s="1"/>
  <c r="CJ110" i="17"/>
  <c r="CH110" i="17" s="1"/>
  <c r="CL110" i="17"/>
  <c r="CM110" i="17"/>
  <c r="CN110" i="17"/>
  <c r="DK110" i="17"/>
  <c r="O111" i="17"/>
  <c r="T111" i="17"/>
  <c r="R111" i="17" s="1"/>
  <c r="V111" i="17"/>
  <c r="W111" i="17"/>
  <c r="X111" i="17" s="1"/>
  <c r="AV111" i="17"/>
  <c r="AT111" i="17" s="1"/>
  <c r="AX111" i="17"/>
  <c r="AY111" i="17"/>
  <c r="AZ111" i="17" s="1"/>
  <c r="BB111" i="17" s="1"/>
  <c r="BX111" i="17"/>
  <c r="CB111" i="17"/>
  <c r="CC111" i="17"/>
  <c r="CD111" i="17" s="1"/>
  <c r="CF111" i="17" s="1"/>
  <c r="CJ111" i="17"/>
  <c r="CH111" i="17" s="1"/>
  <c r="CL111" i="17"/>
  <c r="CM111" i="17"/>
  <c r="CN111" i="17"/>
  <c r="CO111" i="17" s="1"/>
  <c r="DK111" i="17"/>
  <c r="O112" i="17"/>
  <c r="T112" i="17"/>
  <c r="V112" i="17"/>
  <c r="W112" i="17"/>
  <c r="X112" i="17" s="1"/>
  <c r="Z112" i="17" s="1"/>
  <c r="AV112" i="17"/>
  <c r="AT112" i="17" s="1"/>
  <c r="AX112" i="17"/>
  <c r="AY112" i="17"/>
  <c r="AZ112" i="17" s="1"/>
  <c r="BX112" i="17"/>
  <c r="BV112" i="17" s="1"/>
  <c r="CB112" i="17"/>
  <c r="CC112" i="17"/>
  <c r="CD112" i="17" s="1"/>
  <c r="CJ112" i="17"/>
  <c r="CH112" i="17" s="1"/>
  <c r="CL112" i="17"/>
  <c r="CM112" i="17"/>
  <c r="CN112" i="17"/>
  <c r="DK112" i="17"/>
  <c r="O113" i="17"/>
  <c r="T113" i="17"/>
  <c r="R113" i="17" s="1"/>
  <c r="V113" i="17"/>
  <c r="W113" i="17"/>
  <c r="X113" i="17" s="1"/>
  <c r="AV113" i="17"/>
  <c r="AT113" i="17" s="1"/>
  <c r="AX113" i="17"/>
  <c r="AY113" i="17"/>
  <c r="AZ113" i="17" s="1"/>
  <c r="BB113" i="17"/>
  <c r="BX113" i="17"/>
  <c r="BV113" i="17" s="1"/>
  <c r="CB113" i="17"/>
  <c r="CC113" i="17"/>
  <c r="CD113" i="17" s="1"/>
  <c r="CJ113" i="17"/>
  <c r="CH113" i="17" s="1"/>
  <c r="CL113" i="17"/>
  <c r="CM113" i="17"/>
  <c r="CN113" i="17"/>
  <c r="DK113" i="17"/>
  <c r="O114" i="17"/>
  <c r="T114" i="17"/>
  <c r="V114" i="17"/>
  <c r="W114" i="17"/>
  <c r="X114" i="17" s="1"/>
  <c r="AV114" i="17"/>
  <c r="AT114" i="17" s="1"/>
  <c r="AX114" i="17"/>
  <c r="AY114" i="17"/>
  <c r="AZ114" i="17" s="1"/>
  <c r="BB114" i="17" s="1"/>
  <c r="BX114" i="17"/>
  <c r="BV114" i="17" s="1"/>
  <c r="CB114" i="17"/>
  <c r="CC114" i="17"/>
  <c r="CJ114" i="17"/>
  <c r="CH114" i="17" s="1"/>
  <c r="CL114" i="17"/>
  <c r="CM114" i="17"/>
  <c r="CN114" i="17"/>
  <c r="CO114" i="17" s="1"/>
  <c r="DK114" i="17"/>
  <c r="O115" i="17"/>
  <c r="T115" i="17"/>
  <c r="R115" i="17" s="1"/>
  <c r="V115" i="17"/>
  <c r="W115" i="17"/>
  <c r="X115" i="17" s="1"/>
  <c r="Z115" i="17" s="1"/>
  <c r="AV115" i="17"/>
  <c r="AT115" i="17" s="1"/>
  <c r="AX115" i="17"/>
  <c r="AY115" i="17"/>
  <c r="AZ115" i="17" s="1"/>
  <c r="BX115" i="17"/>
  <c r="BV115" i="17" s="1"/>
  <c r="CB115" i="17"/>
  <c r="CC115" i="17"/>
  <c r="CD115" i="17" s="1"/>
  <c r="CF115" i="17" s="1"/>
  <c r="CJ115" i="17"/>
  <c r="CH115" i="17" s="1"/>
  <c r="CL115" i="17"/>
  <c r="CM115" i="17"/>
  <c r="CN115" i="17"/>
  <c r="CO115" i="17" s="1"/>
  <c r="DK115" i="17"/>
  <c r="O116" i="17"/>
  <c r="T116" i="17"/>
  <c r="V116" i="17"/>
  <c r="W116" i="17"/>
  <c r="X116" i="17" s="1"/>
  <c r="Z116" i="17" s="1"/>
  <c r="AV116" i="17"/>
  <c r="AT116" i="17" s="1"/>
  <c r="AX116" i="17"/>
  <c r="AY116" i="17"/>
  <c r="AZ116" i="17" s="1"/>
  <c r="BB116" i="17" s="1"/>
  <c r="BX116" i="17"/>
  <c r="BV116" i="17" s="1"/>
  <c r="CB116" i="17"/>
  <c r="CC116" i="17"/>
  <c r="CJ116" i="17"/>
  <c r="CH116" i="17" s="1"/>
  <c r="CL116" i="17"/>
  <c r="CM116" i="17"/>
  <c r="CN116" i="17"/>
  <c r="CO116" i="17" s="1"/>
  <c r="DK116" i="17"/>
  <c r="O117" i="17"/>
  <c r="T117" i="17"/>
  <c r="V117" i="17"/>
  <c r="W117" i="17"/>
  <c r="X117" i="17" s="1"/>
  <c r="Z117" i="17" s="1"/>
  <c r="AV117" i="17"/>
  <c r="AT117" i="17" s="1"/>
  <c r="AX117" i="17"/>
  <c r="AY117" i="17"/>
  <c r="AZ117" i="17" s="1"/>
  <c r="BX117" i="17"/>
  <c r="BV117" i="17" s="1"/>
  <c r="CB117" i="17"/>
  <c r="CC117" i="17"/>
  <c r="CD117" i="17" s="1"/>
  <c r="CF117" i="17" s="1"/>
  <c r="CJ117" i="17"/>
  <c r="CH117" i="17" s="1"/>
  <c r="CL117" i="17"/>
  <c r="CM117" i="17"/>
  <c r="CN117" i="17"/>
  <c r="CO117" i="17" s="1"/>
  <c r="DK117" i="17"/>
  <c r="O118" i="17"/>
  <c r="T118" i="17"/>
  <c r="R118" i="17" s="1"/>
  <c r="V118" i="17"/>
  <c r="W118" i="17"/>
  <c r="X118" i="17" s="1"/>
  <c r="AV118" i="17"/>
  <c r="AT118" i="17" s="1"/>
  <c r="AX118" i="17"/>
  <c r="AY118" i="17"/>
  <c r="AZ118" i="17" s="1"/>
  <c r="BB118" i="17" s="1"/>
  <c r="BX118" i="17"/>
  <c r="CB118" i="17"/>
  <c r="CC118" i="17"/>
  <c r="CD118" i="17" s="1"/>
  <c r="CF118" i="17" s="1"/>
  <c r="CJ118" i="17"/>
  <c r="CH118" i="17" s="1"/>
  <c r="CL118" i="17"/>
  <c r="CM118" i="17"/>
  <c r="CN118" i="17"/>
  <c r="CO118" i="17" s="1"/>
  <c r="DK118" i="17"/>
  <c r="O119" i="17"/>
  <c r="T119" i="17"/>
  <c r="V119" i="17"/>
  <c r="W119" i="17"/>
  <c r="X119" i="17" s="1"/>
  <c r="AV119" i="17"/>
  <c r="AT119" i="17" s="1"/>
  <c r="AX119" i="17"/>
  <c r="AY119" i="17"/>
  <c r="AZ119" i="17" s="1"/>
  <c r="BX119" i="17"/>
  <c r="BV119" i="17" s="1"/>
  <c r="CB119" i="17"/>
  <c r="CC119" i="17"/>
  <c r="CD119" i="17" s="1"/>
  <c r="CF119" i="17" s="1"/>
  <c r="CJ119" i="17"/>
  <c r="CH119" i="17" s="1"/>
  <c r="CL119" i="17"/>
  <c r="CM119" i="17"/>
  <c r="CN119" i="17"/>
  <c r="CO119" i="17" s="1"/>
  <c r="DK119" i="17"/>
  <c r="O120" i="17"/>
  <c r="T120" i="17"/>
  <c r="V120" i="17"/>
  <c r="W120" i="17"/>
  <c r="X120" i="17" s="1"/>
  <c r="Z120" i="17" s="1"/>
  <c r="AV120" i="17"/>
  <c r="AT120" i="17" s="1"/>
  <c r="AX120" i="17"/>
  <c r="AY120" i="17"/>
  <c r="AZ120" i="17" s="1"/>
  <c r="BX120" i="17"/>
  <c r="BV120" i="17" s="1"/>
  <c r="CB120" i="17"/>
  <c r="CC120" i="17"/>
  <c r="CD120" i="17" s="1"/>
  <c r="CF120" i="17"/>
  <c r="CJ120" i="17"/>
  <c r="CH120" i="17" s="1"/>
  <c r="CL120" i="17"/>
  <c r="CM120" i="17"/>
  <c r="CN120" i="17"/>
  <c r="CO120" i="17" s="1"/>
  <c r="DK120" i="17"/>
  <c r="O121" i="17"/>
  <c r="T121" i="17"/>
  <c r="R121" i="17" s="1"/>
  <c r="V121" i="17"/>
  <c r="W121" i="17"/>
  <c r="X121" i="17" s="1"/>
  <c r="AV121" i="17"/>
  <c r="AX121" i="17"/>
  <c r="AY121" i="17"/>
  <c r="AZ121" i="17" s="1"/>
  <c r="BB121" i="17"/>
  <c r="BX121" i="17"/>
  <c r="BV121" i="17" s="1"/>
  <c r="CB121" i="17"/>
  <c r="CC121" i="17"/>
  <c r="CD121" i="17" s="1"/>
  <c r="CF121" i="17"/>
  <c r="CJ121" i="17"/>
  <c r="CH121" i="17" s="1"/>
  <c r="CL121" i="17"/>
  <c r="CM121" i="17"/>
  <c r="CN121" i="17"/>
  <c r="DK121" i="17"/>
  <c r="O122" i="17"/>
  <c r="T122" i="17"/>
  <c r="R122" i="17" s="1"/>
  <c r="V122" i="17"/>
  <c r="W122" i="17"/>
  <c r="X122" i="17" s="1"/>
  <c r="AV122" i="17"/>
  <c r="AX122" i="17"/>
  <c r="AY122" i="17"/>
  <c r="AZ122" i="17" s="1"/>
  <c r="BB122" i="17"/>
  <c r="BX122" i="17"/>
  <c r="BV122" i="17" s="1"/>
  <c r="CB122" i="17"/>
  <c r="CC122" i="17"/>
  <c r="CF122" i="17"/>
  <c r="CJ122" i="17"/>
  <c r="CH122" i="17" s="1"/>
  <c r="CL122" i="17"/>
  <c r="CM122" i="17"/>
  <c r="CN122" i="17"/>
  <c r="CO122" i="17" s="1"/>
  <c r="DK122" i="17"/>
  <c r="O123" i="17"/>
  <c r="T123" i="17"/>
  <c r="R123" i="17" s="1"/>
  <c r="V123" i="17"/>
  <c r="W123" i="17"/>
  <c r="X123" i="17" s="1"/>
  <c r="AV123" i="17"/>
  <c r="AT123" i="17" s="1"/>
  <c r="AX123" i="17"/>
  <c r="AY123" i="17"/>
  <c r="AZ123" i="17" s="1"/>
  <c r="BB123" i="17"/>
  <c r="BX123" i="17"/>
  <c r="BV123" i="17" s="1"/>
  <c r="CB123" i="17"/>
  <c r="CC123" i="17"/>
  <c r="CD123" i="17" s="1"/>
  <c r="CF123" i="17"/>
  <c r="CJ123" i="17"/>
  <c r="CH123" i="17" s="1"/>
  <c r="CL123" i="17"/>
  <c r="CM123" i="17"/>
  <c r="CN123" i="17"/>
  <c r="CO123" i="17" s="1"/>
  <c r="DK123" i="17"/>
  <c r="T124" i="17"/>
  <c r="R124" i="17" s="1"/>
  <c r="V124" i="17"/>
  <c r="W124" i="17"/>
  <c r="X124" i="17" s="1"/>
  <c r="Z124" i="17"/>
  <c r="AV124" i="17"/>
  <c r="AX124" i="17"/>
  <c r="AY124" i="17"/>
  <c r="AZ124" i="17" s="1"/>
  <c r="BB124" i="17" s="1"/>
  <c r="BX124" i="17"/>
  <c r="BV124" i="17" s="1"/>
  <c r="CB124" i="17"/>
  <c r="CC124" i="17"/>
  <c r="CD124" i="17" s="1"/>
  <c r="CJ124" i="17"/>
  <c r="CH124" i="17" s="1"/>
  <c r="CL124" i="17"/>
  <c r="CM124" i="17"/>
  <c r="CN124" i="17"/>
  <c r="CO124" i="17" s="1"/>
  <c r="DK124" i="17"/>
  <c r="O125" i="17"/>
  <c r="T125" i="17"/>
  <c r="V125" i="17"/>
  <c r="W125" i="17"/>
  <c r="X125" i="17" s="1"/>
  <c r="Z125" i="17" s="1"/>
  <c r="AV125" i="17"/>
  <c r="AT125" i="17" s="1"/>
  <c r="AX125" i="17"/>
  <c r="AY125" i="17"/>
  <c r="AZ125" i="17" s="1"/>
  <c r="BX125" i="17"/>
  <c r="BV125" i="17" s="1"/>
  <c r="CB125" i="17"/>
  <c r="CC125" i="17"/>
  <c r="CF125" i="17"/>
  <c r="CJ125" i="17"/>
  <c r="CH125" i="17" s="1"/>
  <c r="CL125" i="17"/>
  <c r="CM125" i="17"/>
  <c r="CN125" i="17"/>
  <c r="CO125" i="17" s="1"/>
  <c r="DK125" i="17"/>
  <c r="O126" i="17"/>
  <c r="T126" i="17"/>
  <c r="V126" i="17"/>
  <c r="W126" i="17"/>
  <c r="X126" i="17" s="1"/>
  <c r="Z126" i="17" s="1"/>
  <c r="AV126" i="17"/>
  <c r="AT126" i="17" s="1"/>
  <c r="AX126" i="17"/>
  <c r="AY126" i="17"/>
  <c r="AZ126" i="17" s="1"/>
  <c r="BX126" i="17"/>
  <c r="BV126" i="17" s="1"/>
  <c r="CB126" i="17"/>
  <c r="CC126" i="17"/>
  <c r="CD126" i="17" s="1"/>
  <c r="CJ126" i="17"/>
  <c r="CH126" i="17" s="1"/>
  <c r="CL126" i="17"/>
  <c r="CM126" i="17"/>
  <c r="CN126" i="17"/>
  <c r="CO126" i="17" s="1"/>
  <c r="DK126" i="17"/>
  <c r="O127" i="17"/>
  <c r="T127" i="17"/>
  <c r="V127" i="17"/>
  <c r="W127" i="17"/>
  <c r="X127" i="17" s="1"/>
  <c r="AV127" i="17"/>
  <c r="AT127" i="17" s="1"/>
  <c r="AX127" i="17"/>
  <c r="AY127" i="17"/>
  <c r="AZ127" i="17" s="1"/>
  <c r="BX127" i="17"/>
  <c r="BV127" i="17" s="1"/>
  <c r="CB127" i="17"/>
  <c r="CC127" i="17"/>
  <c r="CJ127" i="17"/>
  <c r="CH127" i="17" s="1"/>
  <c r="CL127" i="17"/>
  <c r="CM127" i="17"/>
  <c r="CN127" i="17"/>
  <c r="DK127" i="17"/>
  <c r="O128" i="17"/>
  <c r="T128" i="17"/>
  <c r="V128" i="17"/>
  <c r="W128" i="17"/>
  <c r="X128" i="17" s="1"/>
  <c r="Z128" i="17" s="1"/>
  <c r="AV128" i="17"/>
  <c r="AT128" i="17" s="1"/>
  <c r="AX128" i="17"/>
  <c r="AY128" i="17"/>
  <c r="AZ128" i="17" s="1"/>
  <c r="BB128" i="17"/>
  <c r="BX128" i="17"/>
  <c r="BV128" i="17" s="1"/>
  <c r="CB128" i="17"/>
  <c r="CC128" i="17"/>
  <c r="CD128" i="17" s="1"/>
  <c r="CF128" i="17" s="1"/>
  <c r="CJ128" i="17"/>
  <c r="CH128" i="17" s="1"/>
  <c r="CL128" i="17"/>
  <c r="CM128" i="17"/>
  <c r="CN128" i="17"/>
  <c r="CO128" i="17" s="1"/>
  <c r="DK128" i="17"/>
  <c r="O129" i="17"/>
  <c r="T129" i="17"/>
  <c r="V129" i="17"/>
  <c r="W129" i="17"/>
  <c r="X129" i="17" s="1"/>
  <c r="Z129" i="17" s="1"/>
  <c r="AV129" i="17"/>
  <c r="AT129" i="17" s="1"/>
  <c r="AX129" i="17"/>
  <c r="AY129" i="17"/>
  <c r="AZ129" i="17" s="1"/>
  <c r="BB129" i="17"/>
  <c r="BX129" i="17"/>
  <c r="BV129" i="17" s="1"/>
  <c r="CB129" i="17"/>
  <c r="CC129" i="17"/>
  <c r="CJ129" i="17"/>
  <c r="CH129" i="17" s="1"/>
  <c r="CL129" i="17"/>
  <c r="CM129" i="17"/>
  <c r="CN129" i="17"/>
  <c r="DK129" i="17"/>
  <c r="O130" i="17"/>
  <c r="T130" i="17"/>
  <c r="R130" i="17" s="1"/>
  <c r="V130" i="17"/>
  <c r="W130" i="17"/>
  <c r="X130" i="17" s="1"/>
  <c r="Z130" i="17" s="1"/>
  <c r="AV130" i="17"/>
  <c r="AT130" i="17" s="1"/>
  <c r="AX130" i="17"/>
  <c r="AY130" i="17"/>
  <c r="AZ130" i="17" s="1"/>
  <c r="BX130" i="17"/>
  <c r="BV130" i="17" s="1"/>
  <c r="CB130" i="17"/>
  <c r="CC130" i="17"/>
  <c r="CD130" i="17" s="1"/>
  <c r="CJ130" i="17"/>
  <c r="CH130" i="17" s="1"/>
  <c r="CL130" i="17"/>
  <c r="CM130" i="17"/>
  <c r="CN130" i="17"/>
  <c r="DK130" i="17"/>
  <c r="O131" i="17"/>
  <c r="T131" i="17"/>
  <c r="R131" i="17" s="1"/>
  <c r="V131" i="17"/>
  <c r="W131" i="17"/>
  <c r="X131" i="17" s="1"/>
  <c r="AV131" i="17"/>
  <c r="AT131" i="17" s="1"/>
  <c r="AX131" i="17"/>
  <c r="AY131" i="17"/>
  <c r="AZ131" i="17" s="1"/>
  <c r="BB131" i="17"/>
  <c r="BX131" i="17"/>
  <c r="BV131" i="17" s="1"/>
  <c r="CB131" i="17"/>
  <c r="CC131" i="17"/>
  <c r="CD131" i="17" s="1"/>
  <c r="CJ131" i="17"/>
  <c r="CH131" i="17" s="1"/>
  <c r="CL131" i="17"/>
  <c r="CM131" i="17"/>
  <c r="CN131" i="17"/>
  <c r="CO131" i="17" s="1"/>
  <c r="DK131" i="17"/>
  <c r="O132" i="17"/>
  <c r="T132" i="17"/>
  <c r="V132" i="17"/>
  <c r="W132" i="17"/>
  <c r="X132" i="17" s="1"/>
  <c r="Z132" i="17"/>
  <c r="AV132" i="17"/>
  <c r="AT132" i="17" s="1"/>
  <c r="AX132" i="17"/>
  <c r="AY132" i="17"/>
  <c r="AZ132" i="17" s="1"/>
  <c r="BB132" i="17"/>
  <c r="BX132" i="17"/>
  <c r="BV132" i="17" s="1"/>
  <c r="CB132" i="17"/>
  <c r="CC132" i="17"/>
  <c r="CD132" i="17" s="1"/>
  <c r="CF132" i="17" s="1"/>
  <c r="CJ132" i="17"/>
  <c r="CH132" i="17" s="1"/>
  <c r="CL132" i="17"/>
  <c r="CM132" i="17"/>
  <c r="CN132" i="17"/>
  <c r="DK132" i="17"/>
  <c r="O133" i="17"/>
  <c r="T133" i="17"/>
  <c r="R133" i="17" s="1"/>
  <c r="V133" i="17"/>
  <c r="W133" i="17"/>
  <c r="X133" i="17" s="1"/>
  <c r="Z133" i="17"/>
  <c r="AV133" i="17"/>
  <c r="AT133" i="17" s="1"/>
  <c r="AX133" i="17"/>
  <c r="AY133" i="17"/>
  <c r="AZ133" i="17" s="1"/>
  <c r="BB133" i="17"/>
  <c r="BX133" i="17"/>
  <c r="CB133" i="17"/>
  <c r="CC133" i="17"/>
  <c r="CD133" i="17" s="1"/>
  <c r="CF133" i="17" s="1"/>
  <c r="CJ133" i="17"/>
  <c r="CH133" i="17" s="1"/>
  <c r="CL133" i="17"/>
  <c r="CM133" i="17"/>
  <c r="CN133" i="17"/>
  <c r="CO133" i="17" s="1"/>
  <c r="DK133" i="17"/>
  <c r="O134" i="17"/>
  <c r="T134" i="17"/>
  <c r="R134" i="17" s="1"/>
  <c r="V134" i="17"/>
  <c r="W134" i="17"/>
  <c r="X134" i="17" s="1"/>
  <c r="AV134" i="17"/>
  <c r="AT134" i="17" s="1"/>
  <c r="AX134" i="17"/>
  <c r="AY134" i="17"/>
  <c r="AZ134" i="17" s="1"/>
  <c r="BB134" i="17"/>
  <c r="BX134" i="17"/>
  <c r="BV134" i="17" s="1"/>
  <c r="CB134" i="17"/>
  <c r="CC134" i="17"/>
  <c r="CD134" i="17" s="1"/>
  <c r="CF134" i="17"/>
  <c r="CJ134" i="17"/>
  <c r="CH134" i="17" s="1"/>
  <c r="CL134" i="17"/>
  <c r="CM134" i="17"/>
  <c r="CN134" i="17"/>
  <c r="CO134" i="17" s="1"/>
  <c r="DK134" i="17"/>
  <c r="O135" i="17"/>
  <c r="T135" i="17"/>
  <c r="V135" i="17"/>
  <c r="W135" i="17"/>
  <c r="X135" i="17" s="1"/>
  <c r="AV135" i="17"/>
  <c r="AT135" i="17" s="1"/>
  <c r="AX135" i="17"/>
  <c r="AY135" i="17"/>
  <c r="AZ135" i="17" s="1"/>
  <c r="BB135" i="17"/>
  <c r="BX135" i="17"/>
  <c r="BV135" i="17" s="1"/>
  <c r="CB135" i="17"/>
  <c r="CC135" i="17"/>
  <c r="CD135" i="17" s="1"/>
  <c r="CF135" i="17"/>
  <c r="CJ135" i="17"/>
  <c r="CH135" i="17" s="1"/>
  <c r="CL135" i="17"/>
  <c r="CM135" i="17"/>
  <c r="CN135" i="17"/>
  <c r="CO135" i="17" s="1"/>
  <c r="DK135" i="17"/>
  <c r="O136" i="17"/>
  <c r="T136" i="17"/>
  <c r="V136" i="17"/>
  <c r="W136" i="17"/>
  <c r="X136" i="17" s="1"/>
  <c r="Z136" i="17" s="1"/>
  <c r="AV136" i="17"/>
  <c r="AT136" i="17" s="1"/>
  <c r="AX136" i="17"/>
  <c r="AY136" i="17"/>
  <c r="AZ136" i="17" s="1"/>
  <c r="BB136" i="17"/>
  <c r="BX136" i="17"/>
  <c r="BV136" i="17" s="1"/>
  <c r="CB136" i="17"/>
  <c r="CC136" i="17"/>
  <c r="CJ136" i="17"/>
  <c r="CH136" i="17" s="1"/>
  <c r="CL136" i="17"/>
  <c r="CM136" i="17"/>
  <c r="CN136" i="17"/>
  <c r="DK136" i="17"/>
  <c r="O137" i="17"/>
  <c r="T137" i="17"/>
  <c r="R137" i="17" s="1"/>
  <c r="V137" i="17"/>
  <c r="W137" i="17"/>
  <c r="X137" i="17" s="1"/>
  <c r="Z137" i="17"/>
  <c r="AV137" i="17"/>
  <c r="AT137" i="17" s="1"/>
  <c r="AX137" i="17"/>
  <c r="AY137" i="17"/>
  <c r="AZ137" i="17" s="1"/>
  <c r="BB137" i="17"/>
  <c r="BX137" i="17"/>
  <c r="BV137" i="17" s="1"/>
  <c r="CB137" i="17"/>
  <c r="CC137" i="17"/>
  <c r="CF137" i="17"/>
  <c r="CJ137" i="17"/>
  <c r="CH137" i="17" s="1"/>
  <c r="CL137" i="17"/>
  <c r="CM137" i="17"/>
  <c r="CN137" i="17"/>
  <c r="CO137" i="17" s="1"/>
  <c r="DK137" i="17"/>
  <c r="O138" i="17"/>
  <c r="T138" i="17"/>
  <c r="R138" i="17" s="1"/>
  <c r="V138" i="17"/>
  <c r="W138" i="17"/>
  <c r="X138" i="17" s="1"/>
  <c r="Z138" i="17" s="1"/>
  <c r="AV138" i="17"/>
  <c r="AX138" i="17"/>
  <c r="AY138" i="17"/>
  <c r="AZ138" i="17" s="1"/>
  <c r="BX138" i="17"/>
  <c r="BV138" i="17" s="1"/>
  <c r="CB138" i="17"/>
  <c r="CC138" i="17"/>
  <c r="CD138" i="17" s="1"/>
  <c r="CJ138" i="17"/>
  <c r="CH138" i="17" s="1"/>
  <c r="CL138" i="17"/>
  <c r="CM138" i="17"/>
  <c r="CN138" i="17"/>
  <c r="CO138" i="17" s="1"/>
  <c r="DK138" i="17"/>
  <c r="O139" i="17"/>
  <c r="T139" i="17"/>
  <c r="R139" i="17" s="1"/>
  <c r="V139" i="17"/>
  <c r="W139" i="17"/>
  <c r="X139" i="17" s="1"/>
  <c r="Z139" i="17"/>
  <c r="AV139" i="17"/>
  <c r="AT139" i="17" s="1"/>
  <c r="AX139" i="17"/>
  <c r="AY139" i="17"/>
  <c r="AZ139" i="17" s="1"/>
  <c r="BB139" i="17" s="1"/>
  <c r="BX139" i="17"/>
  <c r="CB139" i="17"/>
  <c r="CC139" i="17"/>
  <c r="CJ139" i="17"/>
  <c r="CH139" i="17" s="1"/>
  <c r="CL139" i="17"/>
  <c r="CM139" i="17"/>
  <c r="CN139" i="17"/>
  <c r="DK139" i="17"/>
  <c r="O140" i="17"/>
  <c r="T140" i="17"/>
  <c r="V140" i="17"/>
  <c r="W140" i="17"/>
  <c r="X140" i="17" s="1"/>
  <c r="Z140" i="17"/>
  <c r="AV140" i="17"/>
  <c r="AT140" i="17" s="1"/>
  <c r="AX140" i="17"/>
  <c r="AY140" i="17"/>
  <c r="AZ140" i="17" s="1"/>
  <c r="BB140" i="17"/>
  <c r="BX140" i="17"/>
  <c r="BV140" i="17" s="1"/>
  <c r="CB140" i="17"/>
  <c r="CC140" i="17"/>
  <c r="CJ140" i="17"/>
  <c r="CH140" i="17" s="1"/>
  <c r="CL140" i="17"/>
  <c r="CM140" i="17"/>
  <c r="CN140" i="17"/>
  <c r="CO140" i="17" s="1"/>
  <c r="DK140" i="17"/>
  <c r="O141" i="17"/>
  <c r="T141" i="17"/>
  <c r="R141" i="17" s="1"/>
  <c r="V141" i="17"/>
  <c r="W141" i="17"/>
  <c r="X141" i="17" s="1"/>
  <c r="Z141" i="17" s="1"/>
  <c r="AV141" i="17"/>
  <c r="AX141" i="17"/>
  <c r="AY141" i="17"/>
  <c r="AZ141" i="17" s="1"/>
  <c r="BX141" i="17"/>
  <c r="BV141" i="17" s="1"/>
  <c r="CB141" i="17"/>
  <c r="CC141" i="17"/>
  <c r="CD141" i="17" s="1"/>
  <c r="CJ141" i="17"/>
  <c r="CH141" i="17" s="1"/>
  <c r="CL141" i="17"/>
  <c r="CM141" i="17"/>
  <c r="CN141" i="17"/>
  <c r="DK141" i="17"/>
  <c r="O142" i="17"/>
  <c r="T142" i="17"/>
  <c r="R142" i="17" s="1"/>
  <c r="V142" i="17"/>
  <c r="W142" i="17"/>
  <c r="X142" i="17" s="1"/>
  <c r="AV142" i="17"/>
  <c r="AT142" i="17" s="1"/>
  <c r="AX142" i="17"/>
  <c r="AY142" i="17"/>
  <c r="AZ142" i="17" s="1"/>
  <c r="BX142" i="17"/>
  <c r="BV142" i="17" s="1"/>
  <c r="CB142" i="17"/>
  <c r="CC142" i="17"/>
  <c r="CD142" i="17" s="1"/>
  <c r="CF142" i="17" s="1"/>
  <c r="CJ142" i="17"/>
  <c r="CH142" i="17" s="1"/>
  <c r="CL142" i="17"/>
  <c r="CM142" i="17"/>
  <c r="CN142" i="17"/>
  <c r="CO142" i="17" s="1"/>
  <c r="DK142" i="17"/>
  <c r="O143" i="17"/>
  <c r="T143" i="17"/>
  <c r="V143" i="17"/>
  <c r="W143" i="17"/>
  <c r="X143" i="17" s="1"/>
  <c r="Z143" i="17" s="1"/>
  <c r="AV143" i="17"/>
  <c r="AT143" i="17" s="1"/>
  <c r="AX143" i="17"/>
  <c r="AY143" i="17"/>
  <c r="AZ143" i="17" s="1"/>
  <c r="BX143" i="17"/>
  <c r="BV143" i="17" s="1"/>
  <c r="CB143" i="17"/>
  <c r="CC143" i="17"/>
  <c r="CD143" i="17" s="1"/>
  <c r="CJ143" i="17"/>
  <c r="CH143" i="17" s="1"/>
  <c r="CL143" i="17"/>
  <c r="CM143" i="17"/>
  <c r="CN143" i="17"/>
  <c r="CO143" i="17" s="1"/>
  <c r="DK143" i="17"/>
  <c r="O144" i="17"/>
  <c r="T144" i="17"/>
  <c r="V144" i="17"/>
  <c r="W144" i="17"/>
  <c r="X144" i="17" s="1"/>
  <c r="AV144" i="17"/>
  <c r="AT144" i="17" s="1"/>
  <c r="AX144" i="17"/>
  <c r="AY144" i="17"/>
  <c r="AZ144" i="17" s="1"/>
  <c r="BB144" i="17" s="1"/>
  <c r="BX144" i="17"/>
  <c r="BV144" i="17" s="1"/>
  <c r="CB144" i="17"/>
  <c r="CC144" i="17"/>
  <c r="CD144" i="17" s="1"/>
  <c r="CJ144" i="17"/>
  <c r="CH144" i="17" s="1"/>
  <c r="CL144" i="17"/>
  <c r="CM144" i="17"/>
  <c r="CN144" i="17"/>
  <c r="CO144" i="17" s="1"/>
  <c r="DK144" i="17"/>
  <c r="O145" i="17"/>
  <c r="T145" i="17"/>
  <c r="V145" i="17"/>
  <c r="W145" i="17"/>
  <c r="X145" i="17" s="1"/>
  <c r="AV145" i="17"/>
  <c r="AT145" i="17" s="1"/>
  <c r="AX145" i="17"/>
  <c r="AY145" i="17"/>
  <c r="AZ145" i="17" s="1"/>
  <c r="BB145" i="17" s="1"/>
  <c r="BX145" i="17"/>
  <c r="BV145" i="17" s="1"/>
  <c r="CB145" i="17"/>
  <c r="CC145" i="17"/>
  <c r="CJ145" i="17"/>
  <c r="CH145" i="17" s="1"/>
  <c r="CL145" i="17"/>
  <c r="CM145" i="17"/>
  <c r="CN145" i="17"/>
  <c r="CO145" i="17" s="1"/>
  <c r="DK145" i="17"/>
  <c r="O146" i="17"/>
  <c r="T146" i="17"/>
  <c r="R146" i="17" s="1"/>
  <c r="V146" i="17"/>
  <c r="W146" i="17"/>
  <c r="X146" i="17" s="1"/>
  <c r="Z146" i="17" s="1"/>
  <c r="AV146" i="17"/>
  <c r="AX146" i="17"/>
  <c r="AY146" i="17"/>
  <c r="AZ146" i="17" s="1"/>
  <c r="BX146" i="17"/>
  <c r="BV146" i="17" s="1"/>
  <c r="CB146" i="17"/>
  <c r="CC146" i="17"/>
  <c r="CD146" i="17" s="1"/>
  <c r="CF146" i="17" s="1"/>
  <c r="CJ146" i="17"/>
  <c r="CH146" i="17" s="1"/>
  <c r="CL146" i="17"/>
  <c r="CM146" i="17"/>
  <c r="CN146" i="17"/>
  <c r="CO146" i="17" s="1"/>
  <c r="DK146" i="17"/>
  <c r="O147" i="17"/>
  <c r="T147" i="17"/>
  <c r="V147" i="17"/>
  <c r="W147" i="17"/>
  <c r="X147" i="17" s="1"/>
  <c r="AV147" i="17"/>
  <c r="AT147" i="17" s="1"/>
  <c r="AX147" i="17"/>
  <c r="AY147" i="17"/>
  <c r="AZ147" i="17" s="1"/>
  <c r="BX147" i="17"/>
  <c r="BV147" i="17" s="1"/>
  <c r="CB147" i="17"/>
  <c r="CC147" i="17"/>
  <c r="CJ147" i="17"/>
  <c r="CH147" i="17" s="1"/>
  <c r="CL147" i="17"/>
  <c r="CM147" i="17"/>
  <c r="CN147" i="17"/>
  <c r="CO147" i="17" s="1"/>
  <c r="DK147" i="17"/>
  <c r="O148" i="17"/>
  <c r="T148" i="17"/>
  <c r="R148" i="17" s="1"/>
  <c r="V148" i="17"/>
  <c r="W148" i="17"/>
  <c r="X148" i="17" s="1"/>
  <c r="AV148" i="17"/>
  <c r="AT148" i="17" s="1"/>
  <c r="AX148" i="17"/>
  <c r="AY148" i="17"/>
  <c r="AZ148" i="17" s="1"/>
  <c r="BB148" i="17"/>
  <c r="BX148" i="17"/>
  <c r="BV148" i="17" s="1"/>
  <c r="CB148" i="17"/>
  <c r="CC148" i="17"/>
  <c r="CJ148" i="17"/>
  <c r="CH148" i="17" s="1"/>
  <c r="CL148" i="17"/>
  <c r="CM148" i="17"/>
  <c r="CN148" i="17"/>
  <c r="CO148" i="17" s="1"/>
  <c r="DK148" i="17"/>
  <c r="O149" i="17"/>
  <c r="T149" i="17"/>
  <c r="R149" i="17" s="1"/>
  <c r="V149" i="17"/>
  <c r="W149" i="17"/>
  <c r="X149" i="17" s="1"/>
  <c r="Z149" i="17" s="1"/>
  <c r="AV149" i="17"/>
  <c r="AX149" i="17"/>
  <c r="AY149" i="17"/>
  <c r="AZ149" i="17" s="1"/>
  <c r="BX149" i="17"/>
  <c r="BV149" i="17" s="1"/>
  <c r="CB149" i="17"/>
  <c r="CC149" i="17"/>
  <c r="CD149" i="17" s="1"/>
  <c r="CF149" i="17" s="1"/>
  <c r="CJ149" i="17"/>
  <c r="CH149" i="17" s="1"/>
  <c r="CL149" i="17"/>
  <c r="CM149" i="17"/>
  <c r="CN149" i="17"/>
  <c r="DK149" i="17"/>
  <c r="O150" i="17"/>
  <c r="T150" i="17"/>
  <c r="R150" i="17" s="1"/>
  <c r="V150" i="17"/>
  <c r="W150" i="17"/>
  <c r="X150" i="17" s="1"/>
  <c r="AV150" i="17"/>
  <c r="AT150" i="17" s="1"/>
  <c r="AX150" i="17"/>
  <c r="AY150" i="17"/>
  <c r="AZ150" i="17" s="1"/>
  <c r="BX150" i="17"/>
  <c r="BV150" i="17" s="1"/>
  <c r="CB150" i="17"/>
  <c r="CC150" i="17"/>
  <c r="CD150" i="17" s="1"/>
  <c r="CF150" i="17" s="1"/>
  <c r="CJ150" i="17"/>
  <c r="CH150" i="17" s="1"/>
  <c r="CL150" i="17"/>
  <c r="CM150" i="17"/>
  <c r="CN150" i="17"/>
  <c r="DK150" i="17"/>
  <c r="O151" i="17"/>
  <c r="T151" i="17"/>
  <c r="V151" i="17"/>
  <c r="W151" i="17"/>
  <c r="X151" i="17" s="1"/>
  <c r="Z151" i="17" s="1"/>
  <c r="AV151" i="17"/>
  <c r="AT151" i="17" s="1"/>
  <c r="AX151" i="17"/>
  <c r="AY151" i="17"/>
  <c r="AZ151" i="17" s="1"/>
  <c r="BB151" i="17"/>
  <c r="BX151" i="17"/>
  <c r="BV151" i="17" s="1"/>
  <c r="CB151" i="17"/>
  <c r="CC151" i="17"/>
  <c r="CJ151" i="17"/>
  <c r="CH151" i="17" s="1"/>
  <c r="CL151" i="17"/>
  <c r="CM151" i="17"/>
  <c r="CN151" i="17"/>
  <c r="CO151" i="17" s="1"/>
  <c r="DK151" i="17"/>
  <c r="O152" i="17"/>
  <c r="T152" i="17"/>
  <c r="V152" i="17"/>
  <c r="W152" i="17"/>
  <c r="X152" i="17" s="1"/>
  <c r="AV152" i="17"/>
  <c r="AT152" i="17" s="1"/>
  <c r="AX152" i="17"/>
  <c r="AY152" i="17"/>
  <c r="AZ152" i="17" s="1"/>
  <c r="BB152" i="17" s="1"/>
  <c r="BX152" i="17"/>
  <c r="BV152" i="17" s="1"/>
  <c r="CB152" i="17"/>
  <c r="CC152" i="17"/>
  <c r="CD152" i="17" s="1"/>
  <c r="CF152" i="17"/>
  <c r="CJ152" i="17"/>
  <c r="CH152" i="17" s="1"/>
  <c r="CL152" i="17"/>
  <c r="CM152" i="17"/>
  <c r="CN152" i="17"/>
  <c r="CO152" i="17" s="1"/>
  <c r="DK152" i="17"/>
  <c r="O153" i="17"/>
  <c r="T153" i="17"/>
  <c r="V153" i="17"/>
  <c r="W153" i="17"/>
  <c r="X153" i="17" s="1"/>
  <c r="Z153" i="17"/>
  <c r="AV153" i="17"/>
  <c r="AT153" i="17" s="1"/>
  <c r="AX153" i="17"/>
  <c r="AY153" i="17"/>
  <c r="AZ153" i="17" s="1"/>
  <c r="BB153" i="17"/>
  <c r="BX153" i="17"/>
  <c r="BV153" i="17" s="1"/>
  <c r="CB153" i="17"/>
  <c r="CC153" i="17"/>
  <c r="CJ153" i="17"/>
  <c r="CH153" i="17" s="1"/>
  <c r="CL153" i="17"/>
  <c r="CM153" i="17"/>
  <c r="CN153" i="17"/>
  <c r="CO153" i="17" s="1"/>
  <c r="DK153" i="17"/>
  <c r="O154" i="17"/>
  <c r="T154" i="17"/>
  <c r="R154" i="17" s="1"/>
  <c r="V154" i="17"/>
  <c r="W154" i="17"/>
  <c r="X154" i="17" s="1"/>
  <c r="Z154" i="17"/>
  <c r="AV154" i="17"/>
  <c r="AT154" i="17" s="1"/>
  <c r="AX154" i="17"/>
  <c r="AY154" i="17"/>
  <c r="AZ154" i="17" s="1"/>
  <c r="BB154" i="17"/>
  <c r="BX154" i="17"/>
  <c r="BV154" i="17" s="1"/>
  <c r="CB154" i="17"/>
  <c r="CC154" i="17"/>
  <c r="CD154" i="17" s="1"/>
  <c r="CF154" i="17"/>
  <c r="CJ154" i="17"/>
  <c r="CH154" i="17" s="1"/>
  <c r="CL154" i="17"/>
  <c r="CM154" i="17"/>
  <c r="CN154" i="17"/>
  <c r="CO154" i="17" s="1"/>
  <c r="DK154" i="17"/>
  <c r="O155" i="17"/>
  <c r="T155" i="17"/>
  <c r="V155" i="17"/>
  <c r="W155" i="17"/>
  <c r="X155" i="17" s="1"/>
  <c r="Z155" i="17" s="1"/>
  <c r="AV155" i="17"/>
  <c r="AT155" i="17" s="1"/>
  <c r="AX155" i="17"/>
  <c r="AY155" i="17"/>
  <c r="AZ155" i="17" s="1"/>
  <c r="BB155" i="17"/>
  <c r="BX155" i="17"/>
  <c r="BV155" i="17" s="1"/>
  <c r="CB155" i="17"/>
  <c r="CC155" i="17"/>
  <c r="CD155" i="17" s="1"/>
  <c r="CF155" i="17" s="1"/>
  <c r="CJ155" i="17"/>
  <c r="CH155" i="17" s="1"/>
  <c r="CL155" i="17"/>
  <c r="CM155" i="17"/>
  <c r="CN155" i="17"/>
  <c r="CO155" i="17" s="1"/>
  <c r="DK155" i="17"/>
  <c r="O156" i="17"/>
  <c r="T156" i="17"/>
  <c r="R156" i="17" s="1"/>
  <c r="V156" i="17"/>
  <c r="W156" i="17"/>
  <c r="X156" i="17" s="1"/>
  <c r="Z156" i="17" s="1"/>
  <c r="AV156" i="17"/>
  <c r="AT156" i="17" s="1"/>
  <c r="AX156" i="17"/>
  <c r="AY156" i="17"/>
  <c r="AZ156" i="17" s="1"/>
  <c r="BB156" i="17" s="1"/>
  <c r="BX156" i="17"/>
  <c r="BV156" i="17" s="1"/>
  <c r="CB156" i="17"/>
  <c r="CC156" i="17"/>
  <c r="CD156" i="17" s="1"/>
  <c r="CJ156" i="17"/>
  <c r="CH156" i="17" s="1"/>
  <c r="CL156" i="17"/>
  <c r="CM156" i="17"/>
  <c r="CN156" i="17"/>
  <c r="DK156" i="17"/>
  <c r="O157" i="17"/>
  <c r="T157" i="17"/>
  <c r="R157" i="17" s="1"/>
  <c r="V157" i="17"/>
  <c r="W157" i="17"/>
  <c r="X157" i="17" s="1"/>
  <c r="AV157" i="17"/>
  <c r="AT157" i="17" s="1"/>
  <c r="AX157" i="17"/>
  <c r="AY157" i="17"/>
  <c r="AZ157" i="17" s="1"/>
  <c r="BX157" i="17"/>
  <c r="BV157" i="17" s="1"/>
  <c r="CB157" i="17"/>
  <c r="CC157" i="17"/>
  <c r="CJ157" i="17"/>
  <c r="CH157" i="17" s="1"/>
  <c r="CL157" i="17"/>
  <c r="CM157" i="17"/>
  <c r="CN157" i="17"/>
  <c r="CO157" i="17" s="1"/>
  <c r="DK157" i="17"/>
  <c r="O158" i="17"/>
  <c r="T158" i="17"/>
  <c r="V158" i="17"/>
  <c r="W158" i="17"/>
  <c r="X158" i="17" s="1"/>
  <c r="Z158" i="17" s="1"/>
  <c r="AV158" i="17"/>
  <c r="AT158" i="17" s="1"/>
  <c r="AX158" i="17"/>
  <c r="AY158" i="17"/>
  <c r="AZ158" i="17" s="1"/>
  <c r="BX158" i="17"/>
  <c r="BV158" i="17" s="1"/>
  <c r="CB158" i="17"/>
  <c r="CC158" i="17"/>
  <c r="CJ158" i="17"/>
  <c r="CH158" i="17" s="1"/>
  <c r="CL158" i="17"/>
  <c r="CM158" i="17"/>
  <c r="CN158" i="17"/>
  <c r="DK158" i="17"/>
  <c r="O159" i="17"/>
  <c r="T159" i="17"/>
  <c r="R159" i="17" s="1"/>
  <c r="V159" i="17"/>
  <c r="W159" i="17"/>
  <c r="X159" i="17" s="1"/>
  <c r="Z159" i="17"/>
  <c r="AV159" i="17"/>
  <c r="AX159" i="17"/>
  <c r="AY159" i="17"/>
  <c r="AZ159" i="17" s="1"/>
  <c r="BB159" i="17"/>
  <c r="BX159" i="17"/>
  <c r="BV159" i="17" s="1"/>
  <c r="CB159" i="17"/>
  <c r="CC159" i="17"/>
  <c r="CF159" i="17"/>
  <c r="CJ159" i="17"/>
  <c r="CH159" i="17" s="1"/>
  <c r="CL159" i="17"/>
  <c r="CM159" i="17"/>
  <c r="CN159" i="17"/>
  <c r="CO159" i="17" s="1"/>
  <c r="DK159" i="17"/>
  <c r="O160" i="17"/>
  <c r="T160" i="17"/>
  <c r="V160" i="17"/>
  <c r="W160" i="17"/>
  <c r="X160" i="17" s="1"/>
  <c r="Z160" i="17" s="1"/>
  <c r="AV160" i="17"/>
  <c r="AT160" i="17" s="1"/>
  <c r="AX160" i="17"/>
  <c r="AY160" i="17"/>
  <c r="AZ160" i="17" s="1"/>
  <c r="BX160" i="17"/>
  <c r="BV160" i="17" s="1"/>
  <c r="CB160" i="17"/>
  <c r="CC160" i="17"/>
  <c r="CD160" i="17" s="1"/>
  <c r="CJ160" i="17"/>
  <c r="CH160" i="17" s="1"/>
  <c r="CL160" i="17"/>
  <c r="CM160" i="17"/>
  <c r="CN160" i="17"/>
  <c r="DK160" i="17"/>
  <c r="O161" i="17"/>
  <c r="T161" i="17"/>
  <c r="R161" i="17" s="1"/>
  <c r="V161" i="17"/>
  <c r="W161" i="17"/>
  <c r="X161" i="17" s="1"/>
  <c r="Z161" i="17" s="1"/>
  <c r="AV161" i="17"/>
  <c r="AT161" i="17" s="1"/>
  <c r="AX161" i="17"/>
  <c r="AY161" i="17"/>
  <c r="AZ161" i="17" s="1"/>
  <c r="BB161" i="17" s="1"/>
  <c r="BX161" i="17"/>
  <c r="CB161" i="17"/>
  <c r="CC161" i="17"/>
  <c r="CD161" i="17" s="1"/>
  <c r="CF161" i="17"/>
  <c r="CJ161" i="17"/>
  <c r="CH161" i="17" s="1"/>
  <c r="CL161" i="17"/>
  <c r="CM161" i="17"/>
  <c r="CN161" i="17"/>
  <c r="DK161" i="17"/>
  <c r="O162" i="17"/>
  <c r="T162" i="17"/>
  <c r="R162" i="17" s="1"/>
  <c r="V162" i="17"/>
  <c r="W162" i="17"/>
  <c r="X162" i="17" s="1"/>
  <c r="AV162" i="17"/>
  <c r="AT162" i="17" s="1"/>
  <c r="AX162" i="17"/>
  <c r="AY162" i="17"/>
  <c r="AZ162" i="17" s="1"/>
  <c r="BX162" i="17"/>
  <c r="BV162" i="17" s="1"/>
  <c r="CB162" i="17"/>
  <c r="CC162" i="17"/>
  <c r="CJ162" i="17"/>
  <c r="CH162" i="17" s="1"/>
  <c r="CL162" i="17"/>
  <c r="CM162" i="17"/>
  <c r="CN162" i="17"/>
  <c r="DK162" i="17"/>
  <c r="O163" i="17"/>
  <c r="T163" i="17"/>
  <c r="R163" i="17" s="1"/>
  <c r="V163" i="17"/>
  <c r="W163" i="17"/>
  <c r="X163" i="17" s="1"/>
  <c r="AV163" i="17"/>
  <c r="AT163" i="17" s="1"/>
  <c r="AX163" i="17"/>
  <c r="AY163" i="17"/>
  <c r="AZ163" i="17" s="1"/>
  <c r="BB163" i="17"/>
  <c r="BX163" i="17"/>
  <c r="BV163" i="17" s="1"/>
  <c r="CB163" i="17"/>
  <c r="CC163" i="17"/>
  <c r="CD163" i="17" s="1"/>
  <c r="CJ163" i="17"/>
  <c r="CL163" i="17"/>
  <c r="CM163" i="17"/>
  <c r="CN163" i="17"/>
  <c r="CO163" i="17" s="1"/>
  <c r="DK163" i="17"/>
  <c r="O164" i="17"/>
  <c r="T164" i="17"/>
  <c r="R164" i="17" s="1"/>
  <c r="V164" i="17"/>
  <c r="W164" i="17"/>
  <c r="X164" i="17" s="1"/>
  <c r="Z164" i="17"/>
  <c r="AV164" i="17"/>
  <c r="AT164" i="17" s="1"/>
  <c r="AX164" i="17"/>
  <c r="AY164" i="17"/>
  <c r="AZ164" i="17" s="1"/>
  <c r="BB164" i="17"/>
  <c r="BX164" i="17"/>
  <c r="BV164" i="17" s="1"/>
  <c r="CB164" i="17"/>
  <c r="CC164" i="17"/>
  <c r="CJ164" i="17"/>
  <c r="CH164" i="17" s="1"/>
  <c r="CL164" i="17"/>
  <c r="CM164" i="17"/>
  <c r="CN164" i="17"/>
  <c r="DK164" i="17"/>
  <c r="O165" i="17"/>
  <c r="T165" i="17"/>
  <c r="R165" i="17" s="1"/>
  <c r="V165" i="17"/>
  <c r="W165" i="17"/>
  <c r="X165" i="17" s="1"/>
  <c r="Z165" i="17" s="1"/>
  <c r="AV165" i="17"/>
  <c r="AT165" i="17" s="1"/>
  <c r="AX165" i="17"/>
  <c r="AY165" i="17"/>
  <c r="AZ165" i="17" s="1"/>
  <c r="BB165" i="17" s="1"/>
  <c r="BX165" i="17"/>
  <c r="BV165" i="17" s="1"/>
  <c r="CB165" i="17"/>
  <c r="CC165" i="17"/>
  <c r="CD165" i="17" s="1"/>
  <c r="CJ165" i="17"/>
  <c r="CH165" i="17" s="1"/>
  <c r="CL165" i="17"/>
  <c r="CM165" i="17"/>
  <c r="CN165" i="17"/>
  <c r="DK165" i="17"/>
  <c r="O166" i="17"/>
  <c r="T166" i="17"/>
  <c r="R166" i="17" s="1"/>
  <c r="V166" i="17"/>
  <c r="W166" i="17"/>
  <c r="X166" i="17" s="1"/>
  <c r="Z166" i="17"/>
  <c r="AV166" i="17"/>
  <c r="AT166" i="17" s="1"/>
  <c r="AX166" i="17"/>
  <c r="AY166" i="17"/>
  <c r="AZ166" i="17" s="1"/>
  <c r="BB166" i="17"/>
  <c r="BX166" i="17"/>
  <c r="BV166" i="17" s="1"/>
  <c r="CB166" i="17"/>
  <c r="CC166" i="17"/>
  <c r="CD166" i="17" s="1"/>
  <c r="CJ166" i="17"/>
  <c r="CH166" i="17" s="1"/>
  <c r="CL166" i="17"/>
  <c r="CM166" i="17"/>
  <c r="CN166" i="17"/>
  <c r="DK166" i="17"/>
  <c r="O167" i="17"/>
  <c r="T167" i="17"/>
  <c r="R167" i="17" s="1"/>
  <c r="V167" i="17"/>
  <c r="W167" i="17"/>
  <c r="X167" i="17" s="1"/>
  <c r="AV167" i="17"/>
  <c r="AT167" i="17" s="1"/>
  <c r="AX167" i="17"/>
  <c r="AY167" i="17"/>
  <c r="AZ167" i="17" s="1"/>
  <c r="BX167" i="17"/>
  <c r="CB167" i="17"/>
  <c r="CC167" i="17"/>
  <c r="CD167" i="17" s="1"/>
  <c r="CF167" i="17" s="1"/>
  <c r="CJ167" i="17"/>
  <c r="CH167" i="17" s="1"/>
  <c r="CL167" i="17"/>
  <c r="CM167" i="17"/>
  <c r="CN167" i="17"/>
  <c r="CO167" i="17" s="1"/>
  <c r="DK167" i="17"/>
  <c r="O168" i="17"/>
  <c r="T168" i="17"/>
  <c r="V168" i="17"/>
  <c r="W168" i="17"/>
  <c r="X168" i="17" s="1"/>
  <c r="Z168" i="17"/>
  <c r="AV168" i="17"/>
  <c r="AT168" i="17" s="1"/>
  <c r="AX168" i="17"/>
  <c r="AY168" i="17"/>
  <c r="AZ168" i="17" s="1"/>
  <c r="BB168" i="17"/>
  <c r="BX168" i="17"/>
  <c r="BV168" i="17" s="1"/>
  <c r="CB168" i="17"/>
  <c r="CC168" i="17"/>
  <c r="CD168" i="17" s="1"/>
  <c r="CJ168" i="17"/>
  <c r="CH168" i="17" s="1"/>
  <c r="CL168" i="17"/>
  <c r="CM168" i="17"/>
  <c r="CN168" i="17"/>
  <c r="CO168" i="17" s="1"/>
  <c r="DK168" i="17"/>
  <c r="O169" i="17"/>
  <c r="T169" i="17"/>
  <c r="R169" i="17" s="1"/>
  <c r="V169" i="17"/>
  <c r="W169" i="17"/>
  <c r="X169" i="17" s="1"/>
  <c r="AV169" i="17"/>
  <c r="AT169" i="17" s="1"/>
  <c r="AX169" i="17"/>
  <c r="AY169" i="17"/>
  <c r="AZ169" i="17" s="1"/>
  <c r="BB169" i="17"/>
  <c r="BX169" i="17"/>
  <c r="CB169" i="17"/>
  <c r="CC169" i="17"/>
  <c r="CD169" i="17" s="1"/>
  <c r="CF169" i="17" s="1"/>
  <c r="CJ169" i="17"/>
  <c r="CH169" i="17" s="1"/>
  <c r="CL169" i="17"/>
  <c r="CM169" i="17"/>
  <c r="CN169" i="17"/>
  <c r="CO169" i="17" s="1"/>
  <c r="DK169" i="17"/>
  <c r="O170" i="17"/>
  <c r="T170" i="17"/>
  <c r="R170" i="17" s="1"/>
  <c r="V170" i="17"/>
  <c r="W170" i="17"/>
  <c r="X170" i="17" s="1"/>
  <c r="Z170" i="17"/>
  <c r="AV170" i="17"/>
  <c r="AX170" i="17"/>
  <c r="AY170" i="17"/>
  <c r="AZ170" i="17" s="1"/>
  <c r="BB170" i="17" s="1"/>
  <c r="BX170" i="17"/>
  <c r="BV170" i="17" s="1"/>
  <c r="CB170" i="17"/>
  <c r="CC170" i="17"/>
  <c r="CD170" i="17" s="1"/>
  <c r="CF170" i="17"/>
  <c r="CJ170" i="17"/>
  <c r="CH170" i="17" s="1"/>
  <c r="CL170" i="17"/>
  <c r="CM170" i="17"/>
  <c r="CN170" i="17"/>
  <c r="CO170" i="17" s="1"/>
  <c r="DK170" i="17"/>
  <c r="O171" i="17"/>
  <c r="T171" i="17"/>
  <c r="V171" i="17"/>
  <c r="W171" i="17"/>
  <c r="X171" i="17" s="1"/>
  <c r="AV171" i="17"/>
  <c r="AT171" i="17" s="1"/>
  <c r="AX171" i="17"/>
  <c r="AY171" i="17"/>
  <c r="AZ171" i="17" s="1"/>
  <c r="BX171" i="17"/>
  <c r="BV171" i="17" s="1"/>
  <c r="CB171" i="17"/>
  <c r="CC171" i="17"/>
  <c r="CD171" i="17" s="1"/>
  <c r="CJ171" i="17"/>
  <c r="CH171" i="17" s="1"/>
  <c r="CL171" i="17"/>
  <c r="CM171" i="17"/>
  <c r="CN171" i="17"/>
  <c r="CO171" i="17" s="1"/>
  <c r="DK171" i="17"/>
  <c r="O172" i="17"/>
  <c r="T172" i="17"/>
  <c r="R172" i="17" s="1"/>
  <c r="V172" i="17"/>
  <c r="W172" i="17"/>
  <c r="X172" i="17" s="1"/>
  <c r="Z172" i="17"/>
  <c r="AV172" i="17"/>
  <c r="AT172" i="17" s="1"/>
  <c r="AX172" i="17"/>
  <c r="AY172" i="17"/>
  <c r="AZ172" i="17" s="1"/>
  <c r="BB172" i="17"/>
  <c r="BX172" i="17"/>
  <c r="BV172" i="17" s="1"/>
  <c r="CB172" i="17"/>
  <c r="CC172" i="17"/>
  <c r="CD172" i="17" s="1"/>
  <c r="CF172" i="17" s="1"/>
  <c r="CJ172" i="17"/>
  <c r="CH172" i="17" s="1"/>
  <c r="CL172" i="17"/>
  <c r="CM172" i="17"/>
  <c r="CN172" i="17"/>
  <c r="CO172" i="17" s="1"/>
  <c r="DK172" i="17"/>
  <c r="O173" i="17"/>
  <c r="T173" i="17"/>
  <c r="R173" i="17" s="1"/>
  <c r="V173" i="17"/>
  <c r="W173" i="17"/>
  <c r="X173" i="17" s="1"/>
  <c r="Z173" i="17" s="1"/>
  <c r="AV173" i="17"/>
  <c r="AT173" i="17" s="1"/>
  <c r="AX173" i="17"/>
  <c r="AY173" i="17"/>
  <c r="AZ173" i="17" s="1"/>
  <c r="BB173" i="17"/>
  <c r="BX173" i="17"/>
  <c r="CB173" i="17"/>
  <c r="CC173" i="17"/>
  <c r="CD173" i="17" s="1"/>
  <c r="CF173" i="17" s="1"/>
  <c r="CJ173" i="17"/>
  <c r="CH173" i="17" s="1"/>
  <c r="CL173" i="17"/>
  <c r="CM173" i="17"/>
  <c r="CN173" i="17"/>
  <c r="CO173" i="17" s="1"/>
  <c r="DK173" i="17"/>
  <c r="O174" i="17"/>
  <c r="T174" i="17"/>
  <c r="R174" i="17" s="1"/>
  <c r="V174" i="17"/>
  <c r="W174" i="17"/>
  <c r="X174" i="17" s="1"/>
  <c r="AV174" i="17"/>
  <c r="AT174" i="17" s="1"/>
  <c r="AX174" i="17"/>
  <c r="AY174" i="17"/>
  <c r="AZ174" i="17" s="1"/>
  <c r="BB174" i="17"/>
  <c r="BX174" i="17"/>
  <c r="BV174" i="17" s="1"/>
  <c r="CB174" i="17"/>
  <c r="CC174" i="17"/>
  <c r="CD174" i="17" s="1"/>
  <c r="CF174" i="17" s="1"/>
  <c r="CJ174" i="17"/>
  <c r="CH174" i="17" s="1"/>
  <c r="CL174" i="17"/>
  <c r="CM174" i="17"/>
  <c r="CN174" i="17"/>
  <c r="CO174" i="17" s="1"/>
  <c r="DK174" i="17"/>
  <c r="O175" i="17"/>
  <c r="T175" i="17"/>
  <c r="R175" i="17" s="1"/>
  <c r="V175" i="17"/>
  <c r="W175" i="17"/>
  <c r="X175" i="17" s="1"/>
  <c r="AV175" i="17"/>
  <c r="AT175" i="17" s="1"/>
  <c r="AX175" i="17"/>
  <c r="AY175" i="17"/>
  <c r="AZ175" i="17" s="1"/>
  <c r="BX175" i="17"/>
  <c r="BV175" i="17" s="1"/>
  <c r="CB175" i="17"/>
  <c r="CC175" i="17"/>
  <c r="CJ175" i="17"/>
  <c r="CH175" i="17" s="1"/>
  <c r="CL175" i="17"/>
  <c r="CM175" i="17"/>
  <c r="CN175" i="17"/>
  <c r="CO175" i="17" s="1"/>
  <c r="DK175" i="17"/>
  <c r="O176" i="17"/>
  <c r="T176" i="17"/>
  <c r="R176" i="17" s="1"/>
  <c r="V176" i="17"/>
  <c r="W176" i="17"/>
  <c r="X176" i="17" s="1"/>
  <c r="AV176" i="17"/>
  <c r="AX176" i="17"/>
  <c r="AY176" i="17"/>
  <c r="AZ176" i="17" s="1"/>
  <c r="BB176" i="17" s="1"/>
  <c r="BX176" i="17"/>
  <c r="BV176" i="17" s="1"/>
  <c r="CB176" i="17"/>
  <c r="CC176" i="17"/>
  <c r="CD176" i="17" s="1"/>
  <c r="CF176" i="17" s="1"/>
  <c r="CJ176" i="17"/>
  <c r="CH176" i="17" s="1"/>
  <c r="CL176" i="17"/>
  <c r="CM176" i="17"/>
  <c r="CN176" i="17"/>
  <c r="CO176" i="17" s="1"/>
  <c r="DK176" i="17"/>
  <c r="O177" i="17"/>
  <c r="T177" i="17"/>
  <c r="V177" i="17"/>
  <c r="W177" i="17"/>
  <c r="X177" i="17" s="1"/>
  <c r="AV177" i="17"/>
  <c r="AT177" i="17" s="1"/>
  <c r="AX177" i="17"/>
  <c r="AY177" i="17"/>
  <c r="AZ177" i="17" s="1"/>
  <c r="BX177" i="17"/>
  <c r="BV177" i="17" s="1"/>
  <c r="CB177" i="17"/>
  <c r="CC177" i="17"/>
  <c r="CD177" i="17" s="1"/>
  <c r="CJ177" i="17"/>
  <c r="CH177" i="17" s="1"/>
  <c r="CL177" i="17"/>
  <c r="CM177" i="17"/>
  <c r="CN177" i="17"/>
  <c r="DK177" i="17"/>
  <c r="O178" i="17"/>
  <c r="T178" i="17"/>
  <c r="V178" i="17"/>
  <c r="W178" i="17"/>
  <c r="X178" i="17" s="1"/>
  <c r="Z178" i="17"/>
  <c r="AV178" i="17"/>
  <c r="AT178" i="17" s="1"/>
  <c r="AX178" i="17"/>
  <c r="AY178" i="17"/>
  <c r="AZ178" i="17" s="1"/>
  <c r="BB178" i="17"/>
  <c r="BX178" i="17"/>
  <c r="BV178" i="17" s="1"/>
  <c r="CB178" i="17"/>
  <c r="CC178" i="17"/>
  <c r="CD178" i="17" s="1"/>
  <c r="CJ178" i="17"/>
  <c r="CH178" i="17" s="1"/>
  <c r="CL178" i="17"/>
  <c r="CM178" i="17"/>
  <c r="CN178" i="17"/>
  <c r="DK178" i="17"/>
  <c r="S179" i="17"/>
  <c r="U179" i="17"/>
  <c r="V179" i="17" s="1"/>
  <c r="AX179" i="17"/>
  <c r="BW179" i="17"/>
  <c r="BX179" i="17" s="1"/>
  <c r="BV179" i="17" s="1"/>
  <c r="CB179" i="17"/>
  <c r="CM179" i="17"/>
  <c r="O180" i="17"/>
  <c r="T180" i="17"/>
  <c r="R180" i="17" s="1"/>
  <c r="V180" i="17"/>
  <c r="W180" i="17"/>
  <c r="X180" i="17" s="1"/>
  <c r="Z180" i="17"/>
  <c r="AV180" i="17"/>
  <c r="AT180" i="17" s="1"/>
  <c r="AX180" i="17"/>
  <c r="AY180" i="17"/>
  <c r="AZ180" i="17" s="1"/>
  <c r="BB180" i="17" s="1"/>
  <c r="BX180" i="17"/>
  <c r="BV180" i="17" s="1"/>
  <c r="CB180" i="17"/>
  <c r="CC180" i="17"/>
  <c r="CD180" i="17" s="1"/>
  <c r="CF180" i="17"/>
  <c r="CJ180" i="17"/>
  <c r="CH180" i="17" s="1"/>
  <c r="CL180" i="17"/>
  <c r="CM180" i="17"/>
  <c r="CN180" i="17"/>
  <c r="CO180" i="17" s="1"/>
  <c r="DK180" i="17"/>
  <c r="O181" i="17"/>
  <c r="T181" i="17"/>
  <c r="V181" i="17"/>
  <c r="W181" i="17"/>
  <c r="X181" i="17" s="1"/>
  <c r="Z181" i="17" s="1"/>
  <c r="AV181" i="17"/>
  <c r="AT181" i="17" s="1"/>
  <c r="AX181" i="17"/>
  <c r="AY181" i="17"/>
  <c r="AZ181" i="17" s="1"/>
  <c r="BX181" i="17"/>
  <c r="BV181" i="17" s="1"/>
  <c r="CB181" i="17"/>
  <c r="CC181" i="17"/>
  <c r="CJ181" i="17"/>
  <c r="CH181" i="17" s="1"/>
  <c r="CL181" i="17"/>
  <c r="CM181" i="17"/>
  <c r="CN181" i="17"/>
  <c r="DK181" i="17"/>
  <c r="O182" i="17"/>
  <c r="T182" i="17"/>
  <c r="R182" i="17" s="1"/>
  <c r="V182" i="17"/>
  <c r="W182" i="17"/>
  <c r="X182" i="17" s="1"/>
  <c r="Z182" i="17" s="1"/>
  <c r="AV182" i="17"/>
  <c r="AT182" i="17" s="1"/>
  <c r="AX182" i="17"/>
  <c r="AY182" i="17"/>
  <c r="AZ182" i="17" s="1"/>
  <c r="BB182" i="17" s="1"/>
  <c r="BX182" i="17"/>
  <c r="BV182" i="17" s="1"/>
  <c r="CB182" i="17"/>
  <c r="CC182" i="17"/>
  <c r="CD182" i="17" s="1"/>
  <c r="CJ182" i="17"/>
  <c r="CH182" i="17" s="1"/>
  <c r="CL182" i="17"/>
  <c r="CM182" i="17"/>
  <c r="CN182" i="17"/>
  <c r="CO182" i="17" s="1"/>
  <c r="DK182" i="17"/>
  <c r="O183" i="17"/>
  <c r="T183" i="17"/>
  <c r="V183" i="17"/>
  <c r="W183" i="17"/>
  <c r="X183" i="17" s="1"/>
  <c r="AV183" i="17"/>
  <c r="AT183" i="17" s="1"/>
  <c r="AX183" i="17"/>
  <c r="AY183" i="17"/>
  <c r="AZ183" i="17" s="1"/>
  <c r="BX183" i="17"/>
  <c r="BV183" i="17" s="1"/>
  <c r="CB183" i="17"/>
  <c r="CC183" i="17"/>
  <c r="CJ183" i="17"/>
  <c r="CH183" i="17" s="1"/>
  <c r="CL183" i="17"/>
  <c r="CM183" i="17"/>
  <c r="CN183" i="17"/>
  <c r="DK183" i="17"/>
  <c r="O184" i="17"/>
  <c r="T184" i="17"/>
  <c r="R184" i="17" s="1"/>
  <c r="V184" i="17"/>
  <c r="W184" i="17"/>
  <c r="X184" i="17" s="1"/>
  <c r="AV184" i="17"/>
  <c r="AT184" i="17" s="1"/>
  <c r="AX184" i="17"/>
  <c r="AY184" i="17"/>
  <c r="AZ184" i="17" s="1"/>
  <c r="BB184" i="17" s="1"/>
  <c r="BX184" i="17"/>
  <c r="BV184" i="17" s="1"/>
  <c r="CB184" i="17"/>
  <c r="CC184" i="17"/>
  <c r="CF184" i="17"/>
  <c r="CJ184" i="17"/>
  <c r="CH184" i="17" s="1"/>
  <c r="CL184" i="17"/>
  <c r="CM184" i="17"/>
  <c r="CN184" i="17"/>
  <c r="CO184" i="17" s="1"/>
  <c r="DK184" i="17"/>
  <c r="O185" i="17"/>
  <c r="T185" i="17"/>
  <c r="R185" i="17" s="1"/>
  <c r="V185" i="17"/>
  <c r="W185" i="17"/>
  <c r="X185" i="17" s="1"/>
  <c r="AV185" i="17"/>
  <c r="AX185" i="17"/>
  <c r="AY185" i="17"/>
  <c r="AZ185" i="17" s="1"/>
  <c r="BB185" i="17" s="1"/>
  <c r="BX185" i="17"/>
  <c r="BV185" i="17" s="1"/>
  <c r="CB185" i="17"/>
  <c r="CC185" i="17"/>
  <c r="CD185" i="17" s="1"/>
  <c r="CJ185" i="17"/>
  <c r="CH185" i="17" s="1"/>
  <c r="CL185" i="17"/>
  <c r="CM185" i="17"/>
  <c r="CN185" i="17"/>
  <c r="CO185" i="17" s="1"/>
  <c r="DK185" i="17"/>
  <c r="O186" i="17"/>
  <c r="T186" i="17"/>
  <c r="R186" i="17" s="1"/>
  <c r="V186" i="17"/>
  <c r="W186" i="17"/>
  <c r="X186" i="17" s="1"/>
  <c r="AV186" i="17"/>
  <c r="AT186" i="17" s="1"/>
  <c r="AX186" i="17"/>
  <c r="AY186" i="17"/>
  <c r="AZ186" i="17" s="1"/>
  <c r="BB186" i="17" s="1"/>
  <c r="BX186" i="17"/>
  <c r="BV186" i="17" s="1"/>
  <c r="CB186" i="17"/>
  <c r="CC186" i="17"/>
  <c r="CD186" i="17" s="1"/>
  <c r="CF186" i="17" s="1"/>
  <c r="CJ186" i="17"/>
  <c r="CH186" i="17" s="1"/>
  <c r="CL186" i="17"/>
  <c r="CM186" i="17"/>
  <c r="CN186" i="17"/>
  <c r="CO186" i="17" s="1"/>
  <c r="DK186" i="17"/>
  <c r="O187" i="17"/>
  <c r="T187" i="17"/>
  <c r="R187" i="17" s="1"/>
  <c r="V187" i="17"/>
  <c r="W187" i="17"/>
  <c r="X187" i="17" s="1"/>
  <c r="AV187" i="17"/>
  <c r="AT187" i="17" s="1"/>
  <c r="AX187" i="17"/>
  <c r="AY187" i="17"/>
  <c r="AZ187" i="17" s="1"/>
  <c r="BX187" i="17"/>
  <c r="BV187" i="17" s="1"/>
  <c r="CB187" i="17"/>
  <c r="CC187" i="17"/>
  <c r="CF187" i="17"/>
  <c r="CJ187" i="17"/>
  <c r="CH187" i="17" s="1"/>
  <c r="CL187" i="17"/>
  <c r="CM187" i="17"/>
  <c r="CN187" i="17"/>
  <c r="CO187" i="17" s="1"/>
  <c r="DK187" i="17"/>
  <c r="O188" i="17"/>
  <c r="T188" i="17"/>
  <c r="R188" i="17" s="1"/>
  <c r="V188" i="17"/>
  <c r="W188" i="17"/>
  <c r="X188" i="17" s="1"/>
  <c r="AV188" i="17"/>
  <c r="AX188" i="17"/>
  <c r="AY188" i="17"/>
  <c r="AZ188" i="17" s="1"/>
  <c r="BX188" i="17"/>
  <c r="BV188" i="17" s="1"/>
  <c r="CB188" i="17"/>
  <c r="CC188" i="17"/>
  <c r="CD188" i="17" s="1"/>
  <c r="CF188" i="17"/>
  <c r="CJ188" i="17"/>
  <c r="CH188" i="17" s="1"/>
  <c r="CL188" i="17"/>
  <c r="CM188" i="17"/>
  <c r="CN188" i="17"/>
  <c r="CO188" i="17" s="1"/>
  <c r="DK188" i="17"/>
  <c r="O189" i="17"/>
  <c r="T189" i="17"/>
  <c r="R189" i="17" s="1"/>
  <c r="V189" i="17"/>
  <c r="W189" i="17"/>
  <c r="X189" i="17" s="1"/>
  <c r="AV189" i="17"/>
  <c r="AT189" i="17" s="1"/>
  <c r="AX189" i="17"/>
  <c r="AY189" i="17"/>
  <c r="AZ189" i="17" s="1"/>
  <c r="BB189" i="17"/>
  <c r="BX189" i="17"/>
  <c r="BV189" i="17" s="1"/>
  <c r="CB189" i="17"/>
  <c r="CC189" i="17"/>
  <c r="CD189" i="17" s="1"/>
  <c r="CF189" i="17" s="1"/>
  <c r="CJ189" i="17"/>
  <c r="CH189" i="17" s="1"/>
  <c r="CL189" i="17"/>
  <c r="CM189" i="17"/>
  <c r="CN189" i="17"/>
  <c r="CO189" i="17" s="1"/>
  <c r="DK189" i="17"/>
  <c r="O190" i="17"/>
  <c r="T190" i="17"/>
  <c r="R190" i="17" s="1"/>
  <c r="V190" i="17"/>
  <c r="W190" i="17"/>
  <c r="X190" i="17" s="1"/>
  <c r="Z190" i="17" s="1"/>
  <c r="AV190" i="17"/>
  <c r="AX190" i="17"/>
  <c r="AY190" i="17"/>
  <c r="AZ190" i="17" s="1"/>
  <c r="BB190" i="17"/>
  <c r="BX190" i="17"/>
  <c r="BV190" i="17" s="1"/>
  <c r="CB190" i="17"/>
  <c r="CC190" i="17"/>
  <c r="CJ190" i="17"/>
  <c r="CH190" i="17" s="1"/>
  <c r="CL190" i="17"/>
  <c r="CM190" i="17"/>
  <c r="CN190" i="17"/>
  <c r="CO190" i="17" s="1"/>
  <c r="DK190" i="17"/>
  <c r="O191" i="17"/>
  <c r="T191" i="17"/>
  <c r="V191" i="17"/>
  <c r="W191" i="17"/>
  <c r="X191" i="17" s="1"/>
  <c r="AV191" i="17"/>
  <c r="AT191" i="17" s="1"/>
  <c r="AX191" i="17"/>
  <c r="AY191" i="17"/>
  <c r="AZ191" i="17" s="1"/>
  <c r="BX191" i="17"/>
  <c r="BV191" i="17" s="1"/>
  <c r="CB191" i="17"/>
  <c r="CC191" i="17"/>
  <c r="CD191" i="17" s="1"/>
  <c r="CJ191" i="17"/>
  <c r="CH191" i="17" s="1"/>
  <c r="CL191" i="17"/>
  <c r="CM191" i="17"/>
  <c r="CN191" i="17"/>
  <c r="DK191" i="17"/>
  <c r="O192" i="17"/>
  <c r="T192" i="17"/>
  <c r="R192" i="17" s="1"/>
  <c r="V192" i="17"/>
  <c r="W192" i="17"/>
  <c r="X192" i="17" s="1"/>
  <c r="Z192" i="17"/>
  <c r="AV192" i="17"/>
  <c r="AT192" i="17" s="1"/>
  <c r="AX192" i="17"/>
  <c r="AY192" i="17"/>
  <c r="AZ192" i="17" s="1"/>
  <c r="BB192" i="17"/>
  <c r="BX192" i="17"/>
  <c r="CB192" i="17"/>
  <c r="CC192" i="17"/>
  <c r="CD192" i="17" s="1"/>
  <c r="CJ192" i="17"/>
  <c r="CH192" i="17" s="1"/>
  <c r="CL192" i="17"/>
  <c r="CM192" i="17"/>
  <c r="CN192" i="17"/>
  <c r="CO192" i="17" s="1"/>
  <c r="DK192" i="17"/>
  <c r="O193" i="17"/>
  <c r="T193" i="17"/>
  <c r="V193" i="17"/>
  <c r="W193" i="17"/>
  <c r="X193" i="17" s="1"/>
  <c r="AV193" i="17"/>
  <c r="AT193" i="17" s="1"/>
  <c r="AX193" i="17"/>
  <c r="AY193" i="17"/>
  <c r="AZ193" i="17" s="1"/>
  <c r="BX193" i="17"/>
  <c r="BV193" i="17" s="1"/>
  <c r="CB193" i="17"/>
  <c r="CC193" i="17"/>
  <c r="CJ193" i="17"/>
  <c r="CH193" i="17" s="1"/>
  <c r="CL193" i="17"/>
  <c r="CM193" i="17"/>
  <c r="CN193" i="17"/>
  <c r="DK193" i="17"/>
  <c r="O194" i="17"/>
  <c r="T194" i="17"/>
  <c r="R194" i="17" s="1"/>
  <c r="V194" i="17"/>
  <c r="W194" i="17"/>
  <c r="X194" i="17" s="1"/>
  <c r="Z194" i="17"/>
  <c r="AV194" i="17"/>
  <c r="AT194" i="17" s="1"/>
  <c r="AX194" i="17"/>
  <c r="AY194" i="17"/>
  <c r="AZ194" i="17" s="1"/>
  <c r="BX194" i="17"/>
  <c r="BV194" i="17" s="1"/>
  <c r="CB194" i="17"/>
  <c r="CC194" i="17"/>
  <c r="CD194" i="17" s="1"/>
  <c r="CF194" i="17"/>
  <c r="CJ194" i="17"/>
  <c r="CH194" i="17" s="1"/>
  <c r="CL194" i="17"/>
  <c r="CM194" i="17"/>
  <c r="CN194" i="17"/>
  <c r="CO194" i="17" s="1"/>
  <c r="DK194" i="17"/>
  <c r="O195" i="17"/>
  <c r="T195" i="17"/>
  <c r="V195" i="17"/>
  <c r="W195" i="17"/>
  <c r="X195" i="17" s="1"/>
  <c r="AV195" i="17"/>
  <c r="AT195" i="17" s="1"/>
  <c r="AX195" i="17"/>
  <c r="AY195" i="17"/>
  <c r="AZ195" i="17" s="1"/>
  <c r="BB195" i="17"/>
  <c r="BX195" i="17"/>
  <c r="BV195" i="17" s="1"/>
  <c r="CB195" i="17"/>
  <c r="CC195" i="17"/>
  <c r="CF195" i="17"/>
  <c r="CJ195" i="17"/>
  <c r="CH195" i="17" s="1"/>
  <c r="CL195" i="17"/>
  <c r="CM195" i="17"/>
  <c r="CN195" i="17"/>
  <c r="DK195" i="17"/>
  <c r="O196" i="17"/>
  <c r="T196" i="17"/>
  <c r="V196" i="17"/>
  <c r="W196" i="17"/>
  <c r="X196" i="17" s="1"/>
  <c r="Z196" i="17" s="1"/>
  <c r="AV196" i="17"/>
  <c r="AT196" i="17" s="1"/>
  <c r="AX196" i="17"/>
  <c r="AY196" i="17"/>
  <c r="AZ196" i="17" s="1"/>
  <c r="BX196" i="17"/>
  <c r="BV196" i="17" s="1"/>
  <c r="CB196" i="17"/>
  <c r="CC196" i="17"/>
  <c r="CJ196" i="17"/>
  <c r="CH196" i="17" s="1"/>
  <c r="CL196" i="17"/>
  <c r="CM196" i="17"/>
  <c r="CN196" i="17"/>
  <c r="DK196" i="17"/>
  <c r="O197" i="17"/>
  <c r="T197" i="17"/>
  <c r="R197" i="17" s="1"/>
  <c r="V197" i="17"/>
  <c r="W197" i="17"/>
  <c r="X197" i="17" s="1"/>
  <c r="AV197" i="17"/>
  <c r="AT197" i="17" s="1"/>
  <c r="AX197" i="17"/>
  <c r="AY197" i="17"/>
  <c r="AZ197" i="17" s="1"/>
  <c r="BX197" i="17"/>
  <c r="BV197" i="17" s="1"/>
  <c r="CB197" i="17"/>
  <c r="CC197" i="17"/>
  <c r="CD197" i="17" s="1"/>
  <c r="CJ197" i="17"/>
  <c r="CH197" i="17" s="1"/>
  <c r="CL197" i="17"/>
  <c r="CM197" i="17"/>
  <c r="CN197" i="17"/>
  <c r="CO197" i="17" s="1"/>
  <c r="DK197" i="17"/>
  <c r="O198" i="17"/>
  <c r="T198" i="17"/>
  <c r="R198" i="17" s="1"/>
  <c r="V198" i="17"/>
  <c r="W198" i="17"/>
  <c r="X198" i="17" s="1"/>
  <c r="AV198" i="17"/>
  <c r="AT198" i="17" s="1"/>
  <c r="AX198" i="17"/>
  <c r="AY198" i="17"/>
  <c r="AZ198" i="17" s="1"/>
  <c r="BB198" i="17" s="1"/>
  <c r="BX198" i="17"/>
  <c r="CB198" i="17"/>
  <c r="CC198" i="17"/>
  <c r="CD198" i="17" s="1"/>
  <c r="CF198" i="17" s="1"/>
  <c r="CJ198" i="17"/>
  <c r="CH198" i="17" s="1"/>
  <c r="CL198" i="17"/>
  <c r="CM198" i="17"/>
  <c r="CN198" i="17"/>
  <c r="CO198" i="17" s="1"/>
  <c r="DK198" i="17"/>
  <c r="O199" i="17"/>
  <c r="T199" i="17"/>
  <c r="V199" i="17"/>
  <c r="W199" i="17"/>
  <c r="X199" i="17" s="1"/>
  <c r="AV199" i="17"/>
  <c r="AT199" i="17" s="1"/>
  <c r="AX199" i="17"/>
  <c r="AY199" i="17"/>
  <c r="AZ199" i="17" s="1"/>
  <c r="BB199" i="17"/>
  <c r="BX199" i="17"/>
  <c r="BV199" i="17" s="1"/>
  <c r="CB199" i="17"/>
  <c r="CC199" i="17"/>
  <c r="CD199" i="17" s="1"/>
  <c r="CF199" i="17" s="1"/>
  <c r="CJ199" i="17"/>
  <c r="CH199" i="17" s="1"/>
  <c r="CL199" i="17"/>
  <c r="CM199" i="17"/>
  <c r="CN199" i="17"/>
  <c r="CO199" i="17" s="1"/>
  <c r="DK199" i="17"/>
  <c r="O200" i="17"/>
  <c r="T200" i="17"/>
  <c r="V200" i="17"/>
  <c r="W200" i="17"/>
  <c r="X200" i="17" s="1"/>
  <c r="Z200" i="17"/>
  <c r="AV200" i="17"/>
  <c r="AT200" i="17" s="1"/>
  <c r="AX200" i="17"/>
  <c r="AY200" i="17"/>
  <c r="AZ200" i="17" s="1"/>
  <c r="BB200" i="17"/>
  <c r="BX200" i="17"/>
  <c r="BV200" i="17" s="1"/>
  <c r="CB200" i="17"/>
  <c r="CC200" i="17"/>
  <c r="CJ200" i="17"/>
  <c r="CH200" i="17" s="1"/>
  <c r="CL200" i="17"/>
  <c r="CM200" i="17"/>
  <c r="CN200" i="17"/>
  <c r="CO200" i="17" s="1"/>
  <c r="DK200" i="17"/>
  <c r="O201" i="17"/>
  <c r="T201" i="17"/>
  <c r="V201" i="17"/>
  <c r="W201" i="17"/>
  <c r="X201" i="17" s="1"/>
  <c r="AV201" i="17"/>
  <c r="AT201" i="17" s="1"/>
  <c r="AX201" i="17"/>
  <c r="AY201" i="17"/>
  <c r="AZ201" i="17" s="1"/>
  <c r="BB201" i="17"/>
  <c r="BX201" i="17"/>
  <c r="BV201" i="17" s="1"/>
  <c r="CB201" i="17"/>
  <c r="CC201" i="17"/>
  <c r="CD201" i="17" s="1"/>
  <c r="CJ201" i="17"/>
  <c r="CH201" i="17" s="1"/>
  <c r="CL201" i="17"/>
  <c r="CM201" i="17"/>
  <c r="CN201" i="17"/>
  <c r="DK201" i="17"/>
  <c r="O202" i="17"/>
  <c r="T202" i="17"/>
  <c r="V202" i="17"/>
  <c r="W202" i="17"/>
  <c r="X202" i="17" s="1"/>
  <c r="AV202" i="17"/>
  <c r="AT202" i="17" s="1"/>
  <c r="AX202" i="17"/>
  <c r="AY202" i="17"/>
  <c r="AZ202" i="17" s="1"/>
  <c r="BB202" i="17"/>
  <c r="BX202" i="17"/>
  <c r="BV202" i="17" s="1"/>
  <c r="CB202" i="17"/>
  <c r="CC202" i="17"/>
  <c r="CJ202" i="17"/>
  <c r="CH202" i="17" s="1"/>
  <c r="CL202" i="17"/>
  <c r="CM202" i="17"/>
  <c r="CN202" i="17"/>
  <c r="DK202" i="17"/>
  <c r="O203" i="17"/>
  <c r="T203" i="17"/>
  <c r="V203" i="17"/>
  <c r="W203" i="17"/>
  <c r="X203" i="17" s="1"/>
  <c r="Z203" i="17"/>
  <c r="AV203" i="17"/>
  <c r="AT203" i="17" s="1"/>
  <c r="AX203" i="17"/>
  <c r="AY203" i="17"/>
  <c r="AZ203" i="17" s="1"/>
  <c r="BX203" i="17"/>
  <c r="BV203" i="17" s="1"/>
  <c r="CB203" i="17"/>
  <c r="CC203" i="17"/>
  <c r="CJ203" i="17"/>
  <c r="CH203" i="17" s="1"/>
  <c r="CL203" i="17"/>
  <c r="CM203" i="17"/>
  <c r="CN203" i="17"/>
  <c r="DK203" i="17"/>
  <c r="O204" i="17"/>
  <c r="T204" i="17"/>
  <c r="V204" i="17"/>
  <c r="W204" i="17"/>
  <c r="X204" i="17" s="1"/>
  <c r="AV204" i="17"/>
  <c r="AT204" i="17" s="1"/>
  <c r="AX204" i="17"/>
  <c r="AY204" i="17"/>
  <c r="AZ204" i="17" s="1"/>
  <c r="BX204" i="17"/>
  <c r="BV204" i="17" s="1"/>
  <c r="CB204" i="17"/>
  <c r="CC204" i="17"/>
  <c r="CJ204" i="17"/>
  <c r="CH204" i="17" s="1"/>
  <c r="CL204" i="17"/>
  <c r="CM204" i="17"/>
  <c r="CN204" i="17"/>
  <c r="DK204" i="17"/>
  <c r="O205" i="17"/>
  <c r="T205" i="17"/>
  <c r="R205" i="17" s="1"/>
  <c r="V205" i="17"/>
  <c r="W205" i="17"/>
  <c r="X205" i="17" s="1"/>
  <c r="AV205" i="17"/>
  <c r="AT205" i="17" s="1"/>
  <c r="AX205" i="17"/>
  <c r="AY205" i="17"/>
  <c r="AZ205" i="17" s="1"/>
  <c r="BB205" i="17"/>
  <c r="BX205" i="17"/>
  <c r="BV205" i="17" s="1"/>
  <c r="CB205" i="17"/>
  <c r="CC205" i="17"/>
  <c r="CD205" i="17" s="1"/>
  <c r="CF205" i="17"/>
  <c r="CJ205" i="17"/>
  <c r="CL205" i="17"/>
  <c r="CM205" i="17"/>
  <c r="CN205" i="17"/>
  <c r="CO205" i="17" s="1"/>
  <c r="DK205" i="17"/>
  <c r="O206" i="17"/>
  <c r="T206" i="17"/>
  <c r="R206" i="17" s="1"/>
  <c r="V206" i="17"/>
  <c r="W206" i="17"/>
  <c r="X206" i="17" s="1"/>
  <c r="Z206" i="17"/>
  <c r="AV206" i="17"/>
  <c r="AT206" i="17" s="1"/>
  <c r="AX206" i="17"/>
  <c r="AY206" i="17"/>
  <c r="AZ206" i="17" s="1"/>
  <c r="BB206" i="17"/>
  <c r="BX206" i="17"/>
  <c r="BV206" i="17" s="1"/>
  <c r="CB206" i="17"/>
  <c r="CC206" i="17"/>
  <c r="CD206" i="17" s="1"/>
  <c r="CF206" i="17"/>
  <c r="CJ206" i="17"/>
  <c r="CH206" i="17" s="1"/>
  <c r="CL206" i="17"/>
  <c r="CM206" i="17"/>
  <c r="CN206" i="17"/>
  <c r="CO206" i="17" s="1"/>
  <c r="DK206" i="17"/>
  <c r="O207" i="17"/>
  <c r="T207" i="17"/>
  <c r="R207" i="17" s="1"/>
  <c r="V207" i="17"/>
  <c r="W207" i="17"/>
  <c r="X207" i="17" s="1"/>
  <c r="Z207" i="17"/>
  <c r="AV207" i="17"/>
  <c r="AT207" i="17" s="1"/>
  <c r="AX207" i="17"/>
  <c r="AY207" i="17"/>
  <c r="AZ207" i="17" s="1"/>
  <c r="BB207" i="17"/>
  <c r="BX207" i="17"/>
  <c r="BV207" i="17" s="1"/>
  <c r="CB207" i="17"/>
  <c r="CC207" i="17"/>
  <c r="CD207" i="17" s="1"/>
  <c r="CJ207" i="17"/>
  <c r="CH207" i="17" s="1"/>
  <c r="CL207" i="17"/>
  <c r="CM207" i="17"/>
  <c r="CN207" i="17"/>
  <c r="CO207" i="17" s="1"/>
  <c r="DK207" i="17"/>
  <c r="O208" i="17"/>
  <c r="T208" i="17"/>
  <c r="R208" i="17" s="1"/>
  <c r="V208" i="17"/>
  <c r="W208" i="17"/>
  <c r="X208" i="17" s="1"/>
  <c r="AV208" i="17"/>
  <c r="AX208" i="17"/>
  <c r="AY208" i="17"/>
  <c r="AZ208" i="17" s="1"/>
  <c r="BX208" i="17"/>
  <c r="BV208" i="17" s="1"/>
  <c r="CB208" i="17"/>
  <c r="CC208" i="17"/>
  <c r="CJ208" i="17"/>
  <c r="CH208" i="17" s="1"/>
  <c r="CL208" i="17"/>
  <c r="CM208" i="17"/>
  <c r="CN208" i="17"/>
  <c r="CO208" i="17" s="1"/>
  <c r="DK208" i="17"/>
  <c r="O209" i="17"/>
  <c r="T209" i="17"/>
  <c r="V209" i="17"/>
  <c r="W209" i="17"/>
  <c r="X209" i="17" s="1"/>
  <c r="Z209" i="17"/>
  <c r="AV209" i="17"/>
  <c r="AT209" i="17" s="1"/>
  <c r="AX209" i="17"/>
  <c r="AY209" i="17"/>
  <c r="AZ209" i="17" s="1"/>
  <c r="BB209" i="17" s="1"/>
  <c r="BX209" i="17"/>
  <c r="BV209" i="17" s="1"/>
  <c r="CB209" i="17"/>
  <c r="CC209" i="17"/>
  <c r="CJ209" i="17"/>
  <c r="CH209" i="17" s="1"/>
  <c r="CL209" i="17"/>
  <c r="CM209" i="17"/>
  <c r="CN209" i="17"/>
  <c r="DK209" i="17"/>
  <c r="O210" i="17"/>
  <c r="T210" i="17"/>
  <c r="V210" i="17"/>
  <c r="W210" i="17"/>
  <c r="X210" i="17" s="1"/>
  <c r="AV210" i="17"/>
  <c r="AT210" i="17" s="1"/>
  <c r="AX210" i="17"/>
  <c r="AY210" i="17"/>
  <c r="AZ210" i="17" s="1"/>
  <c r="BX210" i="17"/>
  <c r="BV210" i="17" s="1"/>
  <c r="CB210" i="17"/>
  <c r="CC210" i="17"/>
  <c r="CJ210" i="17"/>
  <c r="CH210" i="17" s="1"/>
  <c r="CL210" i="17"/>
  <c r="CM210" i="17"/>
  <c r="CN210" i="17"/>
  <c r="DK210" i="17"/>
  <c r="O211" i="17"/>
  <c r="T211" i="17"/>
  <c r="R211" i="17" s="1"/>
  <c r="V211" i="17"/>
  <c r="W211" i="17"/>
  <c r="X211" i="17" s="1"/>
  <c r="AV211" i="17"/>
  <c r="AT211" i="17" s="1"/>
  <c r="AX211" i="17"/>
  <c r="AY211" i="17"/>
  <c r="AZ211" i="17" s="1"/>
  <c r="BX211" i="17"/>
  <c r="BV211" i="17" s="1"/>
  <c r="CB211" i="17"/>
  <c r="CC211" i="17"/>
  <c r="CJ211" i="17"/>
  <c r="CH211" i="17" s="1"/>
  <c r="CL211" i="17"/>
  <c r="CM211" i="17"/>
  <c r="CN211" i="17"/>
  <c r="DK211" i="17"/>
  <c r="O212" i="17"/>
  <c r="T212" i="17"/>
  <c r="V212" i="17"/>
  <c r="W212" i="17"/>
  <c r="X212" i="17" s="1"/>
  <c r="Z212" i="17" s="1"/>
  <c r="AV212" i="17"/>
  <c r="AT212" i="17" s="1"/>
  <c r="AX212" i="17"/>
  <c r="AY212" i="17"/>
  <c r="AZ212" i="17" s="1"/>
  <c r="BX212" i="17"/>
  <c r="BV212" i="17" s="1"/>
  <c r="CB212" i="17"/>
  <c r="CC212" i="17"/>
  <c r="CJ212" i="17"/>
  <c r="CH212" i="17" s="1"/>
  <c r="CL212" i="17"/>
  <c r="CM212" i="17"/>
  <c r="CN212" i="17"/>
  <c r="CO212" i="17" s="1"/>
  <c r="DK212" i="17"/>
  <c r="O213" i="17"/>
  <c r="T213" i="17"/>
  <c r="R213" i="17" s="1"/>
  <c r="V213" i="17"/>
  <c r="W213" i="17"/>
  <c r="X213" i="17" s="1"/>
  <c r="AV213" i="17"/>
  <c r="AT213" i="17" s="1"/>
  <c r="AX213" i="17"/>
  <c r="AY213" i="17"/>
  <c r="AZ213" i="17" s="1"/>
  <c r="BB213" i="17" s="1"/>
  <c r="BX213" i="17"/>
  <c r="CB213" i="17"/>
  <c r="CC213" i="17"/>
  <c r="CD213" i="17" s="1"/>
  <c r="CF213" i="17"/>
  <c r="CJ213" i="17"/>
  <c r="CH213" i="17" s="1"/>
  <c r="CL213" i="17"/>
  <c r="CM213" i="17"/>
  <c r="CN213" i="17"/>
  <c r="CO213" i="17" s="1"/>
  <c r="DK213" i="17"/>
  <c r="O214" i="17"/>
  <c r="T214" i="17"/>
  <c r="R214" i="17" s="1"/>
  <c r="V214" i="17"/>
  <c r="W214" i="17"/>
  <c r="X214" i="17" s="1"/>
  <c r="Z214" i="17" s="1"/>
  <c r="AV214" i="17"/>
  <c r="AT214" i="17" s="1"/>
  <c r="AX214" i="17"/>
  <c r="AY214" i="17"/>
  <c r="AZ214" i="17" s="1"/>
  <c r="BB214" i="17" s="1"/>
  <c r="BX214" i="17"/>
  <c r="CB214" i="17"/>
  <c r="CC214" i="17"/>
  <c r="CD214" i="17" s="1"/>
  <c r="CF214" i="17"/>
  <c r="CJ214" i="17"/>
  <c r="CH214" i="17" s="1"/>
  <c r="CL214" i="17"/>
  <c r="CM214" i="17"/>
  <c r="CN214" i="17"/>
  <c r="CO214" i="17" s="1"/>
  <c r="DK214" i="17"/>
  <c r="O215" i="17"/>
  <c r="T215" i="17"/>
  <c r="R215" i="17" s="1"/>
  <c r="V215" i="17"/>
  <c r="W215" i="17"/>
  <c r="X215" i="17" s="1"/>
  <c r="Z215" i="17"/>
  <c r="AV215" i="17"/>
  <c r="AT215" i="17" s="1"/>
  <c r="AX215" i="17"/>
  <c r="AY215" i="17"/>
  <c r="AZ215" i="17" s="1"/>
  <c r="BB215" i="17"/>
  <c r="BX215" i="17"/>
  <c r="BV215" i="17" s="1"/>
  <c r="CB215" i="17"/>
  <c r="CC215" i="17"/>
  <c r="CD215" i="17" s="1"/>
  <c r="CF215" i="17"/>
  <c r="CJ215" i="17"/>
  <c r="CL215" i="17"/>
  <c r="CM215" i="17"/>
  <c r="CN215" i="17"/>
  <c r="CO215" i="17" s="1"/>
  <c r="DK215" i="17"/>
  <c r="O216" i="17"/>
  <c r="T216" i="17"/>
  <c r="R216" i="17" s="1"/>
  <c r="V216" i="17"/>
  <c r="W216" i="17"/>
  <c r="X216" i="17" s="1"/>
  <c r="Z216" i="17"/>
  <c r="AV216" i="17"/>
  <c r="AT216" i="17" s="1"/>
  <c r="AX216" i="17"/>
  <c r="AY216" i="17"/>
  <c r="AZ216" i="17" s="1"/>
  <c r="BB216" i="17" s="1"/>
  <c r="BX216" i="17"/>
  <c r="CB216" i="17"/>
  <c r="CC216" i="17"/>
  <c r="CD216" i="17" s="1"/>
  <c r="CJ216" i="17"/>
  <c r="CH216" i="17" s="1"/>
  <c r="CL216" i="17"/>
  <c r="CM216" i="17"/>
  <c r="CN216" i="17"/>
  <c r="CO216" i="17" s="1"/>
  <c r="DK216" i="17"/>
  <c r="O217" i="17"/>
  <c r="T217" i="17"/>
  <c r="V217" i="17"/>
  <c r="W217" i="17"/>
  <c r="X217" i="17" s="1"/>
  <c r="AV217" i="17"/>
  <c r="AT217" i="17" s="1"/>
  <c r="AX217" i="17"/>
  <c r="AY217" i="17"/>
  <c r="AZ217" i="17" s="1"/>
  <c r="BB217" i="17"/>
  <c r="BX217" i="17"/>
  <c r="BV217" i="17" s="1"/>
  <c r="CB217" i="17"/>
  <c r="CC217" i="17"/>
  <c r="CD217" i="17" s="1"/>
  <c r="CF217" i="17" s="1"/>
  <c r="CJ217" i="17"/>
  <c r="CH217" i="17" s="1"/>
  <c r="CL217" i="17"/>
  <c r="CM217" i="17"/>
  <c r="CN217" i="17"/>
  <c r="CO217" i="17" s="1"/>
  <c r="DK217" i="17"/>
  <c r="O218" i="17"/>
  <c r="T218" i="17"/>
  <c r="V218" i="17"/>
  <c r="W218" i="17"/>
  <c r="X218" i="17" s="1"/>
  <c r="Z218" i="17" s="1"/>
  <c r="AV218" i="17"/>
  <c r="AT218" i="17" s="1"/>
  <c r="AX218" i="17"/>
  <c r="AY218" i="17"/>
  <c r="AZ218" i="17" s="1"/>
  <c r="BB218" i="17"/>
  <c r="BX218" i="17"/>
  <c r="BV218" i="17" s="1"/>
  <c r="CB218" i="17"/>
  <c r="CC218" i="17"/>
  <c r="CD218" i="17" s="1"/>
  <c r="CJ218" i="17"/>
  <c r="CH218" i="17" s="1"/>
  <c r="CL218" i="17"/>
  <c r="CM218" i="17"/>
  <c r="CN218" i="17"/>
  <c r="DK218" i="17"/>
  <c r="O219" i="17"/>
  <c r="T219" i="17"/>
  <c r="R219" i="17" s="1"/>
  <c r="V219" i="17"/>
  <c r="W219" i="17"/>
  <c r="X219" i="17" s="1"/>
  <c r="Z219" i="17"/>
  <c r="AV219" i="17"/>
  <c r="AT219" i="17" s="1"/>
  <c r="AX219" i="17"/>
  <c r="AY219" i="17"/>
  <c r="AZ219" i="17" s="1"/>
  <c r="BB219" i="17"/>
  <c r="BX219" i="17"/>
  <c r="BV219" i="17" s="1"/>
  <c r="CB219" i="17"/>
  <c r="CC219" i="17"/>
  <c r="CD219" i="17" s="1"/>
  <c r="CJ219" i="17"/>
  <c r="CH219" i="17" s="1"/>
  <c r="CL219" i="17"/>
  <c r="CM219" i="17"/>
  <c r="CN219" i="17"/>
  <c r="DK219" i="17"/>
  <c r="O220" i="17"/>
  <c r="T220" i="17"/>
  <c r="R220" i="17" s="1"/>
  <c r="V220" i="17"/>
  <c r="W220" i="17"/>
  <c r="X220" i="17" s="1"/>
  <c r="Z220" i="17"/>
  <c r="AV220" i="17"/>
  <c r="AT220" i="17" s="1"/>
  <c r="AX220" i="17"/>
  <c r="AY220" i="17"/>
  <c r="AZ220" i="17" s="1"/>
  <c r="BB220" i="17"/>
  <c r="BX220" i="17"/>
  <c r="BV220" i="17" s="1"/>
  <c r="CB220" i="17"/>
  <c r="CC220" i="17"/>
  <c r="CF220" i="17"/>
  <c r="CJ220" i="17"/>
  <c r="CH220" i="17" s="1"/>
  <c r="CL220" i="17"/>
  <c r="CM220" i="17"/>
  <c r="CN220" i="17"/>
  <c r="CO220" i="17" s="1"/>
  <c r="DK220" i="17"/>
  <c r="O221" i="17"/>
  <c r="T221" i="17"/>
  <c r="R221" i="17" s="1"/>
  <c r="V221" i="17"/>
  <c r="W221" i="17"/>
  <c r="X221" i="17" s="1"/>
  <c r="Z221" i="17" s="1"/>
  <c r="AV221" i="17"/>
  <c r="AX221" i="17"/>
  <c r="AY221" i="17"/>
  <c r="AZ221" i="17" s="1"/>
  <c r="BB221" i="17"/>
  <c r="BX221" i="17"/>
  <c r="BV221" i="17" s="1"/>
  <c r="CB221" i="17"/>
  <c r="CC221" i="17"/>
  <c r="CD221" i="17" s="1"/>
  <c r="CF221" i="17" s="1"/>
  <c r="CJ221" i="17"/>
  <c r="CH221" i="17" s="1"/>
  <c r="CL221" i="17"/>
  <c r="CM221" i="17"/>
  <c r="CN221" i="17"/>
  <c r="DK221" i="17"/>
  <c r="O222" i="17"/>
  <c r="T222" i="17"/>
  <c r="V222" i="17"/>
  <c r="W222" i="17"/>
  <c r="X222" i="17" s="1"/>
  <c r="AV222" i="17"/>
  <c r="AT222" i="17" s="1"/>
  <c r="AX222" i="17"/>
  <c r="AY222" i="17"/>
  <c r="AZ222" i="17" s="1"/>
  <c r="BX222" i="17"/>
  <c r="BV222" i="17" s="1"/>
  <c r="CB222" i="17"/>
  <c r="CC222" i="17"/>
  <c r="CJ222" i="17"/>
  <c r="CH222" i="17" s="1"/>
  <c r="CL222" i="17"/>
  <c r="CM222" i="17"/>
  <c r="CN222" i="17"/>
  <c r="DK222" i="17"/>
  <c r="O223" i="17"/>
  <c r="T223" i="17"/>
  <c r="V223" i="17"/>
  <c r="W223" i="17"/>
  <c r="X223" i="17" s="1"/>
  <c r="AV223" i="17"/>
  <c r="AT223" i="17" s="1"/>
  <c r="AX223" i="17"/>
  <c r="AY223" i="17"/>
  <c r="AZ223" i="17" s="1"/>
  <c r="BB223" i="17"/>
  <c r="BX223" i="17"/>
  <c r="BV223" i="17" s="1"/>
  <c r="CB223" i="17"/>
  <c r="CC223" i="17"/>
  <c r="CJ223" i="17"/>
  <c r="CH223" i="17" s="1"/>
  <c r="CL223" i="17"/>
  <c r="CM223" i="17"/>
  <c r="CN223" i="17"/>
  <c r="DK223" i="17"/>
  <c r="O224" i="17"/>
  <c r="T224" i="17"/>
  <c r="R224" i="17" s="1"/>
  <c r="V224" i="17"/>
  <c r="W224" i="17"/>
  <c r="X224" i="17" s="1"/>
  <c r="AV224" i="17"/>
  <c r="AT224" i="17" s="1"/>
  <c r="AX224" i="17"/>
  <c r="AY224" i="17"/>
  <c r="AZ224" i="17" s="1"/>
  <c r="BX224" i="17"/>
  <c r="BV224" i="17" s="1"/>
  <c r="CB224" i="17"/>
  <c r="CC224" i="17"/>
  <c r="CJ224" i="17"/>
  <c r="CH224" i="17" s="1"/>
  <c r="CL224" i="17"/>
  <c r="CM224" i="17"/>
  <c r="CN224" i="17"/>
  <c r="DK224" i="17"/>
  <c r="O225" i="17"/>
  <c r="T225" i="17"/>
  <c r="R225" i="17" s="1"/>
  <c r="V225" i="17"/>
  <c r="W225" i="17"/>
  <c r="X225" i="17" s="1"/>
  <c r="Z225" i="17"/>
  <c r="AV225" i="17"/>
  <c r="AT225" i="17" s="1"/>
  <c r="AX225" i="17"/>
  <c r="AY225" i="17"/>
  <c r="AZ225" i="17" s="1"/>
  <c r="BX225" i="17"/>
  <c r="BV225" i="17" s="1"/>
  <c r="CB225" i="17"/>
  <c r="CC225" i="17"/>
  <c r="CD225" i="17" s="1"/>
  <c r="CF225" i="17"/>
  <c r="CJ225" i="17"/>
  <c r="CH225" i="17" s="1"/>
  <c r="CL225" i="17"/>
  <c r="CM225" i="17"/>
  <c r="CN225" i="17"/>
  <c r="CO225" i="17" s="1"/>
  <c r="DK225" i="17"/>
  <c r="O226" i="17"/>
  <c r="T226" i="17"/>
  <c r="R226" i="17" s="1"/>
  <c r="V226" i="17"/>
  <c r="W226" i="17"/>
  <c r="X226" i="17" s="1"/>
  <c r="Z226" i="17"/>
  <c r="AV226" i="17"/>
  <c r="AT226" i="17" s="1"/>
  <c r="AX226" i="17"/>
  <c r="AY226" i="17"/>
  <c r="AZ226" i="17" s="1"/>
  <c r="BB226" i="17" s="1"/>
  <c r="BX226" i="17"/>
  <c r="CB226" i="17"/>
  <c r="CC226" i="17"/>
  <c r="CD226" i="17" s="1"/>
  <c r="CF226" i="17"/>
  <c r="CJ226" i="17"/>
  <c r="CH226" i="17" s="1"/>
  <c r="CL226" i="17"/>
  <c r="CM226" i="17"/>
  <c r="CN226" i="17"/>
  <c r="CO226" i="17" s="1"/>
  <c r="DK226" i="17"/>
  <c r="O227" i="17"/>
  <c r="T227" i="17"/>
  <c r="R227" i="17" s="1"/>
  <c r="V227" i="17"/>
  <c r="W227" i="17"/>
  <c r="X227" i="17" s="1"/>
  <c r="AV227" i="17"/>
  <c r="AX227" i="17"/>
  <c r="AY227" i="17"/>
  <c r="AZ227" i="17" s="1"/>
  <c r="BB227" i="17" s="1"/>
  <c r="BX227" i="17"/>
  <c r="BV227" i="17" s="1"/>
  <c r="CB227" i="17"/>
  <c r="CC227" i="17"/>
  <c r="CD227" i="17" s="1"/>
  <c r="CF227" i="17" s="1"/>
  <c r="CJ227" i="17"/>
  <c r="CH227" i="17" s="1"/>
  <c r="CL227" i="17"/>
  <c r="CM227" i="17"/>
  <c r="CN227" i="17"/>
  <c r="CO227" i="17" s="1"/>
  <c r="DK227" i="17"/>
  <c r="O228" i="17"/>
  <c r="T228" i="17"/>
  <c r="V228" i="17"/>
  <c r="W228" i="17"/>
  <c r="X228" i="17" s="1"/>
  <c r="Z228" i="17" s="1"/>
  <c r="AV228" i="17"/>
  <c r="AT228" i="17" s="1"/>
  <c r="AX228" i="17"/>
  <c r="AY228" i="17"/>
  <c r="AZ228" i="17" s="1"/>
  <c r="BB228" i="17" s="1"/>
  <c r="BX228" i="17"/>
  <c r="BV228" i="17" s="1"/>
  <c r="CB228" i="17"/>
  <c r="CC228" i="17"/>
  <c r="CD228" i="17" s="1"/>
  <c r="CF228" i="17" s="1"/>
  <c r="CJ228" i="17"/>
  <c r="CH228" i="17" s="1"/>
  <c r="CL228" i="17"/>
  <c r="CM228" i="17"/>
  <c r="CN228" i="17"/>
  <c r="DK228" i="17"/>
  <c r="O229" i="17"/>
  <c r="T229" i="17"/>
  <c r="V229" i="17"/>
  <c r="W229" i="17"/>
  <c r="X229" i="17" s="1"/>
  <c r="AV229" i="17"/>
  <c r="AT229" i="17" s="1"/>
  <c r="AX229" i="17"/>
  <c r="AY229" i="17"/>
  <c r="AZ229" i="17" s="1"/>
  <c r="BX229" i="17"/>
  <c r="BV229" i="17" s="1"/>
  <c r="CB229" i="17"/>
  <c r="CC229" i="17"/>
  <c r="CD229" i="17" s="1"/>
  <c r="CJ229" i="17"/>
  <c r="CH229" i="17" s="1"/>
  <c r="CL229" i="17"/>
  <c r="CM229" i="17"/>
  <c r="CN229" i="17"/>
  <c r="DK229" i="17"/>
  <c r="O230" i="17"/>
  <c r="T230" i="17"/>
  <c r="R230" i="17" s="1"/>
  <c r="V230" i="17"/>
  <c r="W230" i="17"/>
  <c r="X230" i="17" s="1"/>
  <c r="AV230" i="17"/>
  <c r="AT230" i="17" s="1"/>
  <c r="AX230" i="17"/>
  <c r="AY230" i="17"/>
  <c r="AZ230" i="17" s="1"/>
  <c r="BX230" i="17"/>
  <c r="BV230" i="17" s="1"/>
  <c r="CB230" i="17"/>
  <c r="CC230" i="17"/>
  <c r="CF230" i="17"/>
  <c r="CJ230" i="17"/>
  <c r="CH230" i="17" s="1"/>
  <c r="CL230" i="17"/>
  <c r="CM230" i="17"/>
  <c r="CN230" i="17"/>
  <c r="DK230" i="17"/>
  <c r="O231" i="17"/>
  <c r="T231" i="17"/>
  <c r="R231" i="17" s="1"/>
  <c r="V231" i="17"/>
  <c r="W231" i="17"/>
  <c r="X231" i="17" s="1"/>
  <c r="AV231" i="17"/>
  <c r="AT231" i="17" s="1"/>
  <c r="AX231" i="17"/>
  <c r="AY231" i="17"/>
  <c r="AZ231" i="17" s="1"/>
  <c r="BX231" i="17"/>
  <c r="BV231" i="17" s="1"/>
  <c r="CB231" i="17"/>
  <c r="CC231" i="17"/>
  <c r="CJ231" i="17"/>
  <c r="CH231" i="17" s="1"/>
  <c r="CL231" i="17"/>
  <c r="CM231" i="17"/>
  <c r="CN231" i="17"/>
  <c r="DK231" i="17"/>
  <c r="O232" i="17"/>
  <c r="T232" i="17"/>
  <c r="R232" i="17" s="1"/>
  <c r="V232" i="17"/>
  <c r="W232" i="17"/>
  <c r="X232" i="17" s="1"/>
  <c r="Z232" i="17" s="1"/>
  <c r="AV232" i="17"/>
  <c r="AT232" i="17" s="1"/>
  <c r="AX232" i="17"/>
  <c r="AY232" i="17"/>
  <c r="AZ232" i="17" s="1"/>
  <c r="BX232" i="17"/>
  <c r="BV232" i="17" s="1"/>
  <c r="CB232" i="17"/>
  <c r="CC232" i="17"/>
  <c r="CJ232" i="17"/>
  <c r="CH232" i="17" s="1"/>
  <c r="CL232" i="17"/>
  <c r="CM232" i="17"/>
  <c r="CN232" i="17"/>
  <c r="CO232" i="17" s="1"/>
  <c r="DK232" i="17"/>
  <c r="O233" i="17"/>
  <c r="T233" i="17"/>
  <c r="R233" i="17" s="1"/>
  <c r="V233" i="17"/>
  <c r="W233" i="17"/>
  <c r="X233" i="17" s="1"/>
  <c r="AV233" i="17"/>
  <c r="AX233" i="17"/>
  <c r="AY233" i="17"/>
  <c r="AZ233" i="17" s="1"/>
  <c r="BB233" i="17" s="1"/>
  <c r="BX233" i="17"/>
  <c r="BV233" i="17" s="1"/>
  <c r="CB233" i="17"/>
  <c r="CC233" i="17"/>
  <c r="CD233" i="17" s="1"/>
  <c r="CJ233" i="17"/>
  <c r="CH233" i="17" s="1"/>
  <c r="CL233" i="17"/>
  <c r="CM233" i="17"/>
  <c r="CN233" i="17"/>
  <c r="CO233" i="17" s="1"/>
  <c r="DK233" i="17"/>
  <c r="O234" i="17"/>
  <c r="T234" i="17"/>
  <c r="V234" i="17"/>
  <c r="W234" i="17"/>
  <c r="X234" i="17" s="1"/>
  <c r="Z234" i="17" s="1"/>
  <c r="AV234" i="17"/>
  <c r="AT234" i="17" s="1"/>
  <c r="AX234" i="17"/>
  <c r="AY234" i="17"/>
  <c r="AZ234" i="17" s="1"/>
  <c r="BB234" i="17" s="1"/>
  <c r="BX234" i="17"/>
  <c r="BV234" i="17" s="1"/>
  <c r="CB234" i="17"/>
  <c r="CC234" i="17"/>
  <c r="CF234" i="17"/>
  <c r="CJ234" i="17"/>
  <c r="CH234" i="17" s="1"/>
  <c r="CL234" i="17"/>
  <c r="CM234" i="17"/>
  <c r="CN234" i="17"/>
  <c r="CO234" i="17" s="1"/>
  <c r="DK234" i="17"/>
  <c r="O235" i="17"/>
  <c r="T235" i="17"/>
  <c r="V235" i="17"/>
  <c r="W235" i="17"/>
  <c r="X235" i="17" s="1"/>
  <c r="AV235" i="17"/>
  <c r="AT235" i="17" s="1"/>
  <c r="AX235" i="17"/>
  <c r="AY235" i="17"/>
  <c r="AZ235" i="17" s="1"/>
  <c r="BX235" i="17"/>
  <c r="BV235" i="17" s="1"/>
  <c r="CB235" i="17"/>
  <c r="CC235" i="17"/>
  <c r="CJ235" i="17"/>
  <c r="CH235" i="17" s="1"/>
  <c r="CL235" i="17"/>
  <c r="CM235" i="17"/>
  <c r="CN235" i="17"/>
  <c r="CO235" i="17" s="1"/>
  <c r="DK235" i="17"/>
  <c r="O236" i="17"/>
  <c r="T236" i="17"/>
  <c r="V236" i="17"/>
  <c r="W236" i="17"/>
  <c r="X236" i="17" s="1"/>
  <c r="AV236" i="17"/>
  <c r="AT236" i="17" s="1"/>
  <c r="AX236" i="17"/>
  <c r="AY236" i="17"/>
  <c r="AZ236" i="17" s="1"/>
  <c r="BX236" i="17"/>
  <c r="BV236" i="17" s="1"/>
  <c r="CB236" i="17"/>
  <c r="CC236" i="17"/>
  <c r="CD236" i="17" s="1"/>
  <c r="CF236" i="17" s="1"/>
  <c r="CJ236" i="17"/>
  <c r="CH236" i="17" s="1"/>
  <c r="CL236" i="17"/>
  <c r="CM236" i="17"/>
  <c r="CN236" i="17"/>
  <c r="CO236" i="17" s="1"/>
  <c r="DK236" i="17"/>
  <c r="O237" i="17"/>
  <c r="T237" i="17"/>
  <c r="V237" i="17"/>
  <c r="W237" i="17"/>
  <c r="X237" i="17" s="1"/>
  <c r="AV237" i="17"/>
  <c r="AT237" i="17" s="1"/>
  <c r="AX237" i="17"/>
  <c r="AY237" i="17"/>
  <c r="AZ237" i="17" s="1"/>
  <c r="BX237" i="17"/>
  <c r="BV237" i="17" s="1"/>
  <c r="CB237" i="17"/>
  <c r="CC237" i="17"/>
  <c r="CJ237" i="17"/>
  <c r="CH237" i="17" s="1"/>
  <c r="CL237" i="17"/>
  <c r="CM237" i="17"/>
  <c r="CN237" i="17"/>
  <c r="DK237" i="17"/>
  <c r="O238" i="17"/>
  <c r="T238" i="17"/>
  <c r="V238" i="17"/>
  <c r="W238" i="17"/>
  <c r="X238" i="17" s="1"/>
  <c r="AV238" i="17"/>
  <c r="AT238" i="17" s="1"/>
  <c r="AX238" i="17"/>
  <c r="AY238" i="17"/>
  <c r="AZ238" i="17" s="1"/>
  <c r="BX238" i="17"/>
  <c r="BV238" i="17" s="1"/>
  <c r="CB238" i="17"/>
  <c r="CC238" i="17"/>
  <c r="CD238" i="17" s="1"/>
  <c r="CF238" i="17" s="1"/>
  <c r="CJ238" i="17"/>
  <c r="CH238" i="17" s="1"/>
  <c r="CL238" i="17"/>
  <c r="CM238" i="17"/>
  <c r="CN238" i="17"/>
  <c r="DK238" i="17"/>
  <c r="O239" i="17"/>
  <c r="T239" i="17"/>
  <c r="R239" i="17" s="1"/>
  <c r="V239" i="17"/>
  <c r="W239" i="17"/>
  <c r="X239" i="17" s="1"/>
  <c r="AV239" i="17"/>
  <c r="AT239" i="17" s="1"/>
  <c r="AX239" i="17"/>
  <c r="AY239" i="17"/>
  <c r="AZ239" i="17" s="1"/>
  <c r="BX239" i="17"/>
  <c r="BV239" i="17" s="1"/>
  <c r="CB239" i="17"/>
  <c r="CC239" i="17"/>
  <c r="CJ239" i="17"/>
  <c r="CH239" i="17" s="1"/>
  <c r="CL239" i="17"/>
  <c r="CM239" i="17"/>
  <c r="CN239" i="17"/>
  <c r="DK239" i="17"/>
  <c r="O240" i="17"/>
  <c r="T240" i="17"/>
  <c r="V240" i="17"/>
  <c r="W240" i="17"/>
  <c r="X240" i="17" s="1"/>
  <c r="Z240" i="17" s="1"/>
  <c r="AV240" i="17"/>
  <c r="AT240" i="17" s="1"/>
  <c r="AX240" i="17"/>
  <c r="AY240" i="17"/>
  <c r="AZ240" i="17" s="1"/>
  <c r="BX240" i="17"/>
  <c r="BV240" i="17" s="1"/>
  <c r="CB240" i="17"/>
  <c r="CC240" i="17"/>
  <c r="CJ240" i="17"/>
  <c r="CH240" i="17" s="1"/>
  <c r="CL240" i="17"/>
  <c r="CM240" i="17"/>
  <c r="CN240" i="17"/>
  <c r="CO240" i="17" s="1"/>
  <c r="DK240" i="17"/>
  <c r="O241" i="17"/>
  <c r="T241" i="17"/>
  <c r="R241" i="17" s="1"/>
  <c r="V241" i="17"/>
  <c r="W241" i="17"/>
  <c r="X241" i="17" s="1"/>
  <c r="AV241" i="17"/>
  <c r="AT241" i="17" s="1"/>
  <c r="AX241" i="17"/>
  <c r="AY241" i="17"/>
  <c r="AZ241" i="17" s="1"/>
  <c r="BB241" i="17" s="1"/>
  <c r="BX241" i="17"/>
  <c r="BV241" i="17" s="1"/>
  <c r="CB241" i="17"/>
  <c r="CC241" i="17"/>
  <c r="CD241" i="17" s="1"/>
  <c r="CJ241" i="17"/>
  <c r="CH241" i="17" s="1"/>
  <c r="CL241" i="17"/>
  <c r="CM241" i="17"/>
  <c r="CN241" i="17"/>
  <c r="CO241" i="17" s="1"/>
  <c r="DK241" i="17"/>
  <c r="O242" i="17"/>
  <c r="T242" i="17"/>
  <c r="R242" i="17" s="1"/>
  <c r="V242" i="17"/>
  <c r="W242" i="17"/>
  <c r="X242" i="17" s="1"/>
  <c r="Z242" i="17"/>
  <c r="AV242" i="17"/>
  <c r="AT242" i="17" s="1"/>
  <c r="AX242" i="17"/>
  <c r="AY242" i="17"/>
  <c r="AZ242" i="17" s="1"/>
  <c r="BB242" i="17" s="1"/>
  <c r="BX242" i="17"/>
  <c r="BV242" i="17" s="1"/>
  <c r="CB242" i="17"/>
  <c r="CC242" i="17"/>
  <c r="CD242" i="17" s="1"/>
  <c r="CF242" i="17" s="1"/>
  <c r="CJ242" i="17"/>
  <c r="CH242" i="17" s="1"/>
  <c r="CL242" i="17"/>
  <c r="CM242" i="17"/>
  <c r="CN242" i="17"/>
  <c r="CO242" i="17" s="1"/>
  <c r="DK242" i="17"/>
  <c r="O243" i="17"/>
  <c r="T243" i="17"/>
  <c r="V243" i="17"/>
  <c r="W243" i="17"/>
  <c r="X243" i="17" s="1"/>
  <c r="Z243" i="17" s="1"/>
  <c r="AV243" i="17"/>
  <c r="AT243" i="17" s="1"/>
  <c r="AX243" i="17"/>
  <c r="AY243" i="17"/>
  <c r="AZ243" i="17" s="1"/>
  <c r="BB243" i="17" s="1"/>
  <c r="BX243" i="17"/>
  <c r="BV243" i="17" s="1"/>
  <c r="CB243" i="17"/>
  <c r="CC243" i="17"/>
  <c r="CD243" i="17" s="1"/>
  <c r="CF243" i="17" s="1"/>
  <c r="CJ243" i="17"/>
  <c r="CH243" i="17" s="1"/>
  <c r="CL243" i="17"/>
  <c r="CM243" i="17"/>
  <c r="CN243" i="17"/>
  <c r="CO243" i="17" s="1"/>
  <c r="DK243" i="17"/>
  <c r="O244" i="17"/>
  <c r="T244" i="17"/>
  <c r="R244" i="17" s="1"/>
  <c r="V244" i="17"/>
  <c r="W244" i="17"/>
  <c r="X244" i="17" s="1"/>
  <c r="Z244" i="17" s="1"/>
  <c r="AV244" i="17"/>
  <c r="AT244" i="17" s="1"/>
  <c r="AX244" i="17"/>
  <c r="AY244" i="17"/>
  <c r="AZ244" i="17" s="1"/>
  <c r="BB244" i="17" s="1"/>
  <c r="BX244" i="17"/>
  <c r="CB244" i="17"/>
  <c r="CC244" i="17"/>
  <c r="CD244" i="17" s="1"/>
  <c r="CF244" i="17" s="1"/>
  <c r="CJ244" i="17"/>
  <c r="CH244" i="17" s="1"/>
  <c r="CL244" i="17"/>
  <c r="CM244" i="17"/>
  <c r="CN244" i="17"/>
  <c r="DK244" i="17"/>
  <c r="O245" i="17"/>
  <c r="T245" i="17"/>
  <c r="V245" i="17"/>
  <c r="W245" i="17"/>
  <c r="X245" i="17" s="1"/>
  <c r="AV245" i="17"/>
  <c r="AT245" i="17" s="1"/>
  <c r="AX245" i="17"/>
  <c r="AY245" i="17"/>
  <c r="AZ245" i="17" s="1"/>
  <c r="BX245" i="17"/>
  <c r="BV245" i="17" s="1"/>
  <c r="CB245" i="17"/>
  <c r="CC245" i="17"/>
  <c r="CJ245" i="17"/>
  <c r="CH245" i="17" s="1"/>
  <c r="CL245" i="17"/>
  <c r="CM245" i="17"/>
  <c r="CN245" i="17"/>
  <c r="DK245" i="17"/>
  <c r="O246" i="17"/>
  <c r="T246" i="17"/>
  <c r="R246" i="17" s="1"/>
  <c r="V246" i="17"/>
  <c r="W246" i="17"/>
  <c r="X246" i="17" s="1"/>
  <c r="AV246" i="17"/>
  <c r="AT246" i="17" s="1"/>
  <c r="AX246" i="17"/>
  <c r="AY246" i="17"/>
  <c r="AZ246" i="17" s="1"/>
  <c r="BB246" i="17"/>
  <c r="BX246" i="17"/>
  <c r="BV246" i="17" s="1"/>
  <c r="CB246" i="17"/>
  <c r="CC246" i="17"/>
  <c r="CJ246" i="17"/>
  <c r="CH246" i="17" s="1"/>
  <c r="CL246" i="17"/>
  <c r="CM246" i="17"/>
  <c r="CN246" i="17"/>
  <c r="DK246" i="17"/>
  <c r="O247" i="17"/>
  <c r="T247" i="17"/>
  <c r="R247" i="17" s="1"/>
  <c r="V247" i="17"/>
  <c r="W247" i="17"/>
  <c r="X247" i="17" s="1"/>
  <c r="AV247" i="17"/>
  <c r="AT247" i="17" s="1"/>
  <c r="AX247" i="17"/>
  <c r="AY247" i="17"/>
  <c r="AZ247" i="17" s="1"/>
  <c r="BX247" i="17"/>
  <c r="BV247" i="17" s="1"/>
  <c r="CB247" i="17"/>
  <c r="CC247" i="17"/>
  <c r="CJ247" i="17"/>
  <c r="CH247" i="17" s="1"/>
  <c r="CL247" i="17"/>
  <c r="CM247" i="17"/>
  <c r="CN247" i="17"/>
  <c r="DK247" i="17"/>
  <c r="O248" i="17"/>
  <c r="T248" i="17"/>
  <c r="V248" i="17"/>
  <c r="W248" i="17"/>
  <c r="X248" i="17" s="1"/>
  <c r="Z248" i="17" s="1"/>
  <c r="AV248" i="17"/>
  <c r="AT248" i="17" s="1"/>
  <c r="AX248" i="17"/>
  <c r="AY248" i="17"/>
  <c r="AZ248" i="17" s="1"/>
  <c r="BX248" i="17"/>
  <c r="BV248" i="17" s="1"/>
  <c r="CB248" i="17"/>
  <c r="CC248" i="17"/>
  <c r="CJ248" i="17"/>
  <c r="CH248" i="17" s="1"/>
  <c r="CL248" i="17"/>
  <c r="CM248" i="17"/>
  <c r="CN248" i="17"/>
  <c r="CO248" i="17" s="1"/>
  <c r="DK248" i="17"/>
  <c r="O249" i="17"/>
  <c r="T249" i="17"/>
  <c r="R249" i="17" s="1"/>
  <c r="V249" i="17"/>
  <c r="W249" i="17"/>
  <c r="X249" i="17" s="1"/>
  <c r="AV249" i="17"/>
  <c r="AX249" i="17"/>
  <c r="AY249" i="17"/>
  <c r="AZ249" i="17" s="1"/>
  <c r="BB249" i="17" s="1"/>
  <c r="BX249" i="17"/>
  <c r="BV249" i="17" s="1"/>
  <c r="CB249" i="17"/>
  <c r="CC249" i="17"/>
  <c r="CD249" i="17" s="1"/>
  <c r="CJ249" i="17"/>
  <c r="CH249" i="17" s="1"/>
  <c r="CL249" i="17"/>
  <c r="CM249" i="17"/>
  <c r="CN249" i="17"/>
  <c r="DK249" i="17"/>
  <c r="O250" i="17"/>
  <c r="T250" i="17"/>
  <c r="R250" i="17" s="1"/>
  <c r="V250" i="17"/>
  <c r="W250" i="17"/>
  <c r="X250" i="17" s="1"/>
  <c r="AV250" i="17"/>
  <c r="AT250" i="17" s="1"/>
  <c r="AX250" i="17"/>
  <c r="AY250" i="17"/>
  <c r="AZ250" i="17" s="1"/>
  <c r="BX250" i="17"/>
  <c r="BV250" i="17" s="1"/>
  <c r="CB250" i="17"/>
  <c r="CC250" i="17"/>
  <c r="CJ250" i="17"/>
  <c r="CH250" i="17" s="1"/>
  <c r="CL250" i="17"/>
  <c r="CM250" i="17"/>
  <c r="CN250" i="17"/>
  <c r="DK250" i="17"/>
  <c r="O251" i="17"/>
  <c r="T251" i="17"/>
  <c r="R251" i="17" s="1"/>
  <c r="V251" i="17"/>
  <c r="W251" i="17"/>
  <c r="X251" i="17" s="1"/>
  <c r="AV251" i="17"/>
  <c r="AT251" i="17" s="1"/>
  <c r="AX251" i="17"/>
  <c r="AY251" i="17"/>
  <c r="AZ251" i="17" s="1"/>
  <c r="BX251" i="17"/>
  <c r="BV251" i="17" s="1"/>
  <c r="CB251" i="17"/>
  <c r="CC251" i="17"/>
  <c r="CD251" i="17" s="1"/>
  <c r="CF251" i="17" s="1"/>
  <c r="CJ251" i="17"/>
  <c r="CH251" i="17" s="1"/>
  <c r="CL251" i="17"/>
  <c r="CM251" i="17"/>
  <c r="CN251" i="17"/>
  <c r="CO251" i="17" s="1"/>
  <c r="DK251" i="17"/>
  <c r="O252" i="17"/>
  <c r="T252" i="17"/>
  <c r="V252" i="17"/>
  <c r="W252" i="17"/>
  <c r="X252" i="17" s="1"/>
  <c r="Z252" i="17" s="1"/>
  <c r="AV252" i="17"/>
  <c r="AT252" i="17" s="1"/>
  <c r="AX252" i="17"/>
  <c r="AY252" i="17"/>
  <c r="AZ252" i="17" s="1"/>
  <c r="BB252" i="17"/>
  <c r="BX252" i="17"/>
  <c r="BV252" i="17" s="1"/>
  <c r="CB252" i="17"/>
  <c r="CC252" i="17"/>
  <c r="CD252" i="17" s="1"/>
  <c r="CF252" i="17"/>
  <c r="CJ252" i="17"/>
  <c r="CH252" i="17" s="1"/>
  <c r="CL252" i="17"/>
  <c r="CM252" i="17"/>
  <c r="CN252" i="17"/>
  <c r="CO252" i="17" s="1"/>
  <c r="DK252" i="17"/>
  <c r="O253" i="17"/>
  <c r="T253" i="17"/>
  <c r="V253" i="17"/>
  <c r="W253" i="17"/>
  <c r="X253" i="17" s="1"/>
  <c r="AV253" i="17"/>
  <c r="AT253" i="17" s="1"/>
  <c r="AX253" i="17"/>
  <c r="AY253" i="17"/>
  <c r="AZ253" i="17" s="1"/>
  <c r="BB253" i="17"/>
  <c r="BX253" i="17"/>
  <c r="BV253" i="17" s="1"/>
  <c r="CB253" i="17"/>
  <c r="CC253" i="17"/>
  <c r="CF253" i="17"/>
  <c r="CJ253" i="17"/>
  <c r="CH253" i="17" s="1"/>
  <c r="CL253" i="17"/>
  <c r="CM253" i="17"/>
  <c r="CN253" i="17"/>
  <c r="DK253" i="17"/>
  <c r="O254" i="17"/>
  <c r="T254" i="17"/>
  <c r="R254" i="17" s="1"/>
  <c r="V254" i="17"/>
  <c r="W254" i="17"/>
  <c r="X254" i="17" s="1"/>
  <c r="Z254" i="17"/>
  <c r="AV254" i="17"/>
  <c r="AT254" i="17" s="1"/>
  <c r="AX254" i="17"/>
  <c r="AY254" i="17"/>
  <c r="AZ254" i="17" s="1"/>
  <c r="BB254" i="17"/>
  <c r="BX254" i="17"/>
  <c r="BV254" i="17" s="1"/>
  <c r="CB254" i="17"/>
  <c r="CC254" i="17"/>
  <c r="CJ254" i="17"/>
  <c r="CH254" i="17" s="1"/>
  <c r="CL254" i="17"/>
  <c r="CM254" i="17"/>
  <c r="CN254" i="17"/>
  <c r="CO254" i="17" s="1"/>
  <c r="DK254" i="17"/>
  <c r="O255" i="17"/>
  <c r="T255" i="17"/>
  <c r="V255" i="17"/>
  <c r="W255" i="17"/>
  <c r="X255" i="17" s="1"/>
  <c r="Z255" i="17"/>
  <c r="AV255" i="17"/>
  <c r="AT255" i="17" s="1"/>
  <c r="AX255" i="17"/>
  <c r="AY255" i="17"/>
  <c r="AZ255" i="17" s="1"/>
  <c r="BB255" i="17"/>
  <c r="BX255" i="17"/>
  <c r="BV255" i="17" s="1"/>
  <c r="CB255" i="17"/>
  <c r="CC255" i="17"/>
  <c r="CJ255" i="17"/>
  <c r="CH255" i="17" s="1"/>
  <c r="CL255" i="17"/>
  <c r="CM255" i="17"/>
  <c r="CN255" i="17"/>
  <c r="DK255" i="17"/>
  <c r="O256" i="17"/>
  <c r="T256" i="17"/>
  <c r="R256" i="17" s="1"/>
  <c r="V256" i="17"/>
  <c r="W256" i="17"/>
  <c r="X256" i="17" s="1"/>
  <c r="AV256" i="17"/>
  <c r="AT256" i="17" s="1"/>
  <c r="AX256" i="17"/>
  <c r="AY256" i="17"/>
  <c r="AZ256" i="17" s="1"/>
  <c r="BX256" i="17"/>
  <c r="BV256" i="17" s="1"/>
  <c r="CB256" i="17"/>
  <c r="CC256" i="17"/>
  <c r="CJ256" i="17"/>
  <c r="CH256" i="17" s="1"/>
  <c r="CL256" i="17"/>
  <c r="CM256" i="17"/>
  <c r="CN256" i="17"/>
  <c r="CO256" i="17" s="1"/>
  <c r="DK256" i="17"/>
  <c r="O257" i="17"/>
  <c r="T257" i="17"/>
  <c r="R257" i="17" s="1"/>
  <c r="V257" i="17"/>
  <c r="W257" i="17"/>
  <c r="X257" i="17" s="1"/>
  <c r="Z257" i="17"/>
  <c r="AV257" i="17"/>
  <c r="AT257" i="17" s="1"/>
  <c r="AX257" i="17"/>
  <c r="AY257" i="17"/>
  <c r="AZ257" i="17" s="1"/>
  <c r="BB257" i="17"/>
  <c r="BX257" i="17"/>
  <c r="CB257" i="17"/>
  <c r="CC257" i="17"/>
  <c r="CD257" i="17" s="1"/>
  <c r="CF257" i="17"/>
  <c r="CJ257" i="17"/>
  <c r="CH257" i="17" s="1"/>
  <c r="CL257" i="17"/>
  <c r="CM257" i="17"/>
  <c r="CN257" i="17"/>
  <c r="CO257" i="17" s="1"/>
  <c r="DK257" i="17"/>
  <c r="O258" i="17"/>
  <c r="T258" i="17"/>
  <c r="R258" i="17" s="1"/>
  <c r="V258" i="17"/>
  <c r="W258" i="17"/>
  <c r="X258" i="17" s="1"/>
  <c r="Z258" i="17"/>
  <c r="AV258" i="17"/>
  <c r="AT258" i="17" s="1"/>
  <c r="AX258" i="17"/>
  <c r="AY258" i="17"/>
  <c r="AZ258" i="17" s="1"/>
  <c r="BB258" i="17"/>
  <c r="BX258" i="17"/>
  <c r="BV258" i="17" s="1"/>
  <c r="CB258" i="17"/>
  <c r="CC258" i="17"/>
  <c r="CD258" i="17" s="1"/>
  <c r="CF258" i="17"/>
  <c r="CJ258" i="17"/>
  <c r="CH258" i="17" s="1"/>
  <c r="CL258" i="17"/>
  <c r="CM258" i="17"/>
  <c r="CN258" i="17"/>
  <c r="CO258" i="17" s="1"/>
  <c r="DK258" i="17"/>
  <c r="O259" i="17"/>
  <c r="T259" i="17"/>
  <c r="V259" i="17"/>
  <c r="W259" i="17"/>
  <c r="X259" i="17" s="1"/>
  <c r="Z259" i="17"/>
  <c r="AV259" i="17"/>
  <c r="AT259" i="17" s="1"/>
  <c r="AX259" i="17"/>
  <c r="AY259" i="17"/>
  <c r="AZ259" i="17" s="1"/>
  <c r="BB259" i="17"/>
  <c r="BX259" i="17"/>
  <c r="BV259" i="17" s="1"/>
  <c r="CB259" i="17"/>
  <c r="CC259" i="17"/>
  <c r="CD259" i="17" s="1"/>
  <c r="CF259" i="17"/>
  <c r="CJ259" i="17"/>
  <c r="CH259" i="17" s="1"/>
  <c r="CL259" i="17"/>
  <c r="CM259" i="17"/>
  <c r="CN259" i="17"/>
  <c r="CO259" i="17" s="1"/>
  <c r="DK259" i="17"/>
  <c r="O260" i="17"/>
  <c r="T260" i="17"/>
  <c r="V260" i="17"/>
  <c r="W260" i="17"/>
  <c r="X260" i="17" s="1"/>
  <c r="Z260" i="17"/>
  <c r="AV260" i="17"/>
  <c r="AT260" i="17" s="1"/>
  <c r="AX260" i="17"/>
  <c r="AY260" i="17"/>
  <c r="AZ260" i="17" s="1"/>
  <c r="BB260" i="17"/>
  <c r="BX260" i="17"/>
  <c r="BV260" i="17" s="1"/>
  <c r="CB260" i="17"/>
  <c r="CC260" i="17"/>
  <c r="CD260" i="17" s="1"/>
  <c r="CF260" i="17" s="1"/>
  <c r="CJ260" i="17"/>
  <c r="CH260" i="17" s="1"/>
  <c r="CL260" i="17"/>
  <c r="CM260" i="17"/>
  <c r="CN260" i="17"/>
  <c r="DK260" i="17"/>
  <c r="O261" i="17"/>
  <c r="T261" i="17"/>
  <c r="V261" i="17"/>
  <c r="W261" i="17"/>
  <c r="X261" i="17" s="1"/>
  <c r="Z261" i="17"/>
  <c r="AV261" i="17"/>
  <c r="AT261" i="17" s="1"/>
  <c r="AX261" i="17"/>
  <c r="AY261" i="17"/>
  <c r="AZ261" i="17" s="1"/>
  <c r="BB261" i="17"/>
  <c r="BX261" i="17"/>
  <c r="BV261" i="17" s="1"/>
  <c r="CB261" i="17"/>
  <c r="CC261" i="17"/>
  <c r="CJ261" i="17"/>
  <c r="CH261" i="17" s="1"/>
  <c r="CL261" i="17"/>
  <c r="CM261" i="17"/>
  <c r="CN261" i="17"/>
  <c r="DK261" i="17"/>
  <c r="O262" i="17"/>
  <c r="T262" i="17"/>
  <c r="R262" i="17" s="1"/>
  <c r="V262" i="17"/>
  <c r="W262" i="17"/>
  <c r="X262" i="17" s="1"/>
  <c r="Z262" i="17"/>
  <c r="AV262" i="17"/>
  <c r="AT262" i="17" s="1"/>
  <c r="AX262" i="17"/>
  <c r="AY262" i="17"/>
  <c r="AZ262" i="17" s="1"/>
  <c r="BB262" i="17"/>
  <c r="BX262" i="17"/>
  <c r="BV262" i="17" s="1"/>
  <c r="CB262" i="17"/>
  <c r="CC262" i="17"/>
  <c r="CF262" i="17"/>
  <c r="CJ262" i="17"/>
  <c r="CH262" i="17" s="1"/>
  <c r="CL262" i="17"/>
  <c r="CM262" i="17"/>
  <c r="CN262" i="17"/>
  <c r="CO262" i="17" s="1"/>
  <c r="DK262" i="17"/>
  <c r="O263" i="17"/>
  <c r="T263" i="17"/>
  <c r="R263" i="17" s="1"/>
  <c r="V263" i="17"/>
  <c r="W263" i="17"/>
  <c r="X263" i="17" s="1"/>
  <c r="AV263" i="17"/>
  <c r="AT263" i="17" s="1"/>
  <c r="AX263" i="17"/>
  <c r="AY263" i="17"/>
  <c r="AZ263" i="17" s="1"/>
  <c r="BB263" i="17"/>
  <c r="BX263" i="17"/>
  <c r="BV263" i="17" s="1"/>
  <c r="CB263" i="17"/>
  <c r="CC263" i="17"/>
  <c r="CJ263" i="17"/>
  <c r="CH263" i="17" s="1"/>
  <c r="CL263" i="17"/>
  <c r="CM263" i="17"/>
  <c r="CN263" i="17"/>
  <c r="DK263" i="17"/>
  <c r="O264" i="17"/>
  <c r="T264" i="17"/>
  <c r="V264" i="17"/>
  <c r="W264" i="17"/>
  <c r="X264" i="17" s="1"/>
  <c r="Z264" i="17" s="1"/>
  <c r="AV264" i="17"/>
  <c r="AT264" i="17" s="1"/>
  <c r="AX264" i="17"/>
  <c r="AY264" i="17"/>
  <c r="AZ264" i="17" s="1"/>
  <c r="BB264" i="17"/>
  <c r="BX264" i="17"/>
  <c r="BV264" i="17" s="1"/>
  <c r="CB264" i="17"/>
  <c r="CC264" i="17"/>
  <c r="CJ264" i="17"/>
  <c r="CH264" i="17" s="1"/>
  <c r="CL264" i="17"/>
  <c r="CM264" i="17"/>
  <c r="CN264" i="17"/>
  <c r="CO264" i="17" s="1"/>
  <c r="DK264" i="17"/>
  <c r="O265" i="17"/>
  <c r="T265" i="17"/>
  <c r="R265" i="17" s="1"/>
  <c r="V265" i="17"/>
  <c r="W265" i="17"/>
  <c r="X265" i="17" s="1"/>
  <c r="Z265" i="17"/>
  <c r="AV265" i="17"/>
  <c r="AT265" i="17" s="1"/>
  <c r="AX265" i="17"/>
  <c r="AY265" i="17"/>
  <c r="AZ265" i="17" s="1"/>
  <c r="BB265" i="17" s="1"/>
  <c r="BX265" i="17"/>
  <c r="BV265" i="17" s="1"/>
  <c r="CB265" i="17"/>
  <c r="CC265" i="17"/>
  <c r="CD265" i="17" s="1"/>
  <c r="CJ265" i="17"/>
  <c r="CH265" i="17" s="1"/>
  <c r="CL265" i="17"/>
  <c r="CM265" i="17"/>
  <c r="CN265" i="17"/>
  <c r="CO265" i="17" s="1"/>
  <c r="DK265" i="17"/>
  <c r="O266" i="17"/>
  <c r="T266" i="17"/>
  <c r="R266" i="17" s="1"/>
  <c r="V266" i="17"/>
  <c r="W266" i="17"/>
  <c r="X266" i="17" s="1"/>
  <c r="Z266" i="17"/>
  <c r="AV266" i="17"/>
  <c r="AT266" i="17" s="1"/>
  <c r="AX266" i="17"/>
  <c r="AY266" i="17"/>
  <c r="AZ266" i="17" s="1"/>
  <c r="BB266" i="17"/>
  <c r="BX266" i="17"/>
  <c r="CB266" i="17"/>
  <c r="CC266" i="17"/>
  <c r="CD266" i="17" s="1"/>
  <c r="CF266" i="17"/>
  <c r="CJ266" i="17"/>
  <c r="CH266" i="17" s="1"/>
  <c r="CL266" i="17"/>
  <c r="CM266" i="17"/>
  <c r="CN266" i="17"/>
  <c r="CO266" i="17" s="1"/>
  <c r="DK266" i="17"/>
  <c r="O267" i="17"/>
  <c r="T267" i="17"/>
  <c r="V267" i="17"/>
  <c r="W267" i="17"/>
  <c r="X267" i="17" s="1"/>
  <c r="Z267" i="17"/>
  <c r="AV267" i="17"/>
  <c r="AT267" i="17" s="1"/>
  <c r="AX267" i="17"/>
  <c r="AY267" i="17"/>
  <c r="AZ267" i="17" s="1"/>
  <c r="BB267" i="17" s="1"/>
  <c r="BX267" i="17"/>
  <c r="BV267" i="17" s="1"/>
  <c r="CB267" i="17"/>
  <c r="CC267" i="17"/>
  <c r="CF267" i="17"/>
  <c r="CJ267" i="17"/>
  <c r="CH267" i="17" s="1"/>
  <c r="CL267" i="17"/>
  <c r="CM267" i="17"/>
  <c r="CN267" i="17"/>
  <c r="DK267" i="17"/>
  <c r="O268" i="17"/>
  <c r="T268" i="17"/>
  <c r="R268" i="17" s="1"/>
  <c r="V268" i="17"/>
  <c r="W268" i="17"/>
  <c r="X268" i="17" s="1"/>
  <c r="Z268" i="17" s="1"/>
  <c r="AV268" i="17"/>
  <c r="AT268" i="17" s="1"/>
  <c r="AX268" i="17"/>
  <c r="AY268" i="17"/>
  <c r="AZ268" i="17" s="1"/>
  <c r="BX268" i="17"/>
  <c r="BV268" i="17" s="1"/>
  <c r="CB268" i="17"/>
  <c r="CC268" i="17"/>
  <c r="CD268" i="17" s="1"/>
  <c r="CF268" i="17" s="1"/>
  <c r="CJ268" i="17"/>
  <c r="CH268" i="17" s="1"/>
  <c r="CL268" i="17"/>
  <c r="CM268" i="17"/>
  <c r="CN268" i="17"/>
  <c r="CO268" i="17" s="1"/>
  <c r="DK268" i="17"/>
  <c r="O269" i="17"/>
  <c r="T269" i="17"/>
  <c r="V269" i="17"/>
  <c r="W269" i="17"/>
  <c r="X269" i="17" s="1"/>
  <c r="AV269" i="17"/>
  <c r="AT269" i="17" s="1"/>
  <c r="AX269" i="17"/>
  <c r="AY269" i="17"/>
  <c r="AZ269" i="17" s="1"/>
  <c r="BX269" i="17"/>
  <c r="BV269" i="17" s="1"/>
  <c r="CB269" i="17"/>
  <c r="CC269" i="17"/>
  <c r="CJ269" i="17"/>
  <c r="CH269" i="17" s="1"/>
  <c r="CL269" i="17"/>
  <c r="CM269" i="17"/>
  <c r="CN269" i="17"/>
  <c r="DK269" i="17"/>
  <c r="O270" i="17"/>
  <c r="T270" i="17"/>
  <c r="V270" i="17"/>
  <c r="W270" i="17"/>
  <c r="X270" i="17" s="1"/>
  <c r="AV270" i="17"/>
  <c r="AT270" i="17" s="1"/>
  <c r="AX270" i="17"/>
  <c r="AY270" i="17"/>
  <c r="AZ270" i="17" s="1"/>
  <c r="BX270" i="17"/>
  <c r="BV270" i="17" s="1"/>
  <c r="CB270" i="17"/>
  <c r="CC270" i="17"/>
  <c r="CJ270" i="17"/>
  <c r="CH270" i="17" s="1"/>
  <c r="CL270" i="17"/>
  <c r="CM270" i="17"/>
  <c r="CN270" i="17"/>
  <c r="DK270" i="17"/>
  <c r="O271" i="17"/>
  <c r="T271" i="17"/>
  <c r="V271" i="17"/>
  <c r="W271" i="17"/>
  <c r="X271" i="17" s="1"/>
  <c r="Z271" i="17"/>
  <c r="AV271" i="17"/>
  <c r="AT271" i="17" s="1"/>
  <c r="AX271" i="17"/>
  <c r="AY271" i="17"/>
  <c r="AZ271" i="17" s="1"/>
  <c r="BX271" i="17"/>
  <c r="BV271" i="17" s="1"/>
  <c r="CB271" i="17"/>
  <c r="CC271" i="17"/>
  <c r="CD271" i="17" s="1"/>
  <c r="CF271" i="17"/>
  <c r="CJ271" i="17"/>
  <c r="CH271" i="17" s="1"/>
  <c r="CL271" i="17"/>
  <c r="CM271" i="17"/>
  <c r="CN271" i="17"/>
  <c r="DK271" i="17"/>
  <c r="O272" i="17"/>
  <c r="T272" i="17"/>
  <c r="V272" i="17"/>
  <c r="W272" i="17"/>
  <c r="X272" i="17" s="1"/>
  <c r="Z272" i="17" s="1"/>
  <c r="AV272" i="17"/>
  <c r="AT272" i="17" s="1"/>
  <c r="AX272" i="17"/>
  <c r="AY272" i="17"/>
  <c r="AZ272" i="17" s="1"/>
  <c r="BX272" i="17"/>
  <c r="BV272" i="17" s="1"/>
  <c r="CB272" i="17"/>
  <c r="CC272" i="17"/>
  <c r="CJ272" i="17"/>
  <c r="CH272" i="17" s="1"/>
  <c r="CL272" i="17"/>
  <c r="CM272" i="17"/>
  <c r="CN272" i="17"/>
  <c r="CO272" i="17" s="1"/>
  <c r="DK272" i="17"/>
  <c r="O273" i="17"/>
  <c r="T273" i="17"/>
  <c r="R273" i="17" s="1"/>
  <c r="V273" i="17"/>
  <c r="W273" i="17"/>
  <c r="X273" i="17" s="1"/>
  <c r="Z273" i="17"/>
  <c r="AV273" i="17"/>
  <c r="AT273" i="17" s="1"/>
  <c r="AX273" i="17"/>
  <c r="AY273" i="17"/>
  <c r="AZ273" i="17" s="1"/>
  <c r="BB273" i="17"/>
  <c r="BX273" i="17"/>
  <c r="BV273" i="17" s="1"/>
  <c r="CB273" i="17"/>
  <c r="CC273" i="17"/>
  <c r="CD273" i="17" s="1"/>
  <c r="CJ273" i="17"/>
  <c r="CH273" i="17" s="1"/>
  <c r="CL273" i="17"/>
  <c r="CM273" i="17"/>
  <c r="CN273" i="17"/>
  <c r="CO273" i="17" s="1"/>
  <c r="DK273" i="17"/>
  <c r="O274" i="17"/>
  <c r="T274" i="17"/>
  <c r="R274" i="17" s="1"/>
  <c r="V274" i="17"/>
  <c r="W274" i="17"/>
  <c r="X274" i="17" s="1"/>
  <c r="Z274" i="17" s="1"/>
  <c r="AV274" i="17"/>
  <c r="AT274" i="17" s="1"/>
  <c r="AX274" i="17"/>
  <c r="AY274" i="17"/>
  <c r="AZ274" i="17" s="1"/>
  <c r="BB274" i="17" s="1"/>
  <c r="BX274" i="17"/>
  <c r="CB274" i="17"/>
  <c r="CC274" i="17"/>
  <c r="CD274" i="17" s="1"/>
  <c r="CF274" i="17" s="1"/>
  <c r="CJ274" i="17"/>
  <c r="CH274" i="17" s="1"/>
  <c r="CL274" i="17"/>
  <c r="CM274" i="17"/>
  <c r="CN274" i="17"/>
  <c r="DK274" i="17"/>
  <c r="O275" i="17"/>
  <c r="T275" i="17"/>
  <c r="V275" i="17"/>
  <c r="W275" i="17"/>
  <c r="X275" i="17" s="1"/>
  <c r="AV275" i="17"/>
  <c r="AT275" i="17" s="1"/>
  <c r="AX275" i="17"/>
  <c r="AY275" i="17"/>
  <c r="AZ275" i="17" s="1"/>
  <c r="BB275" i="17" s="1"/>
  <c r="BX275" i="17"/>
  <c r="BV275" i="17" s="1"/>
  <c r="CB275" i="17"/>
  <c r="CC275" i="17"/>
  <c r="CD275" i="17" s="1"/>
  <c r="CJ275" i="17"/>
  <c r="CH275" i="17" s="1"/>
  <c r="CL275" i="17"/>
  <c r="CM275" i="17"/>
  <c r="CN275" i="17"/>
  <c r="DK275" i="17"/>
  <c r="O276" i="17"/>
  <c r="T276" i="17"/>
  <c r="R276" i="17" s="1"/>
  <c r="V276" i="17"/>
  <c r="W276" i="17"/>
  <c r="X276" i="17" s="1"/>
  <c r="Z276" i="17" s="1"/>
  <c r="AV276" i="17"/>
  <c r="AX276" i="17"/>
  <c r="AY276" i="17"/>
  <c r="AZ276" i="17" s="1"/>
  <c r="BX276" i="17"/>
  <c r="BV276" i="17" s="1"/>
  <c r="CB276" i="17"/>
  <c r="CC276" i="17"/>
  <c r="CD276" i="17" s="1"/>
  <c r="CF276" i="17" s="1"/>
  <c r="CJ276" i="17"/>
  <c r="CH276" i="17" s="1"/>
  <c r="CL276" i="17"/>
  <c r="CM276" i="17"/>
  <c r="CN276" i="17"/>
  <c r="DK276" i="17"/>
  <c r="O277" i="17"/>
  <c r="T277" i="17"/>
  <c r="V277" i="17"/>
  <c r="W277" i="17"/>
  <c r="X277" i="17" s="1"/>
  <c r="AV277" i="17"/>
  <c r="AT277" i="17" s="1"/>
  <c r="AX277" i="17"/>
  <c r="AY277" i="17"/>
  <c r="AZ277" i="17" s="1"/>
  <c r="BX277" i="17"/>
  <c r="BV277" i="17" s="1"/>
  <c r="CB277" i="17"/>
  <c r="CC277" i="17"/>
  <c r="CF277" i="17"/>
  <c r="CJ277" i="17"/>
  <c r="CH277" i="17" s="1"/>
  <c r="CL277" i="17"/>
  <c r="CM277" i="17"/>
  <c r="CN277" i="17"/>
  <c r="DK277" i="17"/>
  <c r="O278" i="17"/>
  <c r="T278" i="17"/>
  <c r="V278" i="17"/>
  <c r="W278" i="17"/>
  <c r="X278" i="17" s="1"/>
  <c r="AV278" i="17"/>
  <c r="AT278" i="17" s="1"/>
  <c r="AX278" i="17"/>
  <c r="AY278" i="17"/>
  <c r="AZ278" i="17" s="1"/>
  <c r="BX278" i="17"/>
  <c r="BV278" i="17" s="1"/>
  <c r="CB278" i="17"/>
  <c r="CC278" i="17"/>
  <c r="CJ278" i="17"/>
  <c r="CH278" i="17" s="1"/>
  <c r="CL278" i="17"/>
  <c r="CM278" i="17"/>
  <c r="CN278" i="17"/>
  <c r="DK278" i="17"/>
  <c r="O279" i="17"/>
  <c r="T279" i="17"/>
  <c r="R279" i="17" s="1"/>
  <c r="V279" i="17"/>
  <c r="W279" i="17"/>
  <c r="X279" i="17" s="1"/>
  <c r="AV279" i="17"/>
  <c r="AT279" i="17" s="1"/>
  <c r="AX279" i="17"/>
  <c r="AY279" i="17"/>
  <c r="AZ279" i="17" s="1"/>
  <c r="BB279" i="17"/>
  <c r="BX279" i="17"/>
  <c r="BV279" i="17" s="1"/>
  <c r="CB279" i="17"/>
  <c r="CC279" i="17"/>
  <c r="CJ279" i="17"/>
  <c r="CH279" i="17" s="1"/>
  <c r="CL279" i="17"/>
  <c r="CM279" i="17"/>
  <c r="CN279" i="17"/>
  <c r="DK279" i="17"/>
  <c r="O280" i="17"/>
  <c r="T280" i="17"/>
  <c r="V280" i="17"/>
  <c r="W280" i="17"/>
  <c r="X280" i="17" s="1"/>
  <c r="Z280" i="17" s="1"/>
  <c r="AV280" i="17"/>
  <c r="AT280" i="17" s="1"/>
  <c r="AX280" i="17"/>
  <c r="AY280" i="17"/>
  <c r="AZ280" i="17" s="1"/>
  <c r="BX280" i="17"/>
  <c r="BV280" i="17" s="1"/>
  <c r="CB280" i="17"/>
  <c r="CC280" i="17"/>
  <c r="CJ280" i="17"/>
  <c r="CH280" i="17" s="1"/>
  <c r="CL280" i="17"/>
  <c r="CM280" i="17"/>
  <c r="CN280" i="17"/>
  <c r="CO280" i="17" s="1"/>
  <c r="DK280" i="17"/>
  <c r="O281" i="17"/>
  <c r="T281" i="17"/>
  <c r="R281" i="17" s="1"/>
  <c r="V281" i="17"/>
  <c r="W281" i="17"/>
  <c r="X281" i="17" s="1"/>
  <c r="Z281" i="17" s="1"/>
  <c r="AV281" i="17"/>
  <c r="AT281" i="17" s="1"/>
  <c r="AX281" i="17"/>
  <c r="AY281" i="17"/>
  <c r="AZ281" i="17" s="1"/>
  <c r="BX281" i="17"/>
  <c r="BV281" i="17" s="1"/>
  <c r="CB281" i="17"/>
  <c r="CC281" i="17"/>
  <c r="CJ281" i="17"/>
  <c r="CH281" i="17" s="1"/>
  <c r="CL281" i="17"/>
  <c r="CM281" i="17"/>
  <c r="CN281" i="17"/>
  <c r="CO281" i="17" s="1"/>
  <c r="DK281" i="17"/>
  <c r="O282" i="17"/>
  <c r="T282" i="17"/>
  <c r="V282" i="17"/>
  <c r="W282" i="17"/>
  <c r="X282" i="17" s="1"/>
  <c r="AV282" i="17"/>
  <c r="AT282" i="17" s="1"/>
  <c r="AX282" i="17"/>
  <c r="AY282" i="17"/>
  <c r="AZ282" i="17" s="1"/>
  <c r="BB282" i="17"/>
  <c r="BX282" i="17"/>
  <c r="BV282" i="17" s="1"/>
  <c r="CB282" i="17"/>
  <c r="CC282" i="17"/>
  <c r="CD282" i="17" s="1"/>
  <c r="CJ282" i="17"/>
  <c r="CH282" i="17" s="1"/>
  <c r="CL282" i="17"/>
  <c r="CM282" i="17"/>
  <c r="CN282" i="17"/>
  <c r="CO282" i="17" s="1"/>
  <c r="DK282" i="17"/>
  <c r="O283" i="17"/>
  <c r="T283" i="17"/>
  <c r="R283" i="17" s="1"/>
  <c r="V283" i="17"/>
  <c r="W283" i="17"/>
  <c r="X283" i="17" s="1"/>
  <c r="AV283" i="17"/>
  <c r="AT283" i="17" s="1"/>
  <c r="AX283" i="17"/>
  <c r="AY283" i="17"/>
  <c r="AZ283" i="17" s="1"/>
  <c r="BB283" i="17" s="1"/>
  <c r="BX283" i="17"/>
  <c r="BV283" i="17" s="1"/>
  <c r="CB283" i="17"/>
  <c r="CC283" i="17"/>
  <c r="CD283" i="17" s="1"/>
  <c r="CJ283" i="17"/>
  <c r="CH283" i="17" s="1"/>
  <c r="CL283" i="17"/>
  <c r="CM283" i="17"/>
  <c r="CN283" i="17"/>
  <c r="DK283" i="17"/>
  <c r="O284" i="17"/>
  <c r="T284" i="17"/>
  <c r="V284" i="17"/>
  <c r="W284" i="17"/>
  <c r="X284" i="17" s="1"/>
  <c r="AV284" i="17"/>
  <c r="AT284" i="17" s="1"/>
  <c r="AX284" i="17"/>
  <c r="AY284" i="17"/>
  <c r="AZ284" i="17" s="1"/>
  <c r="BX284" i="17"/>
  <c r="BV284" i="17" s="1"/>
  <c r="CB284" i="17"/>
  <c r="CC284" i="17"/>
  <c r="CJ284" i="17"/>
  <c r="CH284" i="17" s="1"/>
  <c r="CL284" i="17"/>
  <c r="CM284" i="17"/>
  <c r="CN284" i="17"/>
  <c r="DK284" i="17"/>
  <c r="O285" i="17"/>
  <c r="T285" i="17"/>
  <c r="R285" i="17" s="1"/>
  <c r="V285" i="17"/>
  <c r="W285" i="17"/>
  <c r="X285" i="17" s="1"/>
  <c r="AV285" i="17"/>
  <c r="AT285" i="17" s="1"/>
  <c r="AX285" i="17"/>
  <c r="AY285" i="17"/>
  <c r="AZ285" i="17" s="1"/>
  <c r="BX285" i="17"/>
  <c r="BV285" i="17" s="1"/>
  <c r="CB285" i="17"/>
  <c r="CC285" i="17"/>
  <c r="CJ285" i="17"/>
  <c r="CH285" i="17" s="1"/>
  <c r="CL285" i="17"/>
  <c r="CM285" i="17"/>
  <c r="CN285" i="17"/>
  <c r="DK285" i="17"/>
  <c r="O286" i="17"/>
  <c r="T286" i="17"/>
  <c r="V286" i="17"/>
  <c r="W286" i="17"/>
  <c r="X286" i="17" s="1"/>
  <c r="AV286" i="17"/>
  <c r="AT286" i="17" s="1"/>
  <c r="AX286" i="17"/>
  <c r="AY286" i="17"/>
  <c r="AZ286" i="17" s="1"/>
  <c r="BX286" i="17"/>
  <c r="BV286" i="17" s="1"/>
  <c r="CB286" i="17"/>
  <c r="CC286" i="17"/>
  <c r="CJ286" i="17"/>
  <c r="CH286" i="17" s="1"/>
  <c r="CL286" i="17"/>
  <c r="CM286" i="17"/>
  <c r="CN286" i="17"/>
  <c r="DK286" i="17"/>
  <c r="O287" i="17"/>
  <c r="T287" i="17"/>
  <c r="R287" i="17" s="1"/>
  <c r="V287" i="17"/>
  <c r="W287" i="17"/>
  <c r="X287" i="17" s="1"/>
  <c r="AV287" i="17"/>
  <c r="AT287" i="17" s="1"/>
  <c r="AX287" i="17"/>
  <c r="AY287" i="17"/>
  <c r="AZ287" i="17" s="1"/>
  <c r="BB287" i="17"/>
  <c r="BX287" i="17"/>
  <c r="BV287" i="17" s="1"/>
  <c r="CB287" i="17"/>
  <c r="CC287" i="17"/>
  <c r="CF287" i="17"/>
  <c r="CJ287" i="17"/>
  <c r="CH287" i="17" s="1"/>
  <c r="CL287" i="17"/>
  <c r="CM287" i="17"/>
  <c r="CN287" i="17"/>
  <c r="DK287" i="17"/>
  <c r="O288" i="17"/>
  <c r="T288" i="17"/>
  <c r="R288" i="17" s="1"/>
  <c r="V288" i="17"/>
  <c r="W288" i="17"/>
  <c r="X288" i="17" s="1"/>
  <c r="Z288" i="17"/>
  <c r="AV288" i="17"/>
  <c r="AX288" i="17"/>
  <c r="AY288" i="17"/>
  <c r="AZ288" i="17" s="1"/>
  <c r="BB288" i="17" s="1"/>
  <c r="BX288" i="17"/>
  <c r="BV288" i="17" s="1"/>
  <c r="CB288" i="17"/>
  <c r="CC288" i="17"/>
  <c r="CJ288" i="17"/>
  <c r="CH288" i="17" s="1"/>
  <c r="CL288" i="17"/>
  <c r="CM288" i="17"/>
  <c r="CN288" i="17"/>
  <c r="CO288" i="17" s="1"/>
  <c r="DK288" i="17"/>
  <c r="O289" i="17"/>
  <c r="T289" i="17"/>
  <c r="R289" i="17" s="1"/>
  <c r="V289" i="17"/>
  <c r="W289" i="17"/>
  <c r="X289" i="17" s="1"/>
  <c r="AV289" i="17"/>
  <c r="AT289" i="17" s="1"/>
  <c r="AX289" i="17"/>
  <c r="AY289" i="17"/>
  <c r="AZ289" i="17" s="1"/>
  <c r="BB289" i="17" s="1"/>
  <c r="BX289" i="17"/>
  <c r="BV289" i="17" s="1"/>
  <c r="CB289" i="17"/>
  <c r="CC289" i="17"/>
  <c r="CD289" i="17" s="1"/>
  <c r="CF289" i="17"/>
  <c r="CJ289" i="17"/>
  <c r="CH289" i="17" s="1"/>
  <c r="CL289" i="17"/>
  <c r="CM289" i="17"/>
  <c r="CN289" i="17"/>
  <c r="CO289" i="17" s="1"/>
  <c r="DK289" i="17"/>
  <c r="O290" i="17"/>
  <c r="T290" i="17"/>
  <c r="R290" i="17" s="1"/>
  <c r="V290" i="17"/>
  <c r="W290" i="17"/>
  <c r="X290" i="17" s="1"/>
  <c r="Z290" i="17"/>
  <c r="AV290" i="17"/>
  <c r="AT290" i="17" s="1"/>
  <c r="AX290" i="17"/>
  <c r="AY290" i="17"/>
  <c r="AZ290" i="17" s="1"/>
  <c r="BX290" i="17"/>
  <c r="CB290" i="17"/>
  <c r="CC290" i="17"/>
  <c r="CD290" i="17" s="1"/>
  <c r="CJ290" i="17"/>
  <c r="CH290" i="17" s="1"/>
  <c r="CL290" i="17"/>
  <c r="CM290" i="17"/>
  <c r="CN290" i="17"/>
  <c r="CO290" i="17" s="1"/>
  <c r="DK290" i="17"/>
  <c r="O291" i="17"/>
  <c r="T291" i="17"/>
  <c r="R291" i="17" s="1"/>
  <c r="V291" i="17"/>
  <c r="W291" i="17"/>
  <c r="X291" i="17" s="1"/>
  <c r="Z291" i="17" s="1"/>
  <c r="AV291" i="17"/>
  <c r="AX291" i="17"/>
  <c r="AY291" i="17"/>
  <c r="AZ291" i="17" s="1"/>
  <c r="BX291" i="17"/>
  <c r="BV291" i="17" s="1"/>
  <c r="CB291" i="17"/>
  <c r="CC291" i="17"/>
  <c r="CJ291" i="17"/>
  <c r="CH291" i="17" s="1"/>
  <c r="CL291" i="17"/>
  <c r="CM291" i="17"/>
  <c r="CN291" i="17"/>
  <c r="CO291" i="17" s="1"/>
  <c r="DK291" i="17"/>
  <c r="O292" i="17"/>
  <c r="T292" i="17"/>
  <c r="V292" i="17"/>
  <c r="W292" i="17"/>
  <c r="X292" i="17" s="1"/>
  <c r="AV292" i="17"/>
  <c r="AT292" i="17" s="1"/>
  <c r="AX292" i="17"/>
  <c r="AY292" i="17"/>
  <c r="AZ292" i="17" s="1"/>
  <c r="BB292" i="17"/>
  <c r="BX292" i="17"/>
  <c r="BV292" i="17" s="1"/>
  <c r="CB292" i="17"/>
  <c r="CC292" i="17"/>
  <c r="CJ292" i="17"/>
  <c r="CH292" i="17" s="1"/>
  <c r="CL292" i="17"/>
  <c r="CM292" i="17"/>
  <c r="CN292" i="17"/>
  <c r="DK292" i="17"/>
  <c r="O293" i="17"/>
  <c r="T293" i="17"/>
  <c r="V293" i="17"/>
  <c r="W293" i="17"/>
  <c r="X293" i="17" s="1"/>
  <c r="AV293" i="17"/>
  <c r="AT293" i="17" s="1"/>
  <c r="AX293" i="17"/>
  <c r="AY293" i="17"/>
  <c r="AZ293" i="17" s="1"/>
  <c r="BB293" i="17"/>
  <c r="BX293" i="17"/>
  <c r="BV293" i="17" s="1"/>
  <c r="CB293" i="17"/>
  <c r="CC293" i="17"/>
  <c r="CJ293" i="17"/>
  <c r="CH293" i="17" s="1"/>
  <c r="CL293" i="17"/>
  <c r="CM293" i="17"/>
  <c r="CN293" i="17"/>
  <c r="CO293" i="17" s="1"/>
  <c r="DK293" i="17"/>
  <c r="O294" i="17"/>
  <c r="T294" i="17"/>
  <c r="V294" i="17"/>
  <c r="W294" i="17"/>
  <c r="X294" i="17" s="1"/>
  <c r="AV294" i="17"/>
  <c r="AT294" i="17" s="1"/>
  <c r="AX294" i="17"/>
  <c r="AY294" i="17"/>
  <c r="AZ294" i="17" s="1"/>
  <c r="BB294" i="17"/>
  <c r="BX294" i="17"/>
  <c r="BV294" i="17" s="1"/>
  <c r="CB294" i="17"/>
  <c r="CC294" i="17"/>
  <c r="CJ294" i="17"/>
  <c r="CH294" i="17" s="1"/>
  <c r="CL294" i="17"/>
  <c r="CM294" i="17"/>
  <c r="CN294" i="17"/>
  <c r="DK294" i="17"/>
  <c r="O295" i="17"/>
  <c r="T295" i="17"/>
  <c r="R295" i="17" s="1"/>
  <c r="V295" i="17"/>
  <c r="W295" i="17"/>
  <c r="X295" i="17" s="1"/>
  <c r="AV295" i="17"/>
  <c r="AT295" i="17" s="1"/>
  <c r="AX295" i="17"/>
  <c r="AY295" i="17"/>
  <c r="AZ295" i="17" s="1"/>
  <c r="BX295" i="17"/>
  <c r="BV295" i="17" s="1"/>
  <c r="CB295" i="17"/>
  <c r="CC295" i="17"/>
  <c r="CJ295" i="17"/>
  <c r="CH295" i="17" s="1"/>
  <c r="CL295" i="17"/>
  <c r="CM295" i="17"/>
  <c r="CN295" i="17"/>
  <c r="CO295" i="17" s="1"/>
  <c r="DK295" i="17"/>
  <c r="O296" i="17"/>
  <c r="T296" i="17"/>
  <c r="V296" i="17"/>
  <c r="W296" i="17"/>
  <c r="X296" i="17" s="1"/>
  <c r="Z296" i="17"/>
  <c r="AV296" i="17"/>
  <c r="AT296" i="17" s="1"/>
  <c r="AX296" i="17"/>
  <c r="AY296" i="17"/>
  <c r="AZ296" i="17" s="1"/>
  <c r="BB296" i="17" s="1"/>
  <c r="BX296" i="17"/>
  <c r="BV296" i="17" s="1"/>
  <c r="CB296" i="17"/>
  <c r="CC296" i="17"/>
  <c r="CD296" i="17" s="1"/>
  <c r="CJ296" i="17"/>
  <c r="CH296" i="17" s="1"/>
  <c r="CL296" i="17"/>
  <c r="CM296" i="17"/>
  <c r="CN296" i="17"/>
  <c r="CO296" i="17" s="1"/>
  <c r="DK296" i="17"/>
  <c r="O297" i="17"/>
  <c r="T297" i="17"/>
  <c r="R297" i="17" s="1"/>
  <c r="V297" i="17"/>
  <c r="W297" i="17"/>
  <c r="X297" i="17" s="1"/>
  <c r="Z297" i="17"/>
  <c r="AV297" i="17"/>
  <c r="AT297" i="17" s="1"/>
  <c r="AX297" i="17"/>
  <c r="AY297" i="17"/>
  <c r="AZ297" i="17" s="1"/>
  <c r="BX297" i="17"/>
  <c r="CB297" i="17"/>
  <c r="CC297" i="17"/>
  <c r="CD297" i="17" s="1"/>
  <c r="CJ297" i="17"/>
  <c r="CH297" i="17" s="1"/>
  <c r="CL297" i="17"/>
  <c r="CM297" i="17"/>
  <c r="CN297" i="17"/>
  <c r="CO297" i="17" s="1"/>
  <c r="DK297" i="17"/>
  <c r="O298" i="17"/>
  <c r="T298" i="17"/>
  <c r="R298" i="17" s="1"/>
  <c r="V298" i="17"/>
  <c r="W298" i="17"/>
  <c r="X298" i="17" s="1"/>
  <c r="AV298" i="17"/>
  <c r="AX298" i="17"/>
  <c r="AY298" i="17"/>
  <c r="AZ298" i="17" s="1"/>
  <c r="BB298" i="17"/>
  <c r="BX298" i="17"/>
  <c r="BV298" i="17" s="1"/>
  <c r="CB298" i="17"/>
  <c r="CC298" i="17"/>
  <c r="CD298" i="17" s="1"/>
  <c r="CJ298" i="17"/>
  <c r="CH298" i="17" s="1"/>
  <c r="CL298" i="17"/>
  <c r="CM298" i="17"/>
  <c r="CN298" i="17"/>
  <c r="DK298" i="17"/>
  <c r="O299" i="17"/>
  <c r="T299" i="17"/>
  <c r="R299" i="17" s="1"/>
  <c r="V299" i="17"/>
  <c r="W299" i="17"/>
  <c r="X299" i="17" s="1"/>
  <c r="Z299" i="17"/>
  <c r="AV299" i="17"/>
  <c r="AT299" i="17" s="1"/>
  <c r="AX299" i="17"/>
  <c r="AY299" i="17"/>
  <c r="AZ299" i="17" s="1"/>
  <c r="BB299" i="17"/>
  <c r="BX299" i="17"/>
  <c r="BV299" i="17" s="1"/>
  <c r="CB299" i="17"/>
  <c r="CC299" i="17"/>
  <c r="CD299" i="17" s="1"/>
  <c r="CF299" i="17" s="1"/>
  <c r="CJ299" i="17"/>
  <c r="CH299" i="17" s="1"/>
  <c r="CL299" i="17"/>
  <c r="CM299" i="17"/>
  <c r="CN299" i="17"/>
  <c r="DK299" i="17"/>
  <c r="O300" i="17"/>
  <c r="T300" i="17"/>
  <c r="V300" i="17"/>
  <c r="W300" i="17"/>
  <c r="X300" i="17" s="1"/>
  <c r="Z300" i="17"/>
  <c r="AV300" i="17"/>
  <c r="AT300" i="17" s="1"/>
  <c r="AX300" i="17"/>
  <c r="AY300" i="17"/>
  <c r="AZ300" i="17" s="1"/>
  <c r="BB300" i="17"/>
  <c r="BX300" i="17"/>
  <c r="BV300" i="17" s="1"/>
  <c r="CB300" i="17"/>
  <c r="CC300" i="17"/>
  <c r="CJ300" i="17"/>
  <c r="CH300" i="17" s="1"/>
  <c r="CL300" i="17"/>
  <c r="CM300" i="17"/>
  <c r="CN300" i="17"/>
  <c r="DK300" i="17"/>
  <c r="O301" i="17"/>
  <c r="T301" i="17"/>
  <c r="V301" i="17"/>
  <c r="W301" i="17"/>
  <c r="X301" i="17" s="1"/>
  <c r="AV301" i="17"/>
  <c r="AT301" i="17" s="1"/>
  <c r="AX301" i="17"/>
  <c r="AY301" i="17"/>
  <c r="AZ301" i="17" s="1"/>
  <c r="BX301" i="17"/>
  <c r="BV301" i="17" s="1"/>
  <c r="CB301" i="17"/>
  <c r="CC301" i="17"/>
  <c r="CJ301" i="17"/>
  <c r="CH301" i="17" s="1"/>
  <c r="CL301" i="17"/>
  <c r="CM301" i="17"/>
  <c r="CN301" i="17"/>
  <c r="DK301" i="17"/>
  <c r="O302" i="17"/>
  <c r="T302" i="17"/>
  <c r="R302" i="17" s="1"/>
  <c r="V302" i="17"/>
  <c r="W302" i="17"/>
  <c r="X302" i="17" s="1"/>
  <c r="AV302" i="17"/>
  <c r="AT302" i="17" s="1"/>
  <c r="AX302" i="17"/>
  <c r="AY302" i="17"/>
  <c r="AZ302" i="17" s="1"/>
  <c r="BX302" i="17"/>
  <c r="BV302" i="17" s="1"/>
  <c r="CB302" i="17"/>
  <c r="CC302" i="17"/>
  <c r="CD302" i="17" s="1"/>
  <c r="CJ302" i="17"/>
  <c r="CH302" i="17" s="1"/>
  <c r="CL302" i="17"/>
  <c r="CM302" i="17"/>
  <c r="CN302" i="17"/>
  <c r="DK302" i="17"/>
  <c r="O303" i="17"/>
  <c r="T303" i="17"/>
  <c r="V303" i="17"/>
  <c r="W303" i="17"/>
  <c r="X303" i="17" s="1"/>
  <c r="Z303" i="17" s="1"/>
  <c r="AV303" i="17"/>
  <c r="AT303" i="17" s="1"/>
  <c r="AX303" i="17"/>
  <c r="AY303" i="17"/>
  <c r="AZ303" i="17" s="1"/>
  <c r="BB303" i="17"/>
  <c r="BX303" i="17"/>
  <c r="BV303" i="17" s="1"/>
  <c r="CB303" i="17"/>
  <c r="CC303" i="17"/>
  <c r="CJ303" i="17"/>
  <c r="CH303" i="17" s="1"/>
  <c r="CL303" i="17"/>
  <c r="CM303" i="17"/>
  <c r="CN303" i="17"/>
  <c r="CO303" i="17" s="1"/>
  <c r="DK303" i="17"/>
  <c r="O304" i="17"/>
  <c r="T304" i="17"/>
  <c r="R304" i="17" s="1"/>
  <c r="V304" i="17"/>
  <c r="W304" i="17"/>
  <c r="X304" i="17" s="1"/>
  <c r="Z304" i="17" s="1"/>
  <c r="AV304" i="17"/>
  <c r="AX304" i="17"/>
  <c r="AY304" i="17"/>
  <c r="AZ304" i="17" s="1"/>
  <c r="BB304" i="17"/>
  <c r="BX304" i="17"/>
  <c r="BV304" i="17" s="1"/>
  <c r="CB304" i="17"/>
  <c r="CC304" i="17"/>
  <c r="CD304" i="17" s="1"/>
  <c r="CF304" i="17"/>
  <c r="CJ304" i="17"/>
  <c r="CH304" i="17" s="1"/>
  <c r="CL304" i="17"/>
  <c r="CM304" i="17"/>
  <c r="CN304" i="17"/>
  <c r="CO304" i="17" s="1"/>
  <c r="DK304" i="17"/>
  <c r="O305" i="17"/>
  <c r="T305" i="17"/>
  <c r="V305" i="17"/>
  <c r="W305" i="17"/>
  <c r="X305" i="17" s="1"/>
  <c r="Z305" i="17" s="1"/>
  <c r="AV305" i="17"/>
  <c r="AT305" i="17" s="1"/>
  <c r="AX305" i="17"/>
  <c r="AY305" i="17"/>
  <c r="AZ305" i="17" s="1"/>
  <c r="BX305" i="17"/>
  <c r="BV305" i="17" s="1"/>
  <c r="CB305" i="17"/>
  <c r="CC305" i="17"/>
  <c r="CD305" i="17" s="1"/>
  <c r="CJ305" i="17"/>
  <c r="CH305" i="17" s="1"/>
  <c r="CL305" i="17"/>
  <c r="CM305" i="17"/>
  <c r="CN305" i="17"/>
  <c r="CO305" i="17" s="1"/>
  <c r="DK305" i="17"/>
  <c r="O306" i="17"/>
  <c r="T306" i="17"/>
  <c r="R306" i="17" s="1"/>
  <c r="V306" i="17"/>
  <c r="W306" i="17"/>
  <c r="X306" i="17" s="1"/>
  <c r="Z306" i="17" s="1"/>
  <c r="AV306" i="17"/>
  <c r="AT306" i="17" s="1"/>
  <c r="AX306" i="17"/>
  <c r="AY306" i="17"/>
  <c r="AZ306" i="17" s="1"/>
  <c r="BB306" i="17"/>
  <c r="BX306" i="17"/>
  <c r="BV306" i="17" s="1"/>
  <c r="CB306" i="17"/>
  <c r="CC306" i="17"/>
  <c r="CD306" i="17" s="1"/>
  <c r="CJ306" i="17"/>
  <c r="CH306" i="17" s="1"/>
  <c r="CL306" i="17"/>
  <c r="CM306" i="17"/>
  <c r="CN306" i="17"/>
  <c r="DK306" i="17"/>
  <c r="O307" i="17"/>
  <c r="T307" i="17"/>
  <c r="R307" i="17" s="1"/>
  <c r="V307" i="17"/>
  <c r="W307" i="17"/>
  <c r="X307" i="17" s="1"/>
  <c r="AV307" i="17"/>
  <c r="AX307" i="17"/>
  <c r="AY307" i="17"/>
  <c r="AZ307" i="17" s="1"/>
  <c r="BX307" i="17"/>
  <c r="BV307" i="17" s="1"/>
  <c r="CB307" i="17"/>
  <c r="CC307" i="17"/>
  <c r="CD307" i="17" s="1"/>
  <c r="CJ307" i="17"/>
  <c r="CH307" i="17" s="1"/>
  <c r="CL307" i="17"/>
  <c r="CM307" i="17"/>
  <c r="CN307" i="17"/>
  <c r="CO307" i="17" s="1"/>
  <c r="DK307" i="17"/>
  <c r="O308" i="17"/>
  <c r="T308" i="17"/>
  <c r="V308" i="17"/>
  <c r="W308" i="17"/>
  <c r="X308" i="17" s="1"/>
  <c r="Z308" i="17"/>
  <c r="AV308" i="17"/>
  <c r="AT308" i="17" s="1"/>
  <c r="AX308" i="17"/>
  <c r="AY308" i="17"/>
  <c r="AZ308" i="17" s="1"/>
  <c r="BB308" i="17"/>
  <c r="BX308" i="17"/>
  <c r="BV308" i="17" s="1"/>
  <c r="CB308" i="17"/>
  <c r="CC308" i="17"/>
  <c r="CJ308" i="17"/>
  <c r="CH308" i="17" s="1"/>
  <c r="CL308" i="17"/>
  <c r="CM308" i="17"/>
  <c r="CN308" i="17"/>
  <c r="DK308" i="17"/>
  <c r="O309" i="17"/>
  <c r="T309" i="17"/>
  <c r="R309" i="17" s="1"/>
  <c r="V309" i="17"/>
  <c r="W309" i="17"/>
  <c r="X309" i="17" s="1"/>
  <c r="AV309" i="17"/>
  <c r="AT309" i="17" s="1"/>
  <c r="AX309" i="17"/>
  <c r="AY309" i="17"/>
  <c r="AZ309" i="17" s="1"/>
  <c r="BX309" i="17"/>
  <c r="BV309" i="17" s="1"/>
  <c r="CB309" i="17"/>
  <c r="CC309" i="17"/>
  <c r="CD309" i="17" s="1"/>
  <c r="CJ309" i="17"/>
  <c r="CH309" i="17" s="1"/>
  <c r="CL309" i="17"/>
  <c r="CM309" i="17"/>
  <c r="CN309" i="17"/>
  <c r="DK309" i="17"/>
  <c r="O310" i="17"/>
  <c r="T310" i="17"/>
  <c r="R310" i="17" s="1"/>
  <c r="V310" i="17"/>
  <c r="W310" i="17"/>
  <c r="X310" i="17" s="1"/>
  <c r="AV310" i="17"/>
  <c r="AT310" i="17" s="1"/>
  <c r="AX310" i="17"/>
  <c r="AY310" i="17"/>
  <c r="AZ310" i="17" s="1"/>
  <c r="BX310" i="17"/>
  <c r="BV310" i="17" s="1"/>
  <c r="CB310" i="17"/>
  <c r="CC310" i="17"/>
  <c r="CJ310" i="17"/>
  <c r="CH310" i="17" s="1"/>
  <c r="CL310" i="17"/>
  <c r="CM310" i="17"/>
  <c r="CN310" i="17"/>
  <c r="DK310" i="17"/>
  <c r="O311" i="17"/>
  <c r="T311" i="17"/>
  <c r="V311" i="17"/>
  <c r="W311" i="17"/>
  <c r="X311" i="17" s="1"/>
  <c r="Z311" i="17" s="1"/>
  <c r="AV311" i="17"/>
  <c r="AT311" i="17" s="1"/>
  <c r="AX311" i="17"/>
  <c r="AY311" i="17"/>
  <c r="AZ311" i="17" s="1"/>
  <c r="BX311" i="17"/>
  <c r="BV311" i="17" s="1"/>
  <c r="CB311" i="17"/>
  <c r="CC311" i="17"/>
  <c r="CJ311" i="17"/>
  <c r="CH311" i="17" s="1"/>
  <c r="CL311" i="17"/>
  <c r="CM311" i="17"/>
  <c r="CN311" i="17"/>
  <c r="CO311" i="17" s="1"/>
  <c r="DK311" i="17"/>
  <c r="O312" i="17"/>
  <c r="T312" i="17"/>
  <c r="R312" i="17" s="1"/>
  <c r="V312" i="17"/>
  <c r="W312" i="17"/>
  <c r="X312" i="17" s="1"/>
  <c r="Z312" i="17"/>
  <c r="AV312" i="17"/>
  <c r="AT312" i="17" s="1"/>
  <c r="AX312" i="17"/>
  <c r="AY312" i="17"/>
  <c r="AZ312" i="17" s="1"/>
  <c r="BB312" i="17" s="1"/>
  <c r="BX312" i="17"/>
  <c r="BV312" i="17" s="1"/>
  <c r="CB312" i="17"/>
  <c r="CC312" i="17"/>
  <c r="CD312" i="17" s="1"/>
  <c r="CJ312" i="17"/>
  <c r="CH312" i="17" s="1"/>
  <c r="CL312" i="17"/>
  <c r="CM312" i="17"/>
  <c r="CN312" i="17"/>
  <c r="DK312" i="17"/>
  <c r="O313" i="17"/>
  <c r="T313" i="17"/>
  <c r="R313" i="17" s="1"/>
  <c r="V313" i="17"/>
  <c r="W313" i="17"/>
  <c r="X313" i="17" s="1"/>
  <c r="Z313" i="17"/>
  <c r="AV313" i="17"/>
  <c r="AT313" i="17" s="1"/>
  <c r="AX313" i="17"/>
  <c r="AY313" i="17"/>
  <c r="AZ313" i="17" s="1"/>
  <c r="BX313" i="17"/>
  <c r="BV313" i="17" s="1"/>
  <c r="CB313" i="17"/>
  <c r="CC313" i="17"/>
  <c r="CF313" i="17"/>
  <c r="CJ313" i="17"/>
  <c r="CH313" i="17" s="1"/>
  <c r="CL313" i="17"/>
  <c r="CM313" i="17"/>
  <c r="CN313" i="17"/>
  <c r="CO313" i="17" s="1"/>
  <c r="DK313" i="17"/>
  <c r="O314" i="17"/>
  <c r="T314" i="17"/>
  <c r="R314" i="17" s="1"/>
  <c r="V314" i="17"/>
  <c r="W314" i="17"/>
  <c r="X314" i="17" s="1"/>
  <c r="AV314" i="17"/>
  <c r="AT314" i="17" s="1"/>
  <c r="AX314" i="17"/>
  <c r="AY314" i="17"/>
  <c r="AZ314" i="17" s="1"/>
  <c r="BX314" i="17"/>
  <c r="BV314" i="17" s="1"/>
  <c r="CB314" i="17"/>
  <c r="CC314" i="17"/>
  <c r="CD314" i="17" s="1"/>
  <c r="CJ314" i="17"/>
  <c r="CH314" i="17" s="1"/>
  <c r="CL314" i="17"/>
  <c r="CM314" i="17"/>
  <c r="CN314" i="17"/>
  <c r="CO314" i="17" s="1"/>
  <c r="DK314" i="17"/>
  <c r="O315" i="17"/>
  <c r="T315" i="17"/>
  <c r="V315" i="17"/>
  <c r="W315" i="17"/>
  <c r="X315" i="17" s="1"/>
  <c r="Z315" i="17" s="1"/>
  <c r="AV315" i="17"/>
  <c r="AT315" i="17" s="1"/>
  <c r="AX315" i="17"/>
  <c r="AY315" i="17"/>
  <c r="AZ315" i="17" s="1"/>
  <c r="BX315" i="17"/>
  <c r="BV315" i="17" s="1"/>
  <c r="CB315" i="17"/>
  <c r="CC315" i="17"/>
  <c r="CJ315" i="17"/>
  <c r="CH315" i="17" s="1"/>
  <c r="CL315" i="17"/>
  <c r="CM315" i="17"/>
  <c r="CN315" i="17"/>
  <c r="DK315" i="17"/>
  <c r="O316" i="17"/>
  <c r="T316" i="17"/>
  <c r="V316" i="17"/>
  <c r="W316" i="17"/>
  <c r="X316" i="17" s="1"/>
  <c r="AV316" i="17"/>
  <c r="AT316" i="17" s="1"/>
  <c r="AX316" i="17"/>
  <c r="AY316" i="17"/>
  <c r="AZ316" i="17" s="1"/>
  <c r="BX316" i="17"/>
  <c r="BV316" i="17" s="1"/>
  <c r="CB316" i="17"/>
  <c r="CC316" i="17"/>
  <c r="CJ316" i="17"/>
  <c r="CH316" i="17" s="1"/>
  <c r="CL316" i="17"/>
  <c r="CM316" i="17"/>
  <c r="CN316" i="17"/>
  <c r="DK316" i="17"/>
  <c r="O317" i="17"/>
  <c r="T317" i="17"/>
  <c r="R317" i="17" s="1"/>
  <c r="V317" i="17"/>
  <c r="W317" i="17"/>
  <c r="X317" i="17" s="1"/>
  <c r="AV317" i="17"/>
  <c r="AT317" i="17" s="1"/>
  <c r="AX317" i="17"/>
  <c r="AY317" i="17"/>
  <c r="AZ317" i="17" s="1"/>
  <c r="BX317" i="17"/>
  <c r="BV317" i="17" s="1"/>
  <c r="CB317" i="17"/>
  <c r="CC317" i="17"/>
  <c r="CJ317" i="17"/>
  <c r="CH317" i="17" s="1"/>
  <c r="CL317" i="17"/>
  <c r="CM317" i="17"/>
  <c r="CN317" i="17"/>
  <c r="DK317" i="17"/>
  <c r="O318" i="17"/>
  <c r="T318" i="17"/>
  <c r="V318" i="17"/>
  <c r="W318" i="17"/>
  <c r="X318" i="17" s="1"/>
  <c r="Z318" i="17"/>
  <c r="AV318" i="17"/>
  <c r="AT318" i="17" s="1"/>
  <c r="AX318" i="17"/>
  <c r="AY318" i="17"/>
  <c r="AZ318" i="17" s="1"/>
  <c r="BB318" i="17"/>
  <c r="BX318" i="17"/>
  <c r="BV318" i="17" s="1"/>
  <c r="CB318" i="17"/>
  <c r="CC318" i="17"/>
  <c r="CD318" i="17" s="1"/>
  <c r="CJ318" i="17"/>
  <c r="CH318" i="17" s="1"/>
  <c r="CL318" i="17"/>
  <c r="CM318" i="17"/>
  <c r="CN318" i="17"/>
  <c r="DK318" i="17"/>
  <c r="O319" i="17"/>
  <c r="T319" i="17"/>
  <c r="R319" i="17" s="1"/>
  <c r="V319" i="17"/>
  <c r="W319" i="17"/>
  <c r="X319" i="17" s="1"/>
  <c r="Z319" i="17" s="1"/>
  <c r="AV319" i="17"/>
  <c r="AT319" i="17" s="1"/>
  <c r="AX319" i="17"/>
  <c r="AY319" i="17"/>
  <c r="AZ319" i="17" s="1"/>
  <c r="BX319" i="17"/>
  <c r="BV319" i="17" s="1"/>
  <c r="CB319" i="17"/>
  <c r="CC319" i="17"/>
  <c r="CJ319" i="17"/>
  <c r="CH319" i="17" s="1"/>
  <c r="CL319" i="17"/>
  <c r="CM319" i="17"/>
  <c r="CN319" i="17"/>
  <c r="CO319" i="17" s="1"/>
  <c r="DK319" i="17"/>
  <c r="O320" i="17"/>
  <c r="T320" i="17"/>
  <c r="R320" i="17" s="1"/>
  <c r="V320" i="17"/>
  <c r="W320" i="17"/>
  <c r="X320" i="17" s="1"/>
  <c r="Z320" i="17" s="1"/>
  <c r="AV320" i="17"/>
  <c r="AX320" i="17"/>
  <c r="AY320" i="17"/>
  <c r="AZ320" i="17" s="1"/>
  <c r="BB320" i="17" s="1"/>
  <c r="BX320" i="17"/>
  <c r="BV320" i="17" s="1"/>
  <c r="CB320" i="17"/>
  <c r="CC320" i="17"/>
  <c r="CD320" i="17" s="1"/>
  <c r="CJ320" i="17"/>
  <c r="CH320" i="17" s="1"/>
  <c r="CL320" i="17"/>
  <c r="CM320" i="17"/>
  <c r="CN320" i="17"/>
  <c r="DK320" i="17"/>
  <c r="O321" i="17"/>
  <c r="T321" i="17"/>
  <c r="V321" i="17"/>
  <c r="W321" i="17"/>
  <c r="X321" i="17" s="1"/>
  <c r="Z321" i="17" s="1"/>
  <c r="AV321" i="17"/>
  <c r="AT321" i="17" s="1"/>
  <c r="AX321" i="17"/>
  <c r="AY321" i="17"/>
  <c r="AZ321" i="17" s="1"/>
  <c r="BX321" i="17"/>
  <c r="BV321" i="17" s="1"/>
  <c r="CB321" i="17"/>
  <c r="CC321" i="17"/>
  <c r="CJ321" i="17"/>
  <c r="CH321" i="17" s="1"/>
  <c r="CL321" i="17"/>
  <c r="CM321" i="17"/>
  <c r="CN321" i="17"/>
  <c r="CO321" i="17" s="1"/>
  <c r="DK321" i="17"/>
  <c r="O322" i="17"/>
  <c r="T322" i="17"/>
  <c r="R322" i="17" s="1"/>
  <c r="V322" i="17"/>
  <c r="W322" i="17"/>
  <c r="X322" i="17" s="1"/>
  <c r="AV322" i="17"/>
  <c r="AX322" i="17"/>
  <c r="AY322" i="17"/>
  <c r="AZ322" i="17" s="1"/>
  <c r="BX322" i="17"/>
  <c r="BV322" i="17" s="1"/>
  <c r="CB322" i="17"/>
  <c r="CC322" i="17"/>
  <c r="CJ322" i="17"/>
  <c r="CH322" i="17" s="1"/>
  <c r="CL322" i="17"/>
  <c r="CM322" i="17"/>
  <c r="CN322" i="17"/>
  <c r="CO322" i="17" s="1"/>
  <c r="DK322" i="17"/>
  <c r="O323" i="17"/>
  <c r="T323" i="17"/>
  <c r="R323" i="17" s="1"/>
  <c r="V323" i="17"/>
  <c r="W323" i="17"/>
  <c r="X323" i="17" s="1"/>
  <c r="Z323" i="17" s="1"/>
  <c r="AV323" i="17"/>
  <c r="AT323" i="17" s="1"/>
  <c r="AX323" i="17"/>
  <c r="AY323" i="17"/>
  <c r="AZ323" i="17" s="1"/>
  <c r="BB323" i="17"/>
  <c r="BX323" i="17"/>
  <c r="CB323" i="17"/>
  <c r="CC323" i="17"/>
  <c r="CD323" i="17" s="1"/>
  <c r="CJ323" i="17"/>
  <c r="CH323" i="17" s="1"/>
  <c r="CL323" i="17"/>
  <c r="CM323" i="17"/>
  <c r="CN323" i="17"/>
  <c r="DK323" i="17"/>
  <c r="O324" i="17"/>
  <c r="T324" i="17"/>
  <c r="V324" i="17"/>
  <c r="W324" i="17"/>
  <c r="X324" i="17" s="1"/>
  <c r="Z324" i="17"/>
  <c r="AV324" i="17"/>
  <c r="AT324" i="17" s="1"/>
  <c r="AX324" i="17"/>
  <c r="AY324" i="17"/>
  <c r="AZ324" i="17" s="1"/>
  <c r="BB324" i="17"/>
  <c r="BX324" i="17"/>
  <c r="BV324" i="17" s="1"/>
  <c r="CB324" i="17"/>
  <c r="CC324" i="17"/>
  <c r="CJ324" i="17"/>
  <c r="CH324" i="17" s="1"/>
  <c r="CL324" i="17"/>
  <c r="CM324" i="17"/>
  <c r="CN324" i="17"/>
  <c r="DK324" i="17"/>
  <c r="O325" i="17"/>
  <c r="T325" i="17"/>
  <c r="V325" i="17"/>
  <c r="W325" i="17"/>
  <c r="X325" i="17" s="1"/>
  <c r="Z325" i="17" s="1"/>
  <c r="AV325" i="17"/>
  <c r="AT325" i="17" s="1"/>
  <c r="AX325" i="17"/>
  <c r="AY325" i="17"/>
  <c r="AZ325" i="17" s="1"/>
  <c r="BB325" i="17"/>
  <c r="BX325" i="17"/>
  <c r="BV325" i="17" s="1"/>
  <c r="CB325" i="17"/>
  <c r="CC325" i="17"/>
  <c r="CJ325" i="17"/>
  <c r="CH325" i="17" s="1"/>
  <c r="CL325" i="17"/>
  <c r="CM325" i="17"/>
  <c r="CN325" i="17"/>
  <c r="CO325" i="17" s="1"/>
  <c r="DK325" i="17"/>
  <c r="O326" i="17"/>
  <c r="T326" i="17"/>
  <c r="R326" i="17" s="1"/>
  <c r="V326" i="17"/>
  <c r="W326" i="17"/>
  <c r="X326" i="17" s="1"/>
  <c r="Z326" i="17"/>
  <c r="AV326" i="17"/>
  <c r="AT326" i="17" s="1"/>
  <c r="AX326" i="17"/>
  <c r="AY326" i="17"/>
  <c r="AZ326" i="17" s="1"/>
  <c r="BB326" i="17" s="1"/>
  <c r="BX326" i="17"/>
  <c r="BV326" i="17" s="1"/>
  <c r="CB326" i="17"/>
  <c r="CC326" i="17"/>
  <c r="CD326" i="17" s="1"/>
  <c r="CJ326" i="17"/>
  <c r="CH326" i="17" s="1"/>
  <c r="CL326" i="17"/>
  <c r="CM326" i="17"/>
  <c r="CN326" i="17"/>
  <c r="CO326" i="17" s="1"/>
  <c r="DK326" i="17"/>
  <c r="O327" i="17"/>
  <c r="T327" i="17"/>
  <c r="V327" i="17"/>
  <c r="W327" i="17"/>
  <c r="X327" i="17" s="1"/>
  <c r="Z327" i="17"/>
  <c r="AV327" i="17"/>
  <c r="AT327" i="17" s="1"/>
  <c r="AX327" i="17"/>
  <c r="AY327" i="17"/>
  <c r="AZ327" i="17" s="1"/>
  <c r="BB327" i="17"/>
  <c r="BX327" i="17"/>
  <c r="BV327" i="17" s="1"/>
  <c r="CB327" i="17"/>
  <c r="CC327" i="17"/>
  <c r="CJ327" i="17"/>
  <c r="CH327" i="17" s="1"/>
  <c r="CL327" i="17"/>
  <c r="CM327" i="17"/>
  <c r="CN327" i="17"/>
  <c r="DK327" i="17"/>
  <c r="O328" i="17"/>
  <c r="T328" i="17"/>
  <c r="R328" i="17" s="1"/>
  <c r="V328" i="17"/>
  <c r="W328" i="17"/>
  <c r="X328" i="17" s="1"/>
  <c r="Z328" i="17"/>
  <c r="AV328" i="17"/>
  <c r="AT328" i="17" s="1"/>
  <c r="AX328" i="17"/>
  <c r="AY328" i="17"/>
  <c r="AZ328" i="17" s="1"/>
  <c r="BX328" i="17"/>
  <c r="BV328" i="17" s="1"/>
  <c r="CB328" i="17"/>
  <c r="CC328" i="17"/>
  <c r="CD328" i="17" s="1"/>
  <c r="CJ328" i="17"/>
  <c r="CH328" i="17" s="1"/>
  <c r="CL328" i="17"/>
  <c r="CM328" i="17"/>
  <c r="CN328" i="17"/>
  <c r="CO328" i="17" s="1"/>
  <c r="DK328" i="17"/>
  <c r="O329" i="17"/>
  <c r="T329" i="17"/>
  <c r="R329" i="17" s="1"/>
  <c r="V329" i="17"/>
  <c r="W329" i="17"/>
  <c r="X329" i="17" s="1"/>
  <c r="Z329" i="17" s="1"/>
  <c r="AV329" i="17"/>
  <c r="AT329" i="17" s="1"/>
  <c r="AX329" i="17"/>
  <c r="AY329" i="17"/>
  <c r="AZ329" i="17" s="1"/>
  <c r="BX329" i="17"/>
  <c r="BV329" i="17" s="1"/>
  <c r="CB329" i="17"/>
  <c r="CC329" i="17"/>
  <c r="CD329" i="17" s="1"/>
  <c r="CJ329" i="17"/>
  <c r="CL329" i="17"/>
  <c r="CM329" i="17"/>
  <c r="CN329" i="17"/>
  <c r="CO329" i="17" s="1"/>
  <c r="DK329" i="17"/>
  <c r="O330" i="17"/>
  <c r="T330" i="17"/>
  <c r="R330" i="17" s="1"/>
  <c r="V330" i="17"/>
  <c r="W330" i="17"/>
  <c r="X330" i="17" s="1"/>
  <c r="AV330" i="17"/>
  <c r="AT330" i="17" s="1"/>
  <c r="AX330" i="17"/>
  <c r="AY330" i="17"/>
  <c r="AZ330" i="17" s="1"/>
  <c r="BX330" i="17"/>
  <c r="BV330" i="17" s="1"/>
  <c r="CB330" i="17"/>
  <c r="CC330" i="17"/>
  <c r="CJ330" i="17"/>
  <c r="CH330" i="17" s="1"/>
  <c r="CL330" i="17"/>
  <c r="CM330" i="17"/>
  <c r="CN330" i="17"/>
  <c r="CO330" i="17" s="1"/>
  <c r="DK330" i="17"/>
  <c r="O331" i="17"/>
  <c r="T331" i="17"/>
  <c r="V331" i="17"/>
  <c r="W331" i="17"/>
  <c r="X331" i="17" s="1"/>
  <c r="AV331" i="17"/>
  <c r="AT331" i="17" s="1"/>
  <c r="AX331" i="17"/>
  <c r="AY331" i="17"/>
  <c r="AZ331" i="17" s="1"/>
  <c r="BX331" i="17"/>
  <c r="BV331" i="17" s="1"/>
  <c r="CB331" i="17"/>
  <c r="CC331" i="17"/>
  <c r="CJ331" i="17"/>
  <c r="CH331" i="17" s="1"/>
  <c r="CL331" i="17"/>
  <c r="CM331" i="17"/>
  <c r="CN331" i="17"/>
  <c r="DK331" i="17"/>
  <c r="O332" i="17"/>
  <c r="T332" i="17"/>
  <c r="R332" i="17" s="1"/>
  <c r="V332" i="17"/>
  <c r="W332" i="17"/>
  <c r="X332" i="17" s="1"/>
  <c r="AV332" i="17"/>
  <c r="AT332" i="17" s="1"/>
  <c r="AX332" i="17"/>
  <c r="AY332" i="17"/>
  <c r="AZ332" i="17" s="1"/>
  <c r="BX332" i="17"/>
  <c r="BV332" i="17" s="1"/>
  <c r="CB332" i="17"/>
  <c r="CC332" i="17"/>
  <c r="CJ332" i="17"/>
  <c r="CH332" i="17" s="1"/>
  <c r="CL332" i="17"/>
  <c r="CM332" i="17"/>
  <c r="CN332" i="17"/>
  <c r="CO332" i="17" s="1"/>
  <c r="DK332" i="17"/>
  <c r="O333" i="17"/>
  <c r="T333" i="17"/>
  <c r="V333" i="17"/>
  <c r="W333" i="17"/>
  <c r="X333" i="17" s="1"/>
  <c r="AV333" i="17"/>
  <c r="AT333" i="17" s="1"/>
  <c r="AX333" i="17"/>
  <c r="AY333" i="17"/>
  <c r="AZ333" i="17" s="1"/>
  <c r="BX333" i="17"/>
  <c r="BV333" i="17" s="1"/>
  <c r="CB333" i="17"/>
  <c r="CC333" i="17"/>
  <c r="CD333" i="17" s="1"/>
  <c r="CJ333" i="17"/>
  <c r="CH333" i="17" s="1"/>
  <c r="CL333" i="17"/>
  <c r="CM333" i="17"/>
  <c r="CN333" i="17"/>
  <c r="DK333" i="17"/>
  <c r="O334" i="17"/>
  <c r="T334" i="17"/>
  <c r="R334" i="17" s="1"/>
  <c r="V334" i="17"/>
  <c r="W334" i="17"/>
  <c r="X334" i="17" s="1"/>
  <c r="Z334" i="17"/>
  <c r="AV334" i="17"/>
  <c r="AT334" i="17" s="1"/>
  <c r="AX334" i="17"/>
  <c r="AY334" i="17"/>
  <c r="AZ334" i="17" s="1"/>
  <c r="BX334" i="17"/>
  <c r="BV334" i="17" s="1"/>
  <c r="CB334" i="17"/>
  <c r="CC334" i="17"/>
  <c r="CJ334" i="17"/>
  <c r="CH334" i="17" s="1"/>
  <c r="CL334" i="17"/>
  <c r="CM334" i="17"/>
  <c r="CN334" i="17"/>
  <c r="DK334" i="17"/>
  <c r="O335" i="17"/>
  <c r="T335" i="17"/>
  <c r="R335" i="17" s="1"/>
  <c r="V335" i="17"/>
  <c r="W335" i="17"/>
  <c r="X335" i="17" s="1"/>
  <c r="Z335" i="17" s="1"/>
  <c r="AV335" i="17"/>
  <c r="AT335" i="17" s="1"/>
  <c r="AX335" i="17"/>
  <c r="AY335" i="17"/>
  <c r="AZ335" i="17" s="1"/>
  <c r="BX335" i="17"/>
  <c r="BV335" i="17" s="1"/>
  <c r="CB335" i="17"/>
  <c r="CC335" i="17"/>
  <c r="CD335" i="17" s="1"/>
  <c r="CJ335" i="17"/>
  <c r="CH335" i="17" s="1"/>
  <c r="CL335" i="17"/>
  <c r="CM335" i="17"/>
  <c r="CN335" i="17"/>
  <c r="CO335" i="17" s="1"/>
  <c r="DK335" i="17"/>
  <c r="O336" i="17"/>
  <c r="T336" i="17"/>
  <c r="R336" i="17" s="1"/>
  <c r="V336" i="17"/>
  <c r="W336" i="17"/>
  <c r="X336" i="17" s="1"/>
  <c r="Z336" i="17" s="1"/>
  <c r="AV336" i="17"/>
  <c r="AT336" i="17" s="1"/>
  <c r="AX336" i="17"/>
  <c r="AY336" i="17"/>
  <c r="AZ336" i="17" s="1"/>
  <c r="BB336" i="17" s="1"/>
  <c r="BX336" i="17"/>
  <c r="BV336" i="17" s="1"/>
  <c r="CB336" i="17"/>
  <c r="CC336" i="17"/>
  <c r="CD336" i="17" s="1"/>
  <c r="CF336" i="17"/>
  <c r="CJ336" i="17"/>
  <c r="CH336" i="17" s="1"/>
  <c r="CL336" i="17"/>
  <c r="CM336" i="17"/>
  <c r="CN336" i="17"/>
  <c r="CO336" i="17" s="1"/>
  <c r="DK336" i="17"/>
  <c r="O337" i="17"/>
  <c r="T337" i="17"/>
  <c r="V337" i="17"/>
  <c r="W337" i="17"/>
  <c r="X337" i="17" s="1"/>
  <c r="Z337" i="17"/>
  <c r="AV337" i="17"/>
  <c r="AT337" i="17" s="1"/>
  <c r="AX337" i="17"/>
  <c r="AY337" i="17"/>
  <c r="AZ337" i="17" s="1"/>
  <c r="BB337" i="17" s="1"/>
  <c r="BX337" i="17"/>
  <c r="BV337" i="17" s="1"/>
  <c r="CB337" i="17"/>
  <c r="CC337" i="17"/>
  <c r="CD337" i="17" s="1"/>
  <c r="CF337" i="17" s="1"/>
  <c r="CJ337" i="17"/>
  <c r="CH337" i="17" s="1"/>
  <c r="CL337" i="17"/>
  <c r="CM337" i="17"/>
  <c r="CN337" i="17"/>
  <c r="CO337" i="17" s="1"/>
  <c r="DK337" i="17"/>
  <c r="O338" i="17"/>
  <c r="T338" i="17"/>
  <c r="R338" i="17" s="1"/>
  <c r="V338" i="17"/>
  <c r="W338" i="17"/>
  <c r="X338" i="17" s="1"/>
  <c r="Z338" i="17"/>
  <c r="AV338" i="17"/>
  <c r="AT338" i="17" s="1"/>
  <c r="AX338" i="17"/>
  <c r="AY338" i="17"/>
  <c r="AZ338" i="17" s="1"/>
  <c r="BX338" i="17"/>
  <c r="BV338" i="17" s="1"/>
  <c r="CB338" i="17"/>
  <c r="CC338" i="17"/>
  <c r="CD338" i="17" s="1"/>
  <c r="CF338" i="17" s="1"/>
  <c r="CJ338" i="17"/>
  <c r="CH338" i="17" s="1"/>
  <c r="CL338" i="17"/>
  <c r="CM338" i="17"/>
  <c r="CN338" i="17"/>
  <c r="DK338" i="17"/>
  <c r="O339" i="17"/>
  <c r="T339" i="17"/>
  <c r="V339" i="17"/>
  <c r="W339" i="17"/>
  <c r="X339" i="17" s="1"/>
  <c r="AV339" i="17"/>
  <c r="AT339" i="17" s="1"/>
  <c r="AX339" i="17"/>
  <c r="AY339" i="17"/>
  <c r="AZ339" i="17" s="1"/>
  <c r="BB339" i="17"/>
  <c r="BX339" i="17"/>
  <c r="BV339" i="17" s="1"/>
  <c r="CB339" i="17"/>
  <c r="CC339" i="17"/>
  <c r="CJ339" i="17"/>
  <c r="CH339" i="17" s="1"/>
  <c r="CL339" i="17"/>
  <c r="CM339" i="17"/>
  <c r="CN339" i="17"/>
  <c r="DK339" i="17"/>
  <c r="O340" i="17"/>
  <c r="T340" i="17"/>
  <c r="V340" i="17"/>
  <c r="W340" i="17"/>
  <c r="X340" i="17" s="1"/>
  <c r="AV340" i="17"/>
  <c r="AT340" i="17" s="1"/>
  <c r="AX340" i="17"/>
  <c r="AY340" i="17"/>
  <c r="AZ340" i="17" s="1"/>
  <c r="BX340" i="17"/>
  <c r="BV340" i="17" s="1"/>
  <c r="CB340" i="17"/>
  <c r="CC340" i="17"/>
  <c r="CF340" i="17"/>
  <c r="CJ340" i="17"/>
  <c r="CH340" i="17" s="1"/>
  <c r="CL340" i="17"/>
  <c r="CM340" i="17"/>
  <c r="CN340" i="17"/>
  <c r="DK340" i="17"/>
  <c r="O341" i="17"/>
  <c r="T341" i="17"/>
  <c r="R341" i="17" s="1"/>
  <c r="V341" i="17"/>
  <c r="W341" i="17"/>
  <c r="X341" i="17" s="1"/>
  <c r="AV341" i="17"/>
  <c r="AT341" i="17" s="1"/>
  <c r="AX341" i="17"/>
  <c r="AY341" i="17"/>
  <c r="AZ341" i="17" s="1"/>
  <c r="BX341" i="17"/>
  <c r="BV341" i="17" s="1"/>
  <c r="CB341" i="17"/>
  <c r="CC341" i="17"/>
  <c r="CJ341" i="17"/>
  <c r="CH341" i="17" s="1"/>
  <c r="CL341" i="17"/>
  <c r="CM341" i="17"/>
  <c r="CN341" i="17"/>
  <c r="DK341" i="17"/>
  <c r="O342" i="17"/>
  <c r="T342" i="17"/>
  <c r="R342" i="17" s="1"/>
  <c r="V342" i="17"/>
  <c r="W342" i="17"/>
  <c r="X342" i="17" s="1"/>
  <c r="AV342" i="17"/>
  <c r="AT342" i="17" s="1"/>
  <c r="AX342" i="17"/>
  <c r="AY342" i="17"/>
  <c r="AZ342" i="17" s="1"/>
  <c r="BB342" i="17"/>
  <c r="BX342" i="17"/>
  <c r="BV342" i="17" s="1"/>
  <c r="CB342" i="17"/>
  <c r="CC342" i="17"/>
  <c r="CJ342" i="17"/>
  <c r="CH342" i="17" s="1"/>
  <c r="CL342" i="17"/>
  <c r="CM342" i="17"/>
  <c r="CN342" i="17"/>
  <c r="CO342" i="17" s="1"/>
  <c r="DK342" i="17"/>
  <c r="O343" i="17"/>
  <c r="T343" i="17"/>
  <c r="R343" i="17" s="1"/>
  <c r="V343" i="17"/>
  <c r="W343" i="17"/>
  <c r="X343" i="17" s="1"/>
  <c r="Z343" i="17"/>
  <c r="AV343" i="17"/>
  <c r="AX343" i="17"/>
  <c r="AY343" i="17"/>
  <c r="AZ343" i="17" s="1"/>
  <c r="BB343" i="17"/>
  <c r="BX343" i="17"/>
  <c r="BV343" i="17" s="1"/>
  <c r="CB343" i="17"/>
  <c r="CC343" i="17"/>
  <c r="CD343" i="17" s="1"/>
  <c r="CJ343" i="17"/>
  <c r="CH343" i="17" s="1"/>
  <c r="CL343" i="17"/>
  <c r="CM343" i="17"/>
  <c r="CN343" i="17"/>
  <c r="CO343" i="17" s="1"/>
  <c r="DK343" i="17"/>
  <c r="O344" i="17"/>
  <c r="T344" i="17"/>
  <c r="R344" i="17" s="1"/>
  <c r="V344" i="17"/>
  <c r="W344" i="17"/>
  <c r="X344" i="17" s="1"/>
  <c r="Z344" i="17" s="1"/>
  <c r="AV344" i="17"/>
  <c r="AT344" i="17" s="1"/>
  <c r="AX344" i="17"/>
  <c r="AY344" i="17"/>
  <c r="AZ344" i="17" s="1"/>
  <c r="BX344" i="17"/>
  <c r="BV344" i="17" s="1"/>
  <c r="CB344" i="17"/>
  <c r="CC344" i="17"/>
  <c r="CD344" i="17" s="1"/>
  <c r="CF344" i="17" s="1"/>
  <c r="CJ344" i="17"/>
  <c r="CH344" i="17" s="1"/>
  <c r="CL344" i="17"/>
  <c r="CM344" i="17"/>
  <c r="CN344" i="17"/>
  <c r="CO344" i="17" s="1"/>
  <c r="DK344" i="17"/>
  <c r="O345" i="17"/>
  <c r="T345" i="17"/>
  <c r="R345" i="17" s="1"/>
  <c r="V345" i="17"/>
  <c r="W345" i="17"/>
  <c r="X345" i="17" s="1"/>
  <c r="Z345" i="17" s="1"/>
  <c r="AV345" i="17"/>
  <c r="AT345" i="17" s="1"/>
  <c r="AX345" i="17"/>
  <c r="AY345" i="17"/>
  <c r="AZ345" i="17" s="1"/>
  <c r="BB345" i="17"/>
  <c r="BX345" i="17"/>
  <c r="BV345" i="17" s="1"/>
  <c r="CB345" i="17"/>
  <c r="CC345" i="17"/>
  <c r="CD345" i="17" s="1"/>
  <c r="CF345" i="17" s="1"/>
  <c r="CJ345" i="17"/>
  <c r="CH345" i="17" s="1"/>
  <c r="CL345" i="17"/>
  <c r="CM345" i="17"/>
  <c r="CN345" i="17"/>
  <c r="CO345" i="17" s="1"/>
  <c r="DK345" i="17"/>
  <c r="O346" i="17"/>
  <c r="T346" i="17"/>
  <c r="R346" i="17" s="1"/>
  <c r="V346" i="17"/>
  <c r="W346" i="17"/>
  <c r="X346" i="17" s="1"/>
  <c r="AV346" i="17"/>
  <c r="AT346" i="17" s="1"/>
  <c r="AX346" i="17"/>
  <c r="AY346" i="17"/>
  <c r="AZ346" i="17" s="1"/>
  <c r="BX346" i="17"/>
  <c r="BV346" i="17" s="1"/>
  <c r="CB346" i="17"/>
  <c r="CC346" i="17"/>
  <c r="CJ346" i="17"/>
  <c r="CH346" i="17" s="1"/>
  <c r="CL346" i="17"/>
  <c r="CM346" i="17"/>
  <c r="CN346" i="17"/>
  <c r="CO346" i="17" s="1"/>
  <c r="DK346" i="17"/>
  <c r="O347" i="17"/>
  <c r="T347" i="17"/>
  <c r="V347" i="17"/>
  <c r="W347" i="17"/>
  <c r="X347" i="17" s="1"/>
  <c r="AV347" i="17"/>
  <c r="AT347" i="17" s="1"/>
  <c r="AX347" i="17"/>
  <c r="AY347" i="17"/>
  <c r="AZ347" i="17" s="1"/>
  <c r="BB347" i="17" s="1"/>
  <c r="BX347" i="17"/>
  <c r="BV347" i="17" s="1"/>
  <c r="CB347" i="17"/>
  <c r="CC347" i="17"/>
  <c r="CJ347" i="17"/>
  <c r="CH347" i="17" s="1"/>
  <c r="CL347" i="17"/>
  <c r="CM347" i="17"/>
  <c r="CN347" i="17"/>
  <c r="DK347" i="17"/>
  <c r="O348" i="17"/>
  <c r="T348" i="17"/>
  <c r="V348" i="17"/>
  <c r="W348" i="17"/>
  <c r="X348" i="17" s="1"/>
  <c r="AV348" i="17"/>
  <c r="AT348" i="17" s="1"/>
  <c r="AX348" i="17"/>
  <c r="AY348" i="17"/>
  <c r="AZ348" i="17" s="1"/>
  <c r="BB348" i="17"/>
  <c r="BX348" i="17"/>
  <c r="BV348" i="17" s="1"/>
  <c r="CB348" i="17"/>
  <c r="CC348" i="17"/>
  <c r="CJ348" i="17"/>
  <c r="CH348" i="17" s="1"/>
  <c r="CL348" i="17"/>
  <c r="CM348" i="17"/>
  <c r="CN348" i="17"/>
  <c r="CO348" i="17" s="1"/>
  <c r="DK348" i="17"/>
  <c r="O349" i="17"/>
  <c r="T349" i="17"/>
  <c r="V349" i="17"/>
  <c r="W349" i="17"/>
  <c r="X349" i="17" s="1"/>
  <c r="AV349" i="17"/>
  <c r="AT349" i="17" s="1"/>
  <c r="AX349" i="17"/>
  <c r="AY349" i="17"/>
  <c r="AZ349" i="17" s="1"/>
  <c r="BX349" i="17"/>
  <c r="BV349" i="17" s="1"/>
  <c r="CB349" i="17"/>
  <c r="CC349" i="17"/>
  <c r="CJ349" i="17"/>
  <c r="CH349" i="17" s="1"/>
  <c r="CL349" i="17"/>
  <c r="CM349" i="17"/>
  <c r="CN349" i="17"/>
  <c r="DK349" i="17"/>
  <c r="O350" i="17"/>
  <c r="T350" i="17"/>
  <c r="R350" i="17" s="1"/>
  <c r="V350" i="17"/>
  <c r="W350" i="17"/>
  <c r="X350" i="17" s="1"/>
  <c r="AV350" i="17"/>
  <c r="AT350" i="17" s="1"/>
  <c r="AX350" i="17"/>
  <c r="AY350" i="17"/>
  <c r="AZ350" i="17" s="1"/>
  <c r="BB350" i="17"/>
  <c r="BX350" i="17"/>
  <c r="BV350" i="17" s="1"/>
  <c r="CB350" i="17"/>
  <c r="CC350" i="17"/>
  <c r="CJ350" i="17"/>
  <c r="CH350" i="17" s="1"/>
  <c r="CL350" i="17"/>
  <c r="CM350" i="17"/>
  <c r="CN350" i="17"/>
  <c r="DK350" i="17"/>
  <c r="O351" i="17"/>
  <c r="T351" i="17"/>
  <c r="R351" i="17" s="1"/>
  <c r="V351" i="17"/>
  <c r="W351" i="17"/>
  <c r="X351" i="17" s="1"/>
  <c r="Z351" i="17" s="1"/>
  <c r="AV351" i="17"/>
  <c r="AT351" i="17" s="1"/>
  <c r="AX351" i="17"/>
  <c r="AY351" i="17"/>
  <c r="AZ351" i="17" s="1"/>
  <c r="BB351" i="17"/>
  <c r="BX351" i="17"/>
  <c r="CB351" i="17"/>
  <c r="CC351" i="17"/>
  <c r="CD351" i="17" s="1"/>
  <c r="CF351" i="17"/>
  <c r="CJ351" i="17"/>
  <c r="CH351" i="17" s="1"/>
  <c r="CL351" i="17"/>
  <c r="CM351" i="17"/>
  <c r="CN351" i="17"/>
  <c r="CO351" i="17" s="1"/>
  <c r="DK351" i="17"/>
  <c r="O352" i="17"/>
  <c r="T352" i="17"/>
  <c r="R352" i="17" s="1"/>
  <c r="V352" i="17"/>
  <c r="W352" i="17"/>
  <c r="X352" i="17" s="1"/>
  <c r="AV352" i="17"/>
  <c r="AT352" i="17" s="1"/>
  <c r="AX352" i="17"/>
  <c r="AY352" i="17"/>
  <c r="AZ352" i="17" s="1"/>
  <c r="BB352" i="17" s="1"/>
  <c r="BX352" i="17"/>
  <c r="BV352" i="17" s="1"/>
  <c r="CB352" i="17"/>
  <c r="CC352" i="17"/>
  <c r="CD352" i="17" s="1"/>
  <c r="CF352" i="17" s="1"/>
  <c r="CJ352" i="17"/>
  <c r="CH352" i="17" s="1"/>
  <c r="CL352" i="17"/>
  <c r="CM352" i="17"/>
  <c r="CN352" i="17"/>
  <c r="CO352" i="17" s="1"/>
  <c r="DK352" i="17"/>
  <c r="O353" i="17"/>
  <c r="T353" i="17"/>
  <c r="V353" i="17"/>
  <c r="W353" i="17"/>
  <c r="X353" i="17" s="1"/>
  <c r="AV353" i="17"/>
  <c r="AT353" i="17" s="1"/>
  <c r="AX353" i="17"/>
  <c r="AY353" i="17"/>
  <c r="AZ353" i="17" s="1"/>
  <c r="BB353" i="17" s="1"/>
  <c r="BX353" i="17"/>
  <c r="BV353" i="17" s="1"/>
  <c r="CB353" i="17"/>
  <c r="CC353" i="17"/>
  <c r="CD353" i="17" s="1"/>
  <c r="CF353" i="17" s="1"/>
  <c r="CJ353" i="17"/>
  <c r="CH353" i="17" s="1"/>
  <c r="CL353" i="17"/>
  <c r="CM353" i="17"/>
  <c r="CN353" i="17"/>
  <c r="CO353" i="17" s="1"/>
  <c r="DK353" i="17"/>
  <c r="O354" i="17"/>
  <c r="T354" i="17"/>
  <c r="R354" i="17" s="1"/>
  <c r="V354" i="17"/>
  <c r="W354" i="17"/>
  <c r="X354" i="17" s="1"/>
  <c r="Z354" i="17" s="1"/>
  <c r="AV354" i="17"/>
  <c r="AT354" i="17" s="1"/>
  <c r="AX354" i="17"/>
  <c r="AY354" i="17"/>
  <c r="AZ354" i="17" s="1"/>
  <c r="BB354" i="17"/>
  <c r="BX354" i="17"/>
  <c r="BV354" i="17" s="1"/>
  <c r="CB354" i="17"/>
  <c r="CC354" i="17"/>
  <c r="CD354" i="17" s="1"/>
  <c r="CF354" i="17"/>
  <c r="CJ354" i="17"/>
  <c r="CH354" i="17" s="1"/>
  <c r="CL354" i="17"/>
  <c r="CM354" i="17"/>
  <c r="CN354" i="17"/>
  <c r="DK354" i="17"/>
  <c r="O355" i="17"/>
  <c r="T355" i="17"/>
  <c r="V355" i="17"/>
  <c r="W355" i="17"/>
  <c r="X355" i="17" s="1"/>
  <c r="AV355" i="17"/>
  <c r="AT355" i="17" s="1"/>
  <c r="AX355" i="17"/>
  <c r="AY355" i="17"/>
  <c r="AZ355" i="17" s="1"/>
  <c r="BB355" i="17"/>
  <c r="BX355" i="17"/>
  <c r="BV355" i="17" s="1"/>
  <c r="CB355" i="17"/>
  <c r="CC355" i="17"/>
  <c r="CJ355" i="17"/>
  <c r="CH355" i="17" s="1"/>
  <c r="CL355" i="17"/>
  <c r="CM355" i="17"/>
  <c r="CN355" i="17"/>
  <c r="CO355" i="17" s="1"/>
  <c r="DK355" i="17"/>
  <c r="O356" i="17"/>
  <c r="T356" i="17"/>
  <c r="R356" i="17" s="1"/>
  <c r="V356" i="17"/>
  <c r="W356" i="17"/>
  <c r="X356" i="17" s="1"/>
  <c r="AV356" i="17"/>
  <c r="AT356" i="17" s="1"/>
  <c r="AX356" i="17"/>
  <c r="AY356" i="17"/>
  <c r="AZ356" i="17" s="1"/>
  <c r="BB356" i="17"/>
  <c r="BX356" i="17"/>
  <c r="BV356" i="17" s="1"/>
  <c r="CB356" i="17"/>
  <c r="CC356" i="17"/>
  <c r="CF356" i="17"/>
  <c r="CJ356" i="17"/>
  <c r="CH356" i="17" s="1"/>
  <c r="CL356" i="17"/>
  <c r="CM356" i="17"/>
  <c r="CN356" i="17"/>
  <c r="DK356" i="17"/>
  <c r="O357" i="17"/>
  <c r="T357" i="17"/>
  <c r="V357" i="17"/>
  <c r="W357" i="17"/>
  <c r="X357" i="17" s="1"/>
  <c r="AV357" i="17"/>
  <c r="AT357" i="17" s="1"/>
  <c r="AX357" i="17"/>
  <c r="AY357" i="17"/>
  <c r="AZ357" i="17" s="1"/>
  <c r="BX357" i="17"/>
  <c r="BV357" i="17" s="1"/>
  <c r="CB357" i="17"/>
  <c r="CC357" i="17"/>
  <c r="CJ357" i="17"/>
  <c r="CH357" i="17" s="1"/>
  <c r="CL357" i="17"/>
  <c r="CM357" i="17"/>
  <c r="CN357" i="17"/>
  <c r="DK357" i="17"/>
  <c r="O358" i="17"/>
  <c r="T358" i="17"/>
  <c r="V358" i="17"/>
  <c r="W358" i="17"/>
  <c r="X358" i="17" s="1"/>
  <c r="Z358" i="17" s="1"/>
  <c r="AV358" i="17"/>
  <c r="AT358" i="17" s="1"/>
  <c r="AX358" i="17"/>
  <c r="AY358" i="17"/>
  <c r="AZ358" i="17" s="1"/>
  <c r="BX358" i="17"/>
  <c r="BV358" i="17" s="1"/>
  <c r="CB358" i="17"/>
  <c r="CC358" i="17"/>
  <c r="CJ358" i="17"/>
  <c r="CH358" i="17" s="1"/>
  <c r="CL358" i="17"/>
  <c r="CM358" i="17"/>
  <c r="CN358" i="17"/>
  <c r="CO358" i="17" s="1"/>
  <c r="DK358" i="17"/>
  <c r="O359" i="17"/>
  <c r="T359" i="17"/>
  <c r="R359" i="17" s="1"/>
  <c r="V359" i="17"/>
  <c r="W359" i="17"/>
  <c r="X359" i="17" s="1"/>
  <c r="AV359" i="17"/>
  <c r="AT359" i="17" s="1"/>
  <c r="AX359" i="17"/>
  <c r="AY359" i="17"/>
  <c r="AZ359" i="17" s="1"/>
  <c r="BB359" i="17" s="1"/>
  <c r="BX359" i="17"/>
  <c r="BV359" i="17" s="1"/>
  <c r="CB359" i="17"/>
  <c r="CC359" i="17"/>
  <c r="CD359" i="17" s="1"/>
  <c r="CF359" i="17"/>
  <c r="CJ359" i="17"/>
  <c r="CL359" i="17"/>
  <c r="CM359" i="17"/>
  <c r="CN359" i="17"/>
  <c r="CO359" i="17" s="1"/>
  <c r="DK359" i="17"/>
  <c r="O360" i="17"/>
  <c r="T360" i="17"/>
  <c r="R360" i="17" s="1"/>
  <c r="V360" i="17"/>
  <c r="W360" i="17"/>
  <c r="X360" i="17" s="1"/>
  <c r="Z360" i="17" s="1"/>
  <c r="AV360" i="17"/>
  <c r="AT360" i="17" s="1"/>
  <c r="AX360" i="17"/>
  <c r="AY360" i="17"/>
  <c r="AZ360" i="17" s="1"/>
  <c r="BB360" i="17" s="1"/>
  <c r="BX360" i="17"/>
  <c r="CB360" i="17"/>
  <c r="CC360" i="17"/>
  <c r="CD360" i="17" s="1"/>
  <c r="CF360" i="17" s="1"/>
  <c r="CJ360" i="17"/>
  <c r="CH360" i="17" s="1"/>
  <c r="CL360" i="17"/>
  <c r="CM360" i="17"/>
  <c r="CN360" i="17"/>
  <c r="CO360" i="17" s="1"/>
  <c r="DK360" i="17"/>
  <c r="O361" i="17"/>
  <c r="T361" i="17"/>
  <c r="V361" i="17"/>
  <c r="W361" i="17"/>
  <c r="X361" i="17" s="1"/>
  <c r="AV361" i="17"/>
  <c r="AT361" i="17" s="1"/>
  <c r="AX361" i="17"/>
  <c r="AY361" i="17"/>
  <c r="AZ361" i="17" s="1"/>
  <c r="BX361" i="17"/>
  <c r="BV361" i="17" s="1"/>
  <c r="CB361" i="17"/>
  <c r="CC361" i="17"/>
  <c r="CJ361" i="17"/>
  <c r="CH361" i="17" s="1"/>
  <c r="CL361" i="17"/>
  <c r="CM361" i="17"/>
  <c r="CN361" i="17"/>
  <c r="CO361" i="17" s="1"/>
  <c r="DK361" i="17"/>
  <c r="O362" i="17"/>
  <c r="T362" i="17"/>
  <c r="R362" i="17" s="1"/>
  <c r="V362" i="17"/>
  <c r="W362" i="17"/>
  <c r="X362" i="17" s="1"/>
  <c r="AV362" i="17"/>
  <c r="AT362" i="17" s="1"/>
  <c r="AX362" i="17"/>
  <c r="AY362" i="17"/>
  <c r="AZ362" i="17" s="1"/>
  <c r="BX362" i="17"/>
  <c r="BV362" i="17" s="1"/>
  <c r="CB362" i="17"/>
  <c r="CC362" i="17"/>
  <c r="CJ362" i="17"/>
  <c r="CH362" i="17" s="1"/>
  <c r="CL362" i="17"/>
  <c r="CM362" i="17"/>
  <c r="CN362" i="17"/>
  <c r="DK362" i="17"/>
  <c r="O363" i="17"/>
  <c r="T363" i="17"/>
  <c r="V363" i="17"/>
  <c r="W363" i="17"/>
  <c r="X363" i="17" s="1"/>
  <c r="AV363" i="17"/>
  <c r="AT363" i="17" s="1"/>
  <c r="AX363" i="17"/>
  <c r="AY363" i="17"/>
  <c r="AZ363" i="17" s="1"/>
  <c r="BB363" i="17" s="1"/>
  <c r="BX363" i="17"/>
  <c r="BV363" i="17" s="1"/>
  <c r="CB363" i="17"/>
  <c r="CC363" i="17"/>
  <c r="CJ363" i="17"/>
  <c r="CH363" i="17" s="1"/>
  <c r="CL363" i="17"/>
  <c r="CM363" i="17"/>
  <c r="CN363" i="17"/>
  <c r="DK363" i="17"/>
  <c r="O364" i="17"/>
  <c r="T364" i="17"/>
  <c r="R364" i="17" s="1"/>
  <c r="V364" i="17"/>
  <c r="W364" i="17"/>
  <c r="X364" i="17" s="1"/>
  <c r="AV364" i="17"/>
  <c r="AT364" i="17" s="1"/>
  <c r="AX364" i="17"/>
  <c r="AY364" i="17"/>
  <c r="AZ364" i="17" s="1"/>
  <c r="BX364" i="17"/>
  <c r="BV364" i="17" s="1"/>
  <c r="CB364" i="17"/>
  <c r="CC364" i="17"/>
  <c r="CJ364" i="17"/>
  <c r="CH364" i="17" s="1"/>
  <c r="CL364" i="17"/>
  <c r="CM364" i="17"/>
  <c r="CN364" i="17"/>
  <c r="DK364" i="17"/>
  <c r="O365" i="17"/>
  <c r="T365" i="17"/>
  <c r="R365" i="17" s="1"/>
  <c r="V365" i="17"/>
  <c r="W365" i="17"/>
  <c r="X365" i="17" s="1"/>
  <c r="AV365" i="17"/>
  <c r="AT365" i="17" s="1"/>
  <c r="AX365" i="17"/>
  <c r="AY365" i="17"/>
  <c r="AZ365" i="17" s="1"/>
  <c r="BX365" i="17"/>
  <c r="BV365" i="17" s="1"/>
  <c r="CB365" i="17"/>
  <c r="CC365" i="17"/>
  <c r="CD365" i="17" s="1"/>
  <c r="CJ365" i="17"/>
  <c r="CH365" i="17" s="1"/>
  <c r="CL365" i="17"/>
  <c r="CM365" i="17"/>
  <c r="CN365" i="17"/>
  <c r="DK365" i="17"/>
  <c r="O366" i="17"/>
  <c r="T366" i="17"/>
  <c r="V366" i="17"/>
  <c r="W366" i="17"/>
  <c r="X366" i="17" s="1"/>
  <c r="Z366" i="17" s="1"/>
  <c r="AV366" i="17"/>
  <c r="AT366" i="17" s="1"/>
  <c r="AX366" i="17"/>
  <c r="AY366" i="17"/>
  <c r="AZ366" i="17" s="1"/>
  <c r="BX366" i="17"/>
  <c r="BV366" i="17" s="1"/>
  <c r="CB366" i="17"/>
  <c r="CC366" i="17"/>
  <c r="CF366" i="17"/>
  <c r="CJ366" i="17"/>
  <c r="CH366" i="17" s="1"/>
  <c r="CL366" i="17"/>
  <c r="CM366" i="17"/>
  <c r="CN366" i="17"/>
  <c r="CO366" i="17" s="1"/>
  <c r="DK366" i="17"/>
  <c r="O367" i="17"/>
  <c r="T367" i="17"/>
  <c r="R367" i="17" s="1"/>
  <c r="V367" i="17"/>
  <c r="W367" i="17"/>
  <c r="X367" i="17" s="1"/>
  <c r="Z367" i="17"/>
  <c r="AV367" i="17"/>
  <c r="AT367" i="17" s="1"/>
  <c r="AX367" i="17"/>
  <c r="AY367" i="17"/>
  <c r="AZ367" i="17" s="1"/>
  <c r="BX367" i="17"/>
  <c r="CB367" i="17"/>
  <c r="CC367" i="17"/>
  <c r="CD367" i="17" s="1"/>
  <c r="CJ367" i="17"/>
  <c r="CH367" i="17" s="1"/>
  <c r="CL367" i="17"/>
  <c r="CM367" i="17"/>
  <c r="CN367" i="17"/>
  <c r="CO367" i="17" s="1"/>
  <c r="DK367" i="17"/>
  <c r="O368" i="17"/>
  <c r="T368" i="17"/>
  <c r="R368" i="17" s="1"/>
  <c r="V368" i="17"/>
  <c r="W368" i="17"/>
  <c r="X368" i="17" s="1"/>
  <c r="Z368" i="17"/>
  <c r="AV368" i="17"/>
  <c r="AT368" i="17" s="1"/>
  <c r="AX368" i="17"/>
  <c r="AY368" i="17"/>
  <c r="AZ368" i="17" s="1"/>
  <c r="BB368" i="17" s="1"/>
  <c r="BX368" i="17"/>
  <c r="BV368" i="17" s="1"/>
  <c r="CB368" i="17"/>
  <c r="CC368" i="17"/>
  <c r="CD368" i="17" s="1"/>
  <c r="CJ368" i="17"/>
  <c r="CH368" i="17" s="1"/>
  <c r="CL368" i="17"/>
  <c r="CM368" i="17"/>
  <c r="CN368" i="17"/>
  <c r="CO368" i="17" s="1"/>
  <c r="DK368" i="17"/>
  <c r="O369" i="17"/>
  <c r="T369" i="17"/>
  <c r="R369" i="17" s="1"/>
  <c r="V369" i="17"/>
  <c r="W369" i="17"/>
  <c r="X369" i="17" s="1"/>
  <c r="Z369" i="17" s="1"/>
  <c r="AV369" i="17"/>
  <c r="AT369" i="17" s="1"/>
  <c r="AX369" i="17"/>
  <c r="AY369" i="17"/>
  <c r="AZ369" i="17" s="1"/>
  <c r="BX369" i="17"/>
  <c r="BV369" i="17" s="1"/>
  <c r="CB369" i="17"/>
  <c r="CC369" i="17"/>
  <c r="CD369" i="17" s="1"/>
  <c r="CJ369" i="17"/>
  <c r="CL369" i="17"/>
  <c r="CM369" i="17"/>
  <c r="CN369" i="17"/>
  <c r="DK369" i="17"/>
  <c r="O370" i="17"/>
  <c r="T370" i="17"/>
  <c r="R370" i="17" s="1"/>
  <c r="V370" i="17"/>
  <c r="W370" i="17"/>
  <c r="X370" i="17" s="1"/>
  <c r="AV370" i="17"/>
  <c r="AX370" i="17"/>
  <c r="AY370" i="17"/>
  <c r="AZ370" i="17" s="1"/>
  <c r="BB370" i="17"/>
  <c r="BX370" i="17"/>
  <c r="BV370" i="17" s="1"/>
  <c r="CB370" i="17"/>
  <c r="CC370" i="17"/>
  <c r="CJ370" i="17"/>
  <c r="CH370" i="17" s="1"/>
  <c r="CL370" i="17"/>
  <c r="CM370" i="17"/>
  <c r="CN370" i="17"/>
  <c r="CO370" i="17" s="1"/>
  <c r="DK370" i="17"/>
  <c r="O371" i="17"/>
  <c r="T371" i="17"/>
  <c r="V371" i="17"/>
  <c r="W371" i="17"/>
  <c r="X371" i="17" s="1"/>
  <c r="AV371" i="17"/>
  <c r="AT371" i="17" s="1"/>
  <c r="AX371" i="17"/>
  <c r="AY371" i="17"/>
  <c r="AZ371" i="17" s="1"/>
  <c r="BB371" i="17"/>
  <c r="BX371" i="17"/>
  <c r="BV371" i="17" s="1"/>
  <c r="CB371" i="17"/>
  <c r="CC371" i="17"/>
  <c r="CJ371" i="17"/>
  <c r="CH371" i="17" s="1"/>
  <c r="CL371" i="17"/>
  <c r="CM371" i="17"/>
  <c r="CN371" i="17"/>
  <c r="DK371" i="17"/>
  <c r="O372" i="17"/>
  <c r="T372" i="17"/>
  <c r="V372" i="17"/>
  <c r="W372" i="17"/>
  <c r="X372" i="17" s="1"/>
  <c r="Z372" i="17"/>
  <c r="AV372" i="17"/>
  <c r="AT372" i="17" s="1"/>
  <c r="AX372" i="17"/>
  <c r="AY372" i="17"/>
  <c r="AZ372" i="17" s="1"/>
  <c r="BB372" i="17"/>
  <c r="BX372" i="17"/>
  <c r="BV372" i="17" s="1"/>
  <c r="CB372" i="17"/>
  <c r="CC372" i="17"/>
  <c r="CJ372" i="17"/>
  <c r="CH372" i="17" s="1"/>
  <c r="CL372" i="17"/>
  <c r="CM372" i="17"/>
  <c r="CN372" i="17"/>
  <c r="DK372" i="17"/>
  <c r="O373" i="17"/>
  <c r="T373" i="17"/>
  <c r="V373" i="17"/>
  <c r="W373" i="17"/>
  <c r="X373" i="17" s="1"/>
  <c r="Z373" i="17"/>
  <c r="AV373" i="17"/>
  <c r="AT373" i="17" s="1"/>
  <c r="AX373" i="17"/>
  <c r="AY373" i="17"/>
  <c r="AZ373" i="17" s="1"/>
  <c r="BX373" i="17"/>
  <c r="BV373" i="17" s="1"/>
  <c r="CB373" i="17"/>
  <c r="CC373" i="17"/>
  <c r="CJ373" i="17"/>
  <c r="CH373" i="17" s="1"/>
  <c r="CL373" i="17"/>
  <c r="CM373" i="17"/>
  <c r="CN373" i="17"/>
  <c r="DK373" i="17"/>
  <c r="O374" i="17"/>
  <c r="T374" i="17"/>
  <c r="V374" i="17"/>
  <c r="W374" i="17"/>
  <c r="X374" i="17" s="1"/>
  <c r="Z374" i="17"/>
  <c r="AV374" i="17"/>
  <c r="AT374" i="17" s="1"/>
  <c r="AX374" i="17"/>
  <c r="AY374" i="17"/>
  <c r="AZ374" i="17" s="1"/>
  <c r="BX374" i="17"/>
  <c r="BV374" i="17" s="1"/>
  <c r="CB374" i="17"/>
  <c r="CC374" i="17"/>
  <c r="CJ374" i="17"/>
  <c r="CH374" i="17" s="1"/>
  <c r="CL374" i="17"/>
  <c r="CM374" i="17"/>
  <c r="CN374" i="17"/>
  <c r="CO374" i="17" s="1"/>
  <c r="DK374" i="17"/>
  <c r="O375" i="17"/>
  <c r="T375" i="17"/>
  <c r="R375" i="17" s="1"/>
  <c r="V375" i="17"/>
  <c r="W375" i="17"/>
  <c r="X375" i="17" s="1"/>
  <c r="AV375" i="17"/>
  <c r="AT375" i="17" s="1"/>
  <c r="AX375" i="17"/>
  <c r="AY375" i="17"/>
  <c r="AZ375" i="17" s="1"/>
  <c r="BB375" i="17"/>
  <c r="BX375" i="17"/>
  <c r="CB375" i="17"/>
  <c r="CC375" i="17"/>
  <c r="CD375" i="17" s="1"/>
  <c r="CF375" i="17"/>
  <c r="CJ375" i="17"/>
  <c r="CH375" i="17" s="1"/>
  <c r="CL375" i="17"/>
  <c r="CM375" i="17"/>
  <c r="CN375" i="17"/>
  <c r="CO375" i="17" s="1"/>
  <c r="DK375" i="17"/>
  <c r="O376" i="17"/>
  <c r="T376" i="17"/>
  <c r="R376" i="17" s="1"/>
  <c r="V376" i="17"/>
  <c r="W376" i="17"/>
  <c r="X376" i="17" s="1"/>
  <c r="AV376" i="17"/>
  <c r="AT376" i="17" s="1"/>
  <c r="AX376" i="17"/>
  <c r="AY376" i="17"/>
  <c r="AZ376" i="17" s="1"/>
  <c r="BB376" i="17"/>
  <c r="BX376" i="17"/>
  <c r="BV376" i="17" s="1"/>
  <c r="CB376" i="17"/>
  <c r="CC376" i="17"/>
  <c r="CD376" i="17" s="1"/>
  <c r="CF376" i="17"/>
  <c r="CJ376" i="17"/>
  <c r="CH376" i="17" s="1"/>
  <c r="CL376" i="17"/>
  <c r="CM376" i="17"/>
  <c r="CN376" i="17"/>
  <c r="CO376" i="17" s="1"/>
  <c r="DK376" i="17"/>
  <c r="O377" i="17"/>
  <c r="T377" i="17"/>
  <c r="V377" i="17"/>
  <c r="W377" i="17"/>
  <c r="X377" i="17" s="1"/>
  <c r="Z377" i="17" s="1"/>
  <c r="AV377" i="17"/>
  <c r="AT377" i="17" s="1"/>
  <c r="AX377" i="17"/>
  <c r="AY377" i="17"/>
  <c r="AZ377" i="17" s="1"/>
  <c r="BB377" i="17" s="1"/>
  <c r="BX377" i="17"/>
  <c r="BV377" i="17" s="1"/>
  <c r="CB377" i="17"/>
  <c r="CC377" i="17"/>
  <c r="CD377" i="17" s="1"/>
  <c r="CF377" i="17" s="1"/>
  <c r="CJ377" i="17"/>
  <c r="CH377" i="17" s="1"/>
  <c r="CL377" i="17"/>
  <c r="CM377" i="17"/>
  <c r="CN377" i="17"/>
  <c r="CO377" i="17" s="1"/>
  <c r="DK377" i="17"/>
  <c r="O378" i="17"/>
  <c r="T378" i="17"/>
  <c r="V378" i="17"/>
  <c r="W378" i="17"/>
  <c r="X378" i="17" s="1"/>
  <c r="Z378" i="17" s="1"/>
  <c r="AV378" i="17"/>
  <c r="AT378" i="17" s="1"/>
  <c r="AX378" i="17"/>
  <c r="AY378" i="17"/>
  <c r="AZ378" i="17" s="1"/>
  <c r="BB378" i="17"/>
  <c r="BX378" i="17"/>
  <c r="BV378" i="17" s="1"/>
  <c r="CB378" i="17"/>
  <c r="CC378" i="17"/>
  <c r="CD378" i="17" s="1"/>
  <c r="CF378" i="17" s="1"/>
  <c r="CJ378" i="17"/>
  <c r="CH378" i="17" s="1"/>
  <c r="CL378" i="17"/>
  <c r="CM378" i="17"/>
  <c r="CN378" i="17"/>
  <c r="DK378" i="17"/>
  <c r="O379" i="17"/>
  <c r="T379" i="17"/>
  <c r="V379" i="17"/>
  <c r="W379" i="17"/>
  <c r="X379" i="17" s="1"/>
  <c r="AV379" i="17"/>
  <c r="AT379" i="17" s="1"/>
  <c r="AX379" i="17"/>
  <c r="AY379" i="17"/>
  <c r="AZ379" i="17" s="1"/>
  <c r="BX379" i="17"/>
  <c r="BV379" i="17" s="1"/>
  <c r="CB379" i="17"/>
  <c r="CC379" i="17"/>
  <c r="CD379" i="17" s="1"/>
  <c r="CF379" i="17"/>
  <c r="CJ379" i="17"/>
  <c r="CH379" i="17" s="1"/>
  <c r="CL379" i="17"/>
  <c r="CM379" i="17"/>
  <c r="CN379" i="17"/>
  <c r="CO379" i="17" s="1"/>
  <c r="DK379" i="17"/>
  <c r="O380" i="17"/>
  <c r="T380" i="17"/>
  <c r="V380" i="17"/>
  <c r="W380" i="17"/>
  <c r="X380" i="17" s="1"/>
  <c r="Z380" i="17"/>
  <c r="AV380" i="17"/>
  <c r="AT380" i="17" s="1"/>
  <c r="AX380" i="17"/>
  <c r="AY380" i="17"/>
  <c r="AZ380" i="17" s="1"/>
  <c r="BX380" i="17"/>
  <c r="BV380" i="17" s="1"/>
  <c r="CB380" i="17"/>
  <c r="CC380" i="17"/>
  <c r="CJ380" i="17"/>
  <c r="CH380" i="17" s="1"/>
  <c r="CL380" i="17"/>
  <c r="CM380" i="17"/>
  <c r="CN380" i="17"/>
  <c r="CO380" i="17" s="1"/>
  <c r="DK380" i="17"/>
  <c r="O381" i="17"/>
  <c r="T381" i="17"/>
  <c r="V381" i="17"/>
  <c r="W381" i="17"/>
  <c r="X381" i="17" s="1"/>
  <c r="Z381" i="17"/>
  <c r="AV381" i="17"/>
  <c r="AT381" i="17" s="1"/>
  <c r="AX381" i="17"/>
  <c r="AY381" i="17"/>
  <c r="AZ381" i="17" s="1"/>
  <c r="BB381" i="17"/>
  <c r="BX381" i="17"/>
  <c r="BV381" i="17" s="1"/>
  <c r="CB381" i="17"/>
  <c r="CC381" i="17"/>
  <c r="CJ381" i="17"/>
  <c r="CH381" i="17" s="1"/>
  <c r="CL381" i="17"/>
  <c r="CM381" i="17"/>
  <c r="CN381" i="17"/>
  <c r="DK381" i="17"/>
  <c r="O382" i="17"/>
  <c r="T382" i="17"/>
  <c r="V382" i="17"/>
  <c r="W382" i="17"/>
  <c r="X382" i="17" s="1"/>
  <c r="Z382" i="17" s="1"/>
  <c r="AV382" i="17"/>
  <c r="AT382" i="17" s="1"/>
  <c r="AX382" i="17"/>
  <c r="AY382" i="17"/>
  <c r="AZ382" i="17" s="1"/>
  <c r="BX382" i="17"/>
  <c r="BV382" i="17" s="1"/>
  <c r="CB382" i="17"/>
  <c r="CC382" i="17"/>
  <c r="CJ382" i="17"/>
  <c r="CH382" i="17" s="1"/>
  <c r="CL382" i="17"/>
  <c r="CM382" i="17"/>
  <c r="CN382" i="17"/>
  <c r="CO382" i="17" s="1"/>
  <c r="DK382" i="17"/>
  <c r="O383" i="17"/>
  <c r="T383" i="17"/>
  <c r="R383" i="17" s="1"/>
  <c r="V383" i="17"/>
  <c r="W383" i="17"/>
  <c r="X383" i="17" s="1"/>
  <c r="Z383" i="17" s="1"/>
  <c r="AV383" i="17"/>
  <c r="AT383" i="17" s="1"/>
  <c r="AX383" i="17"/>
  <c r="AY383" i="17"/>
  <c r="AZ383" i="17" s="1"/>
  <c r="BB383" i="17" s="1"/>
  <c r="BX383" i="17"/>
  <c r="BV383" i="17" s="1"/>
  <c r="CB383" i="17"/>
  <c r="CC383" i="17"/>
  <c r="CD383" i="17" s="1"/>
  <c r="CJ383" i="17"/>
  <c r="CH383" i="17" s="1"/>
  <c r="CL383" i="17"/>
  <c r="CM383" i="17"/>
  <c r="CN383" i="17"/>
  <c r="CO383" i="17" s="1"/>
  <c r="DK383" i="17"/>
  <c r="O384" i="17"/>
  <c r="T384" i="17"/>
  <c r="R384" i="17" s="1"/>
  <c r="V384" i="17"/>
  <c r="W384" i="17"/>
  <c r="X384" i="17" s="1"/>
  <c r="AV384" i="17"/>
  <c r="AT384" i="17" s="1"/>
  <c r="AX384" i="17"/>
  <c r="AY384" i="17"/>
  <c r="AZ384" i="17" s="1"/>
  <c r="BB384" i="17"/>
  <c r="BX384" i="17"/>
  <c r="BV384" i="17" s="1"/>
  <c r="CB384" i="17"/>
  <c r="CC384" i="17"/>
  <c r="CD384" i="17" s="1"/>
  <c r="CJ384" i="17"/>
  <c r="CH384" i="17" s="1"/>
  <c r="CL384" i="17"/>
  <c r="CM384" i="17"/>
  <c r="CN384" i="17"/>
  <c r="CO384" i="17" s="1"/>
  <c r="DK384" i="17"/>
  <c r="O385" i="17"/>
  <c r="T385" i="17"/>
  <c r="V385" i="17"/>
  <c r="W385" i="17"/>
  <c r="X385" i="17" s="1"/>
  <c r="AV385" i="17"/>
  <c r="AT385" i="17" s="1"/>
  <c r="AX385" i="17"/>
  <c r="AY385" i="17"/>
  <c r="AZ385" i="17" s="1"/>
  <c r="BB385" i="17"/>
  <c r="BX385" i="17"/>
  <c r="BV385" i="17" s="1"/>
  <c r="CB385" i="17"/>
  <c r="CC385" i="17"/>
  <c r="CJ385" i="17"/>
  <c r="CH385" i="17" s="1"/>
  <c r="CL385" i="17"/>
  <c r="CM385" i="17"/>
  <c r="CN385" i="17"/>
  <c r="CO385" i="17" s="1"/>
  <c r="DK385" i="17"/>
  <c r="O386" i="17"/>
  <c r="T386" i="17"/>
  <c r="R386" i="17" s="1"/>
  <c r="V386" i="17"/>
  <c r="W386" i="17"/>
  <c r="X386" i="17" s="1"/>
  <c r="Z386" i="17"/>
  <c r="AV386" i="17"/>
  <c r="AT386" i="17" s="1"/>
  <c r="AX386" i="17"/>
  <c r="AY386" i="17"/>
  <c r="AZ386" i="17" s="1"/>
  <c r="BB386" i="17"/>
  <c r="BX386" i="17"/>
  <c r="BV386" i="17" s="1"/>
  <c r="CB386" i="17"/>
  <c r="CC386" i="17"/>
  <c r="CD386" i="17" s="1"/>
  <c r="CF386" i="17"/>
  <c r="CJ386" i="17"/>
  <c r="CH386" i="17" s="1"/>
  <c r="CL386" i="17"/>
  <c r="CM386" i="17"/>
  <c r="CN386" i="17"/>
  <c r="DK386" i="17"/>
  <c r="O387" i="17"/>
  <c r="T387" i="17"/>
  <c r="V387" i="17"/>
  <c r="W387" i="17"/>
  <c r="X387" i="17" s="1"/>
  <c r="AV387" i="17"/>
  <c r="AT387" i="17" s="1"/>
  <c r="AX387" i="17"/>
  <c r="AY387" i="17"/>
  <c r="AZ387" i="17" s="1"/>
  <c r="BB387" i="17"/>
  <c r="BX387" i="17"/>
  <c r="BV387" i="17" s="1"/>
  <c r="CB387" i="17"/>
  <c r="CC387" i="17"/>
  <c r="CD387" i="17" s="1"/>
  <c r="CF387" i="17"/>
  <c r="CJ387" i="17"/>
  <c r="CH387" i="17" s="1"/>
  <c r="CL387" i="17"/>
  <c r="CM387" i="17"/>
  <c r="CN387" i="17"/>
  <c r="CO387" i="17" s="1"/>
  <c r="DK387" i="17"/>
  <c r="O388" i="17"/>
  <c r="T388" i="17"/>
  <c r="R388" i="17" s="1"/>
  <c r="V388" i="17"/>
  <c r="W388" i="17"/>
  <c r="X388" i="17" s="1"/>
  <c r="AV388" i="17"/>
  <c r="AT388" i="17" s="1"/>
  <c r="AX388" i="17"/>
  <c r="AY388" i="17"/>
  <c r="AZ388" i="17" s="1"/>
  <c r="BB388" i="17"/>
  <c r="BX388" i="17"/>
  <c r="BV388" i="17" s="1"/>
  <c r="CB388" i="17"/>
  <c r="CC388" i="17"/>
  <c r="CD388" i="17" s="1"/>
  <c r="CF388" i="17"/>
  <c r="CJ388" i="17"/>
  <c r="CH388" i="17" s="1"/>
  <c r="CL388" i="17"/>
  <c r="CM388" i="17"/>
  <c r="CN388" i="17"/>
  <c r="CO388" i="17" s="1"/>
  <c r="DK388" i="17"/>
  <c r="O389" i="17"/>
  <c r="T389" i="17"/>
  <c r="V389" i="17"/>
  <c r="W389" i="17"/>
  <c r="X389" i="17" s="1"/>
  <c r="AV389" i="17"/>
  <c r="AT389" i="17" s="1"/>
  <c r="AX389" i="17"/>
  <c r="AY389" i="17"/>
  <c r="AZ389" i="17" s="1"/>
  <c r="BB389" i="17"/>
  <c r="BX389" i="17"/>
  <c r="BV389" i="17" s="1"/>
  <c r="CB389" i="17"/>
  <c r="CC389" i="17"/>
  <c r="CF389" i="17"/>
  <c r="CJ389" i="17"/>
  <c r="CH389" i="17" s="1"/>
  <c r="CL389" i="17"/>
  <c r="CM389" i="17"/>
  <c r="CN389" i="17"/>
  <c r="DK389" i="17"/>
  <c r="O390" i="17"/>
  <c r="T390" i="17"/>
  <c r="V390" i="17"/>
  <c r="W390" i="17"/>
  <c r="X390" i="17" s="1"/>
  <c r="Z390" i="17" s="1"/>
  <c r="AV390" i="17"/>
  <c r="AT390" i="17" s="1"/>
  <c r="AX390" i="17"/>
  <c r="AY390" i="17"/>
  <c r="AZ390" i="17" s="1"/>
  <c r="BB390" i="17"/>
  <c r="BX390" i="17"/>
  <c r="BV390" i="17" s="1"/>
  <c r="CB390" i="17"/>
  <c r="CC390" i="17"/>
  <c r="CF390" i="17"/>
  <c r="CJ390" i="17"/>
  <c r="CH390" i="17" s="1"/>
  <c r="CL390" i="17"/>
  <c r="CM390" i="17"/>
  <c r="CN390" i="17"/>
  <c r="CO390" i="17" s="1"/>
  <c r="DK390" i="17"/>
  <c r="O391" i="17"/>
  <c r="T391" i="17"/>
  <c r="R391" i="17" s="1"/>
  <c r="V391" i="17"/>
  <c r="W391" i="17"/>
  <c r="X391" i="17" s="1"/>
  <c r="Z391" i="17"/>
  <c r="AV391" i="17"/>
  <c r="AT391" i="17" s="1"/>
  <c r="AX391" i="17"/>
  <c r="AY391" i="17"/>
  <c r="AZ391" i="17" s="1"/>
  <c r="BB391" i="17"/>
  <c r="BX391" i="17"/>
  <c r="CB391" i="17"/>
  <c r="CC391" i="17"/>
  <c r="CD391" i="17" s="1"/>
  <c r="CJ391" i="17"/>
  <c r="CH391" i="17" s="1"/>
  <c r="CL391" i="17"/>
  <c r="CM391" i="17"/>
  <c r="CN391" i="17"/>
  <c r="CO391" i="17" s="1"/>
  <c r="DK391" i="17"/>
  <c r="O392" i="17"/>
  <c r="T392" i="17"/>
  <c r="R392" i="17" s="1"/>
  <c r="V392" i="17"/>
  <c r="W392" i="17"/>
  <c r="X392" i="17" s="1"/>
  <c r="Z392" i="17"/>
  <c r="AV392" i="17"/>
  <c r="AT392" i="17" s="1"/>
  <c r="AX392" i="17"/>
  <c r="AY392" i="17"/>
  <c r="AZ392" i="17" s="1"/>
  <c r="BB392" i="17"/>
  <c r="BX392" i="17"/>
  <c r="CB392" i="17"/>
  <c r="CC392" i="17"/>
  <c r="CD392" i="17" s="1"/>
  <c r="CJ392" i="17"/>
  <c r="CH392" i="17" s="1"/>
  <c r="CL392" i="17"/>
  <c r="CM392" i="17"/>
  <c r="CN392" i="17"/>
  <c r="CO392" i="17" s="1"/>
  <c r="DK392" i="17"/>
  <c r="T393" i="17"/>
  <c r="R393" i="17" s="1"/>
  <c r="V393" i="17"/>
  <c r="W393" i="17"/>
  <c r="X393" i="17" s="1"/>
  <c r="Z393" i="17"/>
  <c r="AV393" i="17"/>
  <c r="AT393" i="17" s="1"/>
  <c r="AX393" i="17"/>
  <c r="AY393" i="17"/>
  <c r="AZ393" i="17" s="1"/>
  <c r="BB393" i="17" s="1"/>
  <c r="BX393" i="17"/>
  <c r="BV393" i="17" s="1"/>
  <c r="CB393" i="17"/>
  <c r="CC393" i="17"/>
  <c r="CJ393" i="17"/>
  <c r="CH393" i="17" s="1"/>
  <c r="CL393" i="17"/>
  <c r="CM393" i="17"/>
  <c r="CN393" i="17"/>
  <c r="CO393" i="17" s="1"/>
  <c r="DK393" i="17"/>
  <c r="O394" i="17"/>
  <c r="T394" i="17"/>
  <c r="R394" i="17" s="1"/>
  <c r="V394" i="17"/>
  <c r="W394" i="17"/>
  <c r="X394" i="17" s="1"/>
  <c r="AV394" i="17"/>
  <c r="AT394" i="17" s="1"/>
  <c r="AX394" i="17"/>
  <c r="AY394" i="17"/>
  <c r="AZ394" i="17" s="1"/>
  <c r="BX394" i="17"/>
  <c r="BV394" i="17" s="1"/>
  <c r="CB394" i="17"/>
  <c r="CC394" i="17"/>
  <c r="CJ394" i="17"/>
  <c r="CL394" i="17"/>
  <c r="CM394" i="17"/>
  <c r="CN394" i="17"/>
  <c r="CO394" i="17" s="1"/>
  <c r="DK394" i="17"/>
  <c r="O395" i="17"/>
  <c r="T395" i="17"/>
  <c r="R395" i="17" s="1"/>
  <c r="V395" i="17"/>
  <c r="W395" i="17"/>
  <c r="X395" i="17" s="1"/>
  <c r="Z395" i="17"/>
  <c r="AV395" i="17"/>
  <c r="AT395" i="17" s="1"/>
  <c r="AX395" i="17"/>
  <c r="AY395" i="17"/>
  <c r="AZ395" i="17" s="1"/>
  <c r="BB395" i="17"/>
  <c r="BX395" i="17"/>
  <c r="BV395" i="17" s="1"/>
  <c r="CB395" i="17"/>
  <c r="CC395" i="17"/>
  <c r="CD395" i="17" s="1"/>
  <c r="CJ395" i="17"/>
  <c r="CH395" i="17" s="1"/>
  <c r="CL395" i="17"/>
  <c r="CM395" i="17"/>
  <c r="CN395" i="17"/>
  <c r="DK395" i="17"/>
  <c r="O396" i="17"/>
  <c r="T396" i="17"/>
  <c r="V396" i="17"/>
  <c r="W396" i="17"/>
  <c r="X396" i="17" s="1"/>
  <c r="AV396" i="17"/>
  <c r="AT396" i="17" s="1"/>
  <c r="AX396" i="17"/>
  <c r="AY396" i="17"/>
  <c r="AZ396" i="17" s="1"/>
  <c r="BX396" i="17"/>
  <c r="BV396" i="17" s="1"/>
  <c r="CB396" i="17"/>
  <c r="CC396" i="17"/>
  <c r="CD396" i="17" s="1"/>
  <c r="CJ396" i="17"/>
  <c r="CH396" i="17" s="1"/>
  <c r="CL396" i="17"/>
  <c r="CM396" i="17"/>
  <c r="CN396" i="17"/>
  <c r="CO396" i="17" s="1"/>
  <c r="DK396" i="17"/>
  <c r="O397" i="17"/>
  <c r="T397" i="17"/>
  <c r="R397" i="17" s="1"/>
  <c r="V397" i="17"/>
  <c r="W397" i="17"/>
  <c r="X397" i="17" s="1"/>
  <c r="Z397" i="17" s="1"/>
  <c r="AV397" i="17"/>
  <c r="AX397" i="17"/>
  <c r="AY397" i="17"/>
  <c r="AZ397" i="17" s="1"/>
  <c r="BX397" i="17"/>
  <c r="BV397" i="17" s="1"/>
  <c r="CB397" i="17"/>
  <c r="CC397" i="17"/>
  <c r="CD397" i="17" s="1"/>
  <c r="CF397" i="17"/>
  <c r="CJ397" i="17"/>
  <c r="CH397" i="17" s="1"/>
  <c r="CL397" i="17"/>
  <c r="CM397" i="17"/>
  <c r="CN397" i="17"/>
  <c r="DK397" i="17"/>
  <c r="S398" i="17"/>
  <c r="U398" i="17"/>
  <c r="V398" i="17" s="1"/>
  <c r="AU398" i="17"/>
  <c r="AX398" i="17"/>
  <c r="CB398" i="17"/>
  <c r="CM398" i="17"/>
  <c r="DK398" i="17"/>
  <c r="O399" i="17"/>
  <c r="T399" i="17"/>
  <c r="R399" i="17" s="1"/>
  <c r="V399" i="17"/>
  <c r="W399" i="17"/>
  <c r="X399" i="17" s="1"/>
  <c r="AV399" i="17"/>
  <c r="AX399" i="17"/>
  <c r="AY399" i="17"/>
  <c r="AZ399" i="17" s="1"/>
  <c r="BB399" i="17" s="1"/>
  <c r="BX399" i="17"/>
  <c r="BV399" i="17" s="1"/>
  <c r="CB399" i="17"/>
  <c r="CC399" i="17"/>
  <c r="CD399" i="17" s="1"/>
  <c r="CF399" i="17"/>
  <c r="CJ399" i="17"/>
  <c r="CH399" i="17" s="1"/>
  <c r="CL399" i="17"/>
  <c r="CM399" i="17"/>
  <c r="CN399" i="17"/>
  <c r="CO399" i="17" s="1"/>
  <c r="DK399" i="17"/>
  <c r="O400" i="17"/>
  <c r="T400" i="17"/>
  <c r="R400" i="17" s="1"/>
  <c r="V400" i="17"/>
  <c r="W400" i="17"/>
  <c r="X400" i="17" s="1"/>
  <c r="Z400" i="17" s="1"/>
  <c r="AV400" i="17"/>
  <c r="AT400" i="17" s="1"/>
  <c r="AX400" i="17"/>
  <c r="AY400" i="17"/>
  <c r="AZ400" i="17" s="1"/>
  <c r="BB400" i="17" s="1"/>
  <c r="BX400" i="17"/>
  <c r="CB400" i="17"/>
  <c r="CC400" i="17"/>
  <c r="CD400" i="17" s="1"/>
  <c r="CF400" i="17"/>
  <c r="CJ400" i="17"/>
  <c r="CH400" i="17" s="1"/>
  <c r="CL400" i="17"/>
  <c r="CM400" i="17"/>
  <c r="CN400" i="17"/>
  <c r="CO400" i="17" s="1"/>
  <c r="DK400" i="17"/>
  <c r="O401" i="17"/>
  <c r="T401" i="17"/>
  <c r="V401" i="17"/>
  <c r="W401" i="17"/>
  <c r="X401" i="17" s="1"/>
  <c r="Z401" i="17" s="1"/>
  <c r="AV401" i="17"/>
  <c r="AT401" i="17" s="1"/>
  <c r="AX401" i="17"/>
  <c r="AY401" i="17"/>
  <c r="AZ401" i="17" s="1"/>
  <c r="BX401" i="17"/>
  <c r="BV401" i="17" s="1"/>
  <c r="CB401" i="17"/>
  <c r="CC401" i="17"/>
  <c r="CD401" i="17" s="1"/>
  <c r="CJ401" i="17"/>
  <c r="CH401" i="17" s="1"/>
  <c r="CL401" i="17"/>
  <c r="CM401" i="17"/>
  <c r="CN401" i="17"/>
  <c r="CO401" i="17" s="1"/>
  <c r="DK401" i="17"/>
  <c r="O402" i="17"/>
  <c r="T402" i="17"/>
  <c r="R402" i="17" s="1"/>
  <c r="V402" i="17"/>
  <c r="W402" i="17"/>
  <c r="X402" i="17" s="1"/>
  <c r="Z402" i="17" s="1"/>
  <c r="AV402" i="17"/>
  <c r="AT402" i="17" s="1"/>
  <c r="AX402" i="17"/>
  <c r="AY402" i="17"/>
  <c r="AZ402" i="17" s="1"/>
  <c r="BX402" i="17"/>
  <c r="BV402" i="17" s="1"/>
  <c r="CB402" i="17"/>
  <c r="CC402" i="17"/>
  <c r="CD402" i="17" s="1"/>
  <c r="CF402" i="17" s="1"/>
  <c r="CJ402" i="17"/>
  <c r="CH402" i="17" s="1"/>
  <c r="CL402" i="17"/>
  <c r="CM402" i="17"/>
  <c r="CN402" i="17"/>
  <c r="CO402" i="17" s="1"/>
  <c r="DK402" i="17"/>
  <c r="O403" i="17"/>
  <c r="T403" i="17"/>
  <c r="R403" i="17" s="1"/>
  <c r="V403" i="17"/>
  <c r="W403" i="17"/>
  <c r="X403" i="17" s="1"/>
  <c r="AV403" i="17"/>
  <c r="AT403" i="17" s="1"/>
  <c r="AX403" i="17"/>
  <c r="AY403" i="17"/>
  <c r="AZ403" i="17" s="1"/>
  <c r="BB403" i="17"/>
  <c r="BX403" i="17"/>
  <c r="BV403" i="17" s="1"/>
  <c r="CB403" i="17"/>
  <c r="CC403" i="17"/>
  <c r="CD403" i="17" s="1"/>
  <c r="CF403" i="17"/>
  <c r="CJ403" i="17"/>
  <c r="CH403" i="17" s="1"/>
  <c r="CL403" i="17"/>
  <c r="CM403" i="17"/>
  <c r="CN403" i="17"/>
  <c r="DK403" i="17"/>
  <c r="O404" i="17"/>
  <c r="T404" i="17"/>
  <c r="V404" i="17"/>
  <c r="W404" i="17"/>
  <c r="X404" i="17" s="1"/>
  <c r="AV404" i="17"/>
  <c r="AT404" i="17" s="1"/>
  <c r="AX404" i="17"/>
  <c r="AY404" i="17"/>
  <c r="AZ404" i="17" s="1"/>
  <c r="BX404" i="17"/>
  <c r="BV404" i="17" s="1"/>
  <c r="CB404" i="17"/>
  <c r="CC404" i="17"/>
  <c r="CJ404" i="17"/>
  <c r="CH404" i="17" s="1"/>
  <c r="CL404" i="17"/>
  <c r="CM404" i="17"/>
  <c r="CN404" i="17"/>
  <c r="CO404" i="17" s="1"/>
  <c r="DK404" i="17"/>
  <c r="O405" i="17"/>
  <c r="T405" i="17"/>
  <c r="R405" i="17" s="1"/>
  <c r="V405" i="17"/>
  <c r="W405" i="17"/>
  <c r="X405" i="17" s="1"/>
  <c r="Z405" i="17"/>
  <c r="AV405" i="17"/>
  <c r="AX405" i="17"/>
  <c r="AY405" i="17"/>
  <c r="AZ405" i="17" s="1"/>
  <c r="BB405" i="17"/>
  <c r="BX405" i="17"/>
  <c r="BV405" i="17" s="1"/>
  <c r="CB405" i="17"/>
  <c r="CC405" i="17"/>
  <c r="CD405" i="17" s="1"/>
  <c r="CJ405" i="17"/>
  <c r="CH405" i="17" s="1"/>
  <c r="CL405" i="17"/>
  <c r="CM405" i="17"/>
  <c r="CN405" i="17"/>
  <c r="CO405" i="17" s="1"/>
  <c r="DK405" i="17"/>
  <c r="O406" i="17"/>
  <c r="T406" i="17"/>
  <c r="R406" i="17" s="1"/>
  <c r="V406" i="17"/>
  <c r="W406" i="17"/>
  <c r="X406" i="17" s="1"/>
  <c r="AV406" i="17"/>
  <c r="AT406" i="17" s="1"/>
  <c r="AX406" i="17"/>
  <c r="AY406" i="17"/>
  <c r="AZ406" i="17" s="1"/>
  <c r="BB406" i="17"/>
  <c r="BX406" i="17"/>
  <c r="BV406" i="17" s="1"/>
  <c r="CB406" i="17"/>
  <c r="CC406" i="17"/>
  <c r="CF406" i="17"/>
  <c r="CJ406" i="17"/>
  <c r="CH406" i="17" s="1"/>
  <c r="CL406" i="17"/>
  <c r="CM406" i="17"/>
  <c r="CN406" i="17"/>
  <c r="CO406" i="17" s="1"/>
  <c r="DK406" i="17"/>
  <c r="O407" i="17"/>
  <c r="T407" i="17"/>
  <c r="R407" i="17" s="1"/>
  <c r="V407" i="17"/>
  <c r="W407" i="17"/>
  <c r="X407" i="17" s="1"/>
  <c r="AV407" i="17"/>
  <c r="AX407" i="17"/>
  <c r="AY407" i="17"/>
  <c r="AZ407" i="17" s="1"/>
  <c r="BB407" i="17" s="1"/>
  <c r="BX407" i="17"/>
  <c r="BV407" i="17" s="1"/>
  <c r="CB407" i="17"/>
  <c r="CC407" i="17"/>
  <c r="CD407" i="17" s="1"/>
  <c r="CF407" i="17"/>
  <c r="CJ407" i="17"/>
  <c r="CH407" i="17" s="1"/>
  <c r="CL407" i="17"/>
  <c r="CM407" i="17"/>
  <c r="CN407" i="17"/>
  <c r="CO407" i="17" s="1"/>
  <c r="DK407" i="17"/>
  <c r="O408" i="17"/>
  <c r="T408" i="17"/>
  <c r="R408" i="17" s="1"/>
  <c r="V408" i="17"/>
  <c r="W408" i="17"/>
  <c r="X408" i="17" s="1"/>
  <c r="AV408" i="17"/>
  <c r="AT408" i="17" s="1"/>
  <c r="AX408" i="17"/>
  <c r="AY408" i="17"/>
  <c r="AZ408" i="17" s="1"/>
  <c r="BB408" i="17"/>
  <c r="BX408" i="17"/>
  <c r="CB408" i="17"/>
  <c r="CC408" i="17"/>
  <c r="CD408" i="17" s="1"/>
  <c r="CF408" i="17" s="1"/>
  <c r="CJ408" i="17"/>
  <c r="CH408" i="17" s="1"/>
  <c r="CL408" i="17"/>
  <c r="CM408" i="17"/>
  <c r="CN408" i="17"/>
  <c r="CO408" i="17" s="1"/>
  <c r="DK408" i="17"/>
  <c r="O409" i="17"/>
  <c r="T409" i="17"/>
  <c r="V409" i="17"/>
  <c r="W409" i="17"/>
  <c r="X409" i="17" s="1"/>
  <c r="AV409" i="17"/>
  <c r="AT409" i="17" s="1"/>
  <c r="AX409" i="17"/>
  <c r="AY409" i="17"/>
  <c r="AZ409" i="17" s="1"/>
  <c r="BX409" i="17"/>
  <c r="BV409" i="17" s="1"/>
  <c r="CB409" i="17"/>
  <c r="CC409" i="17"/>
  <c r="CD409" i="17" s="1"/>
  <c r="CJ409" i="17"/>
  <c r="CH409" i="17" s="1"/>
  <c r="CL409" i="17"/>
  <c r="CM409" i="17"/>
  <c r="CN409" i="17"/>
  <c r="CO409" i="17" s="1"/>
  <c r="DK409" i="17"/>
  <c r="O410" i="17"/>
  <c r="T410" i="17"/>
  <c r="R410" i="17" s="1"/>
  <c r="V410" i="17"/>
  <c r="W410" i="17"/>
  <c r="X410" i="17" s="1"/>
  <c r="Z410" i="17" s="1"/>
  <c r="AV410" i="17"/>
  <c r="AT410" i="17" s="1"/>
  <c r="AX410" i="17"/>
  <c r="AY410" i="17"/>
  <c r="AZ410" i="17" s="1"/>
  <c r="BX410" i="17"/>
  <c r="BV410" i="17" s="1"/>
  <c r="CB410" i="17"/>
  <c r="CC410" i="17"/>
  <c r="CJ410" i="17"/>
  <c r="CH410" i="17" s="1"/>
  <c r="CL410" i="17"/>
  <c r="CM410" i="17"/>
  <c r="CN410" i="17"/>
  <c r="CO410" i="17" s="1"/>
  <c r="DK410" i="17"/>
  <c r="O411" i="17"/>
  <c r="T411" i="17"/>
  <c r="R411" i="17" s="1"/>
  <c r="V411" i="17"/>
  <c r="W411" i="17"/>
  <c r="X411" i="17" s="1"/>
  <c r="AV411" i="17"/>
  <c r="AT411" i="17" s="1"/>
  <c r="AX411" i="17"/>
  <c r="AY411" i="17"/>
  <c r="AZ411" i="17" s="1"/>
  <c r="BB411" i="17" s="1"/>
  <c r="BX411" i="17"/>
  <c r="BV411" i="17" s="1"/>
  <c r="CB411" i="17"/>
  <c r="CC411" i="17"/>
  <c r="CJ411" i="17"/>
  <c r="CH411" i="17" s="1"/>
  <c r="CL411" i="17"/>
  <c r="CM411" i="17"/>
  <c r="CN411" i="17"/>
  <c r="DK411" i="17"/>
  <c r="O412" i="17"/>
  <c r="T412" i="17"/>
  <c r="V412" i="17"/>
  <c r="W412" i="17"/>
  <c r="X412" i="17" s="1"/>
  <c r="Z412" i="17" s="1"/>
  <c r="AV412" i="17"/>
  <c r="AT412" i="17" s="1"/>
  <c r="AX412" i="17"/>
  <c r="AY412" i="17"/>
  <c r="AZ412" i="17" s="1"/>
  <c r="BX412" i="17"/>
  <c r="BV412" i="17" s="1"/>
  <c r="CB412" i="17"/>
  <c r="CC412" i="17"/>
  <c r="CJ412" i="17"/>
  <c r="CH412" i="17" s="1"/>
  <c r="CL412" i="17"/>
  <c r="CM412" i="17"/>
  <c r="CN412" i="17"/>
  <c r="CO412" i="17" s="1"/>
  <c r="DK412" i="17"/>
  <c r="O413" i="17"/>
  <c r="T413" i="17"/>
  <c r="R413" i="17" s="1"/>
  <c r="V413" i="17"/>
  <c r="W413" i="17"/>
  <c r="X413" i="17" s="1"/>
  <c r="Z413" i="17" s="1"/>
  <c r="AV413" i="17"/>
  <c r="AX413" i="17"/>
  <c r="AY413" i="17"/>
  <c r="AZ413" i="17" s="1"/>
  <c r="BB413" i="17" s="1"/>
  <c r="BX413" i="17"/>
  <c r="BV413" i="17" s="1"/>
  <c r="CB413" i="17"/>
  <c r="CC413" i="17"/>
  <c r="CD413" i="17" s="1"/>
  <c r="CF413" i="17"/>
  <c r="CJ413" i="17"/>
  <c r="CH413" i="17" s="1"/>
  <c r="CL413" i="17"/>
  <c r="CM413" i="17"/>
  <c r="CN413" i="17"/>
  <c r="CO413" i="17" s="1"/>
  <c r="DK413" i="17"/>
  <c r="O414" i="17"/>
  <c r="T414" i="17"/>
  <c r="R414" i="17" s="1"/>
  <c r="V414" i="17"/>
  <c r="W414" i="17"/>
  <c r="X414" i="17" s="1"/>
  <c r="AV414" i="17"/>
  <c r="AT414" i="17" s="1"/>
  <c r="AX414" i="17"/>
  <c r="AY414" i="17"/>
  <c r="AZ414" i="17" s="1"/>
  <c r="BB414" i="17" s="1"/>
  <c r="BX414" i="17"/>
  <c r="BV414" i="17" s="1"/>
  <c r="CB414" i="17"/>
  <c r="CC414" i="17"/>
  <c r="CJ414" i="17"/>
  <c r="CH414" i="17" s="1"/>
  <c r="CL414" i="17"/>
  <c r="CM414" i="17"/>
  <c r="CN414" i="17"/>
  <c r="CO414" i="17" s="1"/>
  <c r="DK414" i="17"/>
  <c r="O415" i="17"/>
  <c r="T415" i="17"/>
  <c r="R415" i="17" s="1"/>
  <c r="V415" i="17"/>
  <c r="W415" i="17"/>
  <c r="X415" i="17" s="1"/>
  <c r="AV415" i="17"/>
  <c r="AX415" i="17"/>
  <c r="AY415" i="17"/>
  <c r="AZ415" i="17" s="1"/>
  <c r="BB415" i="17" s="1"/>
  <c r="BX415" i="17"/>
  <c r="BV415" i="17" s="1"/>
  <c r="CB415" i="17"/>
  <c r="CC415" i="17"/>
  <c r="CD415" i="17" s="1"/>
  <c r="CF415" i="17" s="1"/>
  <c r="CJ415" i="17"/>
  <c r="CH415" i="17" s="1"/>
  <c r="CL415" i="17"/>
  <c r="CM415" i="17"/>
  <c r="CN415" i="17"/>
  <c r="CO415" i="17" s="1"/>
  <c r="DK415" i="17"/>
  <c r="O416" i="17"/>
  <c r="T416" i="17"/>
  <c r="R416" i="17" s="1"/>
  <c r="V416" i="17"/>
  <c r="W416" i="17"/>
  <c r="X416" i="17" s="1"/>
  <c r="Z416" i="17" s="1"/>
  <c r="AV416" i="17"/>
  <c r="AT416" i="17" s="1"/>
  <c r="AX416" i="17"/>
  <c r="AY416" i="17"/>
  <c r="AZ416" i="17" s="1"/>
  <c r="BB416" i="17"/>
  <c r="BX416" i="17"/>
  <c r="CB416" i="17"/>
  <c r="CC416" i="17"/>
  <c r="CD416" i="17" s="1"/>
  <c r="CF416" i="17" s="1"/>
  <c r="CJ416" i="17"/>
  <c r="CH416" i="17" s="1"/>
  <c r="CL416" i="17"/>
  <c r="CM416" i="17"/>
  <c r="CN416" i="17"/>
  <c r="CO416" i="17" s="1"/>
  <c r="DK416" i="17"/>
  <c r="O417" i="17"/>
  <c r="T417" i="17"/>
  <c r="V417" i="17"/>
  <c r="W417" i="17"/>
  <c r="X417" i="17" s="1"/>
  <c r="Z417" i="17" s="1"/>
  <c r="AV417" i="17"/>
  <c r="AT417" i="17" s="1"/>
  <c r="AX417" i="17"/>
  <c r="AY417" i="17"/>
  <c r="AZ417" i="17" s="1"/>
  <c r="BX417" i="17"/>
  <c r="BV417" i="17" s="1"/>
  <c r="CB417" i="17"/>
  <c r="CC417" i="17"/>
  <c r="CD417" i="17" s="1"/>
  <c r="CJ417" i="17"/>
  <c r="CH417" i="17" s="1"/>
  <c r="CL417" i="17"/>
  <c r="CM417" i="17"/>
  <c r="CN417" i="17"/>
  <c r="CO417" i="17" s="1"/>
  <c r="DK417" i="17"/>
  <c r="O418" i="17"/>
  <c r="T418" i="17"/>
  <c r="R418" i="17" s="1"/>
  <c r="V418" i="17"/>
  <c r="W418" i="17"/>
  <c r="X418" i="17" s="1"/>
  <c r="Z418" i="17" s="1"/>
  <c r="AV418" i="17"/>
  <c r="AT418" i="17" s="1"/>
  <c r="AX418" i="17"/>
  <c r="AY418" i="17"/>
  <c r="AZ418" i="17" s="1"/>
  <c r="BX418" i="17"/>
  <c r="BV418" i="17" s="1"/>
  <c r="CB418" i="17"/>
  <c r="CC418" i="17"/>
  <c r="CJ418" i="17"/>
  <c r="CH418" i="17" s="1"/>
  <c r="CL418" i="17"/>
  <c r="CM418" i="17"/>
  <c r="CN418" i="17"/>
  <c r="CO418" i="17" s="1"/>
  <c r="DK418" i="17"/>
  <c r="O419" i="17"/>
  <c r="T419" i="17"/>
  <c r="R419" i="17" s="1"/>
  <c r="V419" i="17"/>
  <c r="W419" i="17"/>
  <c r="X419" i="17" s="1"/>
  <c r="AV419" i="17"/>
  <c r="AT419" i="17" s="1"/>
  <c r="AX419" i="17"/>
  <c r="AY419" i="17"/>
  <c r="AZ419" i="17" s="1"/>
  <c r="BB419" i="17"/>
  <c r="BX419" i="17"/>
  <c r="BV419" i="17" s="1"/>
  <c r="CB419" i="17"/>
  <c r="CC419" i="17"/>
  <c r="CD419" i="17" s="1"/>
  <c r="CJ419" i="17"/>
  <c r="CH419" i="17" s="1"/>
  <c r="CL419" i="17"/>
  <c r="CM419" i="17"/>
  <c r="CN419" i="17"/>
  <c r="DK419" i="17"/>
  <c r="O420" i="17"/>
  <c r="T420" i="17"/>
  <c r="V420" i="17"/>
  <c r="W420" i="17"/>
  <c r="X420" i="17" s="1"/>
  <c r="AV420" i="17"/>
  <c r="AT420" i="17" s="1"/>
  <c r="AX420" i="17"/>
  <c r="AY420" i="17"/>
  <c r="AZ420" i="17" s="1"/>
  <c r="BX420" i="17"/>
  <c r="BV420" i="17" s="1"/>
  <c r="CB420" i="17"/>
  <c r="CC420" i="17"/>
  <c r="CJ420" i="17"/>
  <c r="CH420" i="17" s="1"/>
  <c r="CL420" i="17"/>
  <c r="CM420" i="17"/>
  <c r="CN420" i="17"/>
  <c r="CO420" i="17" s="1"/>
  <c r="DK420" i="17"/>
  <c r="O421" i="17"/>
  <c r="T421" i="17"/>
  <c r="R421" i="17" s="1"/>
  <c r="V421" i="17"/>
  <c r="W421" i="17"/>
  <c r="X421" i="17" s="1"/>
  <c r="Z421" i="17" s="1"/>
  <c r="AV421" i="17"/>
  <c r="AX421" i="17"/>
  <c r="AY421" i="17"/>
  <c r="AZ421" i="17" s="1"/>
  <c r="BB421" i="17"/>
  <c r="BX421" i="17"/>
  <c r="BV421" i="17" s="1"/>
  <c r="CB421" i="17"/>
  <c r="CC421" i="17"/>
  <c r="CD421" i="17" s="1"/>
  <c r="CJ421" i="17"/>
  <c r="CH421" i="17" s="1"/>
  <c r="CL421" i="17"/>
  <c r="CM421" i="17"/>
  <c r="CN421" i="17"/>
  <c r="CO421" i="17" s="1"/>
  <c r="DK421" i="17"/>
  <c r="O422" i="17"/>
  <c r="T422" i="17"/>
  <c r="R422" i="17" s="1"/>
  <c r="V422" i="17"/>
  <c r="W422" i="17"/>
  <c r="X422" i="17" s="1"/>
  <c r="AV422" i="17"/>
  <c r="AT422" i="17" s="1"/>
  <c r="AX422" i="17"/>
  <c r="AY422" i="17"/>
  <c r="AZ422" i="17" s="1"/>
  <c r="BB422" i="17" s="1"/>
  <c r="BX422" i="17"/>
  <c r="BV422" i="17" s="1"/>
  <c r="CB422" i="17"/>
  <c r="CC422" i="17"/>
  <c r="CJ422" i="17"/>
  <c r="CH422" i="17" s="1"/>
  <c r="CL422" i="17"/>
  <c r="CM422" i="17"/>
  <c r="CN422" i="17"/>
  <c r="CO422" i="17" s="1"/>
  <c r="DK422" i="17"/>
  <c r="O423" i="17"/>
  <c r="T423" i="17"/>
  <c r="R423" i="17" s="1"/>
  <c r="V423" i="17"/>
  <c r="W423" i="17"/>
  <c r="X423" i="17" s="1"/>
  <c r="AV423" i="17"/>
  <c r="AT423" i="17" s="1"/>
  <c r="AX423" i="17"/>
  <c r="AY423" i="17"/>
  <c r="AZ423" i="17" s="1"/>
  <c r="BB423" i="17"/>
  <c r="BX423" i="17"/>
  <c r="BV423" i="17" s="1"/>
  <c r="CB423" i="17"/>
  <c r="CC423" i="17"/>
  <c r="CD423" i="17" s="1"/>
  <c r="CF423" i="17" s="1"/>
  <c r="CJ423" i="17"/>
  <c r="CH423" i="17" s="1"/>
  <c r="CL423" i="17"/>
  <c r="CM423" i="17"/>
  <c r="CN423" i="17"/>
  <c r="CO423" i="17" s="1"/>
  <c r="DK423" i="17"/>
  <c r="O424" i="17"/>
  <c r="T424" i="17"/>
  <c r="R424" i="17" s="1"/>
  <c r="V424" i="17"/>
  <c r="W424" i="17"/>
  <c r="X424" i="17" s="1"/>
  <c r="Z424" i="17"/>
  <c r="AV424" i="17"/>
  <c r="AT424" i="17" s="1"/>
  <c r="AX424" i="17"/>
  <c r="AY424" i="17"/>
  <c r="AZ424" i="17" s="1"/>
  <c r="BX424" i="17"/>
  <c r="BV424" i="17" s="1"/>
  <c r="CB424" i="17"/>
  <c r="CC424" i="17"/>
  <c r="CD424" i="17" s="1"/>
  <c r="CJ424" i="17"/>
  <c r="CH424" i="17" s="1"/>
  <c r="CL424" i="17"/>
  <c r="CM424" i="17"/>
  <c r="CN424" i="17"/>
  <c r="CO424" i="17" s="1"/>
  <c r="DK424" i="17"/>
  <c r="O425" i="17"/>
  <c r="T425" i="17"/>
  <c r="R425" i="17" s="1"/>
  <c r="V425" i="17"/>
  <c r="W425" i="17"/>
  <c r="X425" i="17" s="1"/>
  <c r="Z425" i="17"/>
  <c r="AV425" i="17"/>
  <c r="AT425" i="17" s="1"/>
  <c r="AX425" i="17"/>
  <c r="AY425" i="17"/>
  <c r="AZ425" i="17" s="1"/>
  <c r="BB425" i="17"/>
  <c r="BX425" i="17"/>
  <c r="BV425" i="17" s="1"/>
  <c r="CB425" i="17"/>
  <c r="CC425" i="17"/>
  <c r="CJ425" i="17"/>
  <c r="CH425" i="17" s="1"/>
  <c r="CL425" i="17"/>
  <c r="CM425" i="17"/>
  <c r="CN425" i="17"/>
  <c r="DK425" i="17"/>
  <c r="O426" i="17"/>
  <c r="T426" i="17"/>
  <c r="R426" i="17" s="1"/>
  <c r="V426" i="17"/>
  <c r="W426" i="17"/>
  <c r="X426" i="17" s="1"/>
  <c r="Z426" i="17" s="1"/>
  <c r="AV426" i="17"/>
  <c r="AT426" i="17" s="1"/>
  <c r="AX426" i="17"/>
  <c r="AY426" i="17"/>
  <c r="AZ426" i="17" s="1"/>
  <c r="BB426" i="17"/>
  <c r="BX426" i="17"/>
  <c r="BV426" i="17" s="1"/>
  <c r="CB426" i="17"/>
  <c r="CC426" i="17"/>
  <c r="CD426" i="17" s="1"/>
  <c r="CF426" i="17"/>
  <c r="CJ426" i="17"/>
  <c r="CH426" i="17" s="1"/>
  <c r="CL426" i="17"/>
  <c r="CM426" i="17"/>
  <c r="CN426" i="17"/>
  <c r="CO426" i="17" s="1"/>
  <c r="DK426" i="17"/>
  <c r="O427" i="17"/>
  <c r="T427" i="17"/>
  <c r="R427" i="17" s="1"/>
  <c r="V427" i="17"/>
  <c r="W427" i="17"/>
  <c r="X427" i="17" s="1"/>
  <c r="Z427" i="17"/>
  <c r="AV427" i="17"/>
  <c r="AT427" i="17" s="1"/>
  <c r="AX427" i="17"/>
  <c r="AY427" i="17"/>
  <c r="AZ427" i="17" s="1"/>
  <c r="BX427" i="17"/>
  <c r="BV427" i="17" s="1"/>
  <c r="CB427" i="17"/>
  <c r="CC427" i="17"/>
  <c r="CD427" i="17" s="1"/>
  <c r="CF427" i="17"/>
  <c r="CJ427" i="17"/>
  <c r="CH427" i="17" s="1"/>
  <c r="CL427" i="17"/>
  <c r="CM427" i="17"/>
  <c r="CN427" i="17"/>
  <c r="CO427" i="17" s="1"/>
  <c r="DK427" i="17"/>
  <c r="O428" i="17"/>
  <c r="T428" i="17"/>
  <c r="V428" i="17"/>
  <c r="W428" i="17"/>
  <c r="X428" i="17" s="1"/>
  <c r="AV428" i="17"/>
  <c r="AT428" i="17" s="1"/>
  <c r="AX428" i="17"/>
  <c r="AY428" i="17"/>
  <c r="AZ428" i="17" s="1"/>
  <c r="BX428" i="17"/>
  <c r="BV428" i="17" s="1"/>
  <c r="CB428" i="17"/>
  <c r="CC428" i="17"/>
  <c r="CD428" i="17" s="1"/>
  <c r="CF428" i="17" s="1"/>
  <c r="CJ428" i="17"/>
  <c r="CH428" i="17" s="1"/>
  <c r="CL428" i="17"/>
  <c r="CM428" i="17"/>
  <c r="CN428" i="17"/>
  <c r="CO428" i="17" s="1"/>
  <c r="DK428" i="17"/>
  <c r="O429" i="17"/>
  <c r="T429" i="17"/>
  <c r="R429" i="17" s="1"/>
  <c r="V429" i="17"/>
  <c r="W429" i="17"/>
  <c r="X429" i="17" s="1"/>
  <c r="Z429" i="17"/>
  <c r="AV429" i="17"/>
  <c r="AT429" i="17" s="1"/>
  <c r="AX429" i="17"/>
  <c r="AY429" i="17"/>
  <c r="AZ429" i="17" s="1"/>
  <c r="BB429" i="17"/>
  <c r="BX429" i="17"/>
  <c r="BV429" i="17" s="1"/>
  <c r="CB429" i="17"/>
  <c r="CC429" i="17"/>
  <c r="CD429" i="17" s="1"/>
  <c r="CF429" i="17" s="1"/>
  <c r="CJ429" i="17"/>
  <c r="CH429" i="17" s="1"/>
  <c r="CL429" i="17"/>
  <c r="CM429" i="17"/>
  <c r="CN429" i="17"/>
  <c r="CO429" i="17" s="1"/>
  <c r="DK429" i="17"/>
  <c r="O430" i="17"/>
  <c r="T430" i="17"/>
  <c r="V430" i="17"/>
  <c r="W430" i="17"/>
  <c r="X430" i="17" s="1"/>
  <c r="AV430" i="17"/>
  <c r="AT430" i="17" s="1"/>
  <c r="AX430" i="17"/>
  <c r="AY430" i="17"/>
  <c r="AZ430" i="17" s="1"/>
  <c r="BX430" i="17"/>
  <c r="BV430" i="17" s="1"/>
  <c r="CB430" i="17"/>
  <c r="CC430" i="17"/>
  <c r="CD430" i="17" s="1"/>
  <c r="CF430" i="17"/>
  <c r="CJ430" i="17"/>
  <c r="CH430" i="17" s="1"/>
  <c r="CL430" i="17"/>
  <c r="CM430" i="17"/>
  <c r="CN430" i="17"/>
  <c r="CO430" i="17" s="1"/>
  <c r="DK430" i="17"/>
  <c r="O431" i="17"/>
  <c r="T431" i="17"/>
  <c r="V431" i="17"/>
  <c r="W431" i="17"/>
  <c r="X431" i="17" s="1"/>
  <c r="AV431" i="17"/>
  <c r="AT431" i="17" s="1"/>
  <c r="AX431" i="17"/>
  <c r="AY431" i="17"/>
  <c r="AZ431" i="17" s="1"/>
  <c r="BX431" i="17"/>
  <c r="BV431" i="17" s="1"/>
  <c r="CB431" i="17"/>
  <c r="CC431" i="17"/>
  <c r="CJ431" i="17"/>
  <c r="CH431" i="17" s="1"/>
  <c r="CL431" i="17"/>
  <c r="CM431" i="17"/>
  <c r="CN431" i="17"/>
  <c r="CO431" i="17" s="1"/>
  <c r="DK431" i="17"/>
  <c r="O432" i="17"/>
  <c r="T432" i="17"/>
  <c r="V432" i="17"/>
  <c r="W432" i="17"/>
  <c r="X432" i="17" s="1"/>
  <c r="AV432" i="17"/>
  <c r="AT432" i="17" s="1"/>
  <c r="AX432" i="17"/>
  <c r="AY432" i="17"/>
  <c r="AZ432" i="17" s="1"/>
  <c r="BX432" i="17"/>
  <c r="BV432" i="17" s="1"/>
  <c r="CB432" i="17"/>
  <c r="CC432" i="17"/>
  <c r="CJ432" i="17"/>
  <c r="CH432" i="17" s="1"/>
  <c r="CL432" i="17"/>
  <c r="CM432" i="17"/>
  <c r="CN432" i="17"/>
  <c r="DK432" i="17"/>
  <c r="O433" i="17"/>
  <c r="T433" i="17"/>
  <c r="V433" i="17"/>
  <c r="W433" i="17"/>
  <c r="X433" i="17" s="1"/>
  <c r="Z433" i="17"/>
  <c r="AV433" i="17"/>
  <c r="AT433" i="17" s="1"/>
  <c r="AX433" i="17"/>
  <c r="AY433" i="17"/>
  <c r="AZ433" i="17" s="1"/>
  <c r="BX433" i="17"/>
  <c r="BV433" i="17" s="1"/>
  <c r="CB433" i="17"/>
  <c r="CC433" i="17"/>
  <c r="CJ433" i="17"/>
  <c r="CH433" i="17" s="1"/>
  <c r="CL433" i="17"/>
  <c r="CM433" i="17"/>
  <c r="CN433" i="17"/>
  <c r="CO433" i="17" s="1"/>
  <c r="DK433" i="17"/>
  <c r="O434" i="17"/>
  <c r="T434" i="17"/>
  <c r="R434" i="17" s="1"/>
  <c r="V434" i="17"/>
  <c r="W434" i="17"/>
  <c r="X434" i="17" s="1"/>
  <c r="Z434" i="17" s="1"/>
  <c r="AV434" i="17"/>
  <c r="AX434" i="17"/>
  <c r="AY434" i="17"/>
  <c r="AZ434" i="17" s="1"/>
  <c r="BX434" i="17"/>
  <c r="BV434" i="17" s="1"/>
  <c r="CB434" i="17"/>
  <c r="CC434" i="17"/>
  <c r="CD434" i="17" s="1"/>
  <c r="CJ434" i="17"/>
  <c r="CH434" i="17" s="1"/>
  <c r="CL434" i="17"/>
  <c r="CM434" i="17"/>
  <c r="CN434" i="17"/>
  <c r="CO434" i="17" s="1"/>
  <c r="DK434" i="17"/>
  <c r="O435" i="17"/>
  <c r="T435" i="17"/>
  <c r="R435" i="17" s="1"/>
  <c r="V435" i="17"/>
  <c r="W435" i="17"/>
  <c r="X435" i="17" s="1"/>
  <c r="AV435" i="17"/>
  <c r="AT435" i="17" s="1"/>
  <c r="AX435" i="17"/>
  <c r="AY435" i="17"/>
  <c r="AZ435" i="17" s="1"/>
  <c r="BB435" i="17"/>
  <c r="BX435" i="17"/>
  <c r="BV435" i="17" s="1"/>
  <c r="CB435" i="17"/>
  <c r="CC435" i="17"/>
  <c r="CD435" i="17" s="1"/>
  <c r="CJ435" i="17"/>
  <c r="CH435" i="17" s="1"/>
  <c r="CL435" i="17"/>
  <c r="CM435" i="17"/>
  <c r="CN435" i="17"/>
  <c r="CO435" i="17" s="1"/>
  <c r="DK435" i="17"/>
  <c r="O436" i="17"/>
  <c r="T436" i="17"/>
  <c r="R436" i="17" s="1"/>
  <c r="V436" i="17"/>
  <c r="W436" i="17"/>
  <c r="X436" i="17" s="1"/>
  <c r="AV436" i="17"/>
  <c r="AT436" i="17" s="1"/>
  <c r="AX436" i="17"/>
  <c r="AY436" i="17"/>
  <c r="AZ436" i="17" s="1"/>
  <c r="BX436" i="17"/>
  <c r="BV436" i="17" s="1"/>
  <c r="CB436" i="17"/>
  <c r="CC436" i="17"/>
  <c r="CD436" i="17" s="1"/>
  <c r="CF436" i="17" s="1"/>
  <c r="CJ436" i="17"/>
  <c r="CH436" i="17" s="1"/>
  <c r="CL436" i="17"/>
  <c r="CM436" i="17"/>
  <c r="CN436" i="17"/>
  <c r="CO436" i="17" s="1"/>
  <c r="DK436" i="17"/>
  <c r="O437" i="17"/>
  <c r="T437" i="17"/>
  <c r="R437" i="17" s="1"/>
  <c r="V437" i="17"/>
  <c r="W437" i="17"/>
  <c r="X437" i="17" s="1"/>
  <c r="Z437" i="17" s="1"/>
  <c r="AV437" i="17"/>
  <c r="AT437" i="17" s="1"/>
  <c r="AX437" i="17"/>
  <c r="AY437" i="17"/>
  <c r="AZ437" i="17" s="1"/>
  <c r="BB437" i="17"/>
  <c r="BX437" i="17"/>
  <c r="BV437" i="17" s="1"/>
  <c r="CB437" i="17"/>
  <c r="CC437" i="17"/>
  <c r="CD437" i="17" s="1"/>
  <c r="CF437" i="17" s="1"/>
  <c r="CJ437" i="17"/>
  <c r="CH437" i="17" s="1"/>
  <c r="CL437" i="17"/>
  <c r="CM437" i="17"/>
  <c r="CN437" i="17"/>
  <c r="CO437" i="17" s="1"/>
  <c r="DK437" i="17"/>
  <c r="O438" i="17"/>
  <c r="T438" i="17"/>
  <c r="V438" i="17"/>
  <c r="W438" i="17"/>
  <c r="X438" i="17" s="1"/>
  <c r="AV438" i="17"/>
  <c r="AT438" i="17" s="1"/>
  <c r="AX438" i="17"/>
  <c r="AY438" i="17"/>
  <c r="AZ438" i="17" s="1"/>
  <c r="BB438" i="17"/>
  <c r="BX438" i="17"/>
  <c r="BV438" i="17" s="1"/>
  <c r="CB438" i="17"/>
  <c r="CC438" i="17"/>
  <c r="CD438" i="17" s="1"/>
  <c r="CF438" i="17"/>
  <c r="CJ438" i="17"/>
  <c r="CH438" i="17" s="1"/>
  <c r="CL438" i="17"/>
  <c r="CM438" i="17"/>
  <c r="CN438" i="17"/>
  <c r="DK438" i="17"/>
  <c r="O439" i="17"/>
  <c r="T439" i="17"/>
  <c r="V439" i="17"/>
  <c r="W439" i="17"/>
  <c r="X439" i="17" s="1"/>
  <c r="AV439" i="17"/>
  <c r="AT439" i="17" s="1"/>
  <c r="AX439" i="17"/>
  <c r="AY439" i="17"/>
  <c r="AZ439" i="17" s="1"/>
  <c r="BX439" i="17"/>
  <c r="BV439" i="17" s="1"/>
  <c r="CB439" i="17"/>
  <c r="CC439" i="17"/>
  <c r="CF439" i="17"/>
  <c r="CJ439" i="17"/>
  <c r="CH439" i="17" s="1"/>
  <c r="CL439" i="17"/>
  <c r="CM439" i="17"/>
  <c r="CN439" i="17"/>
  <c r="DK439" i="17"/>
  <c r="O440" i="17"/>
  <c r="T440" i="17"/>
  <c r="V440" i="17"/>
  <c r="W440" i="17"/>
  <c r="X440" i="17" s="1"/>
  <c r="AV440" i="17"/>
  <c r="AT440" i="17" s="1"/>
  <c r="AX440" i="17"/>
  <c r="AY440" i="17"/>
  <c r="AZ440" i="17" s="1"/>
  <c r="BX440" i="17"/>
  <c r="BV440" i="17" s="1"/>
  <c r="CB440" i="17"/>
  <c r="CC440" i="17"/>
  <c r="CD440" i="17" s="1"/>
  <c r="CJ440" i="17"/>
  <c r="CH440" i="17" s="1"/>
  <c r="CL440" i="17"/>
  <c r="CM440" i="17"/>
  <c r="CN440" i="17"/>
  <c r="DK440" i="17"/>
  <c r="O441" i="17"/>
  <c r="T441" i="17"/>
  <c r="V441" i="17"/>
  <c r="W441" i="17"/>
  <c r="X441" i="17" s="1"/>
  <c r="AV441" i="17"/>
  <c r="AT441" i="17" s="1"/>
  <c r="AX441" i="17"/>
  <c r="AY441" i="17"/>
  <c r="AZ441" i="17" s="1"/>
  <c r="BX441" i="17"/>
  <c r="BV441" i="17" s="1"/>
  <c r="CB441" i="17"/>
  <c r="CC441" i="17"/>
  <c r="CF441" i="17"/>
  <c r="CJ441" i="17"/>
  <c r="CH441" i="17" s="1"/>
  <c r="CL441" i="17"/>
  <c r="CM441" i="17"/>
  <c r="CN441" i="17"/>
  <c r="CO441" i="17" s="1"/>
  <c r="DK441" i="17"/>
  <c r="P442" i="17"/>
  <c r="V442" i="17"/>
  <c r="W442" i="17"/>
  <c r="X442" i="17" s="1"/>
  <c r="Z442" i="17"/>
  <c r="AX442" i="17"/>
  <c r="AY442" i="17"/>
  <c r="AZ442" i="17" s="1"/>
  <c r="BB442" i="17"/>
  <c r="CB442" i="17"/>
  <c r="CC442" i="17"/>
  <c r="CD442" i="17" s="1"/>
  <c r="CF442" i="17"/>
  <c r="CL442" i="17"/>
  <c r="CM442" i="17"/>
  <c r="CN442" i="17"/>
  <c r="CO442" i="17" s="1"/>
  <c r="DK442" i="17"/>
  <c r="O443" i="17"/>
  <c r="T443" i="17"/>
  <c r="V443" i="17"/>
  <c r="W443" i="17"/>
  <c r="X443" i="17" s="1"/>
  <c r="Z443" i="17" s="1"/>
  <c r="AV443" i="17"/>
  <c r="AT443" i="17" s="1"/>
  <c r="AX443" i="17"/>
  <c r="AY443" i="17"/>
  <c r="AZ443" i="17" s="1"/>
  <c r="BB443" i="17"/>
  <c r="BX443" i="17"/>
  <c r="BV443" i="17" s="1"/>
  <c r="CB443" i="17"/>
  <c r="CC443" i="17"/>
  <c r="CD443" i="17" s="1"/>
  <c r="CF443" i="17" s="1"/>
  <c r="CJ443" i="17"/>
  <c r="CH443" i="17" s="1"/>
  <c r="CL443" i="17"/>
  <c r="CM443" i="17"/>
  <c r="CN443" i="17"/>
  <c r="CO443" i="17" s="1"/>
  <c r="DK443" i="17"/>
  <c r="O444" i="17"/>
  <c r="T444" i="17"/>
  <c r="V444" i="17"/>
  <c r="W444" i="17"/>
  <c r="X444" i="17" s="1"/>
  <c r="AV444" i="17"/>
  <c r="AT444" i="17" s="1"/>
  <c r="AX444" i="17"/>
  <c r="AY444" i="17"/>
  <c r="AZ444" i="17" s="1"/>
  <c r="BB444" i="17" s="1"/>
  <c r="BX444" i="17"/>
  <c r="BV444" i="17" s="1"/>
  <c r="CB444" i="17"/>
  <c r="CC444" i="17"/>
  <c r="CD444" i="17" s="1"/>
  <c r="CJ444" i="17"/>
  <c r="CH444" i="17" s="1"/>
  <c r="CL444" i="17"/>
  <c r="CM444" i="17"/>
  <c r="CN444" i="17"/>
  <c r="CO444" i="17" s="1"/>
  <c r="DK444" i="17"/>
  <c r="O445" i="17"/>
  <c r="T445" i="17"/>
  <c r="V445" i="17"/>
  <c r="W445" i="17"/>
  <c r="X445" i="17" s="1"/>
  <c r="AV445" i="17"/>
  <c r="AT445" i="17" s="1"/>
  <c r="AX445" i="17"/>
  <c r="AY445" i="17"/>
  <c r="AZ445" i="17" s="1"/>
  <c r="BB445" i="17" s="1"/>
  <c r="BX445" i="17"/>
  <c r="BV445" i="17" s="1"/>
  <c r="CB445" i="17"/>
  <c r="CC445" i="17"/>
  <c r="CD445" i="17" s="1"/>
  <c r="CF445" i="17"/>
  <c r="CJ445" i="17"/>
  <c r="CH445" i="17" s="1"/>
  <c r="CL445" i="17"/>
  <c r="CM445" i="17"/>
  <c r="CN445" i="17"/>
  <c r="DK445" i="17"/>
  <c r="O446" i="17"/>
  <c r="T446" i="17"/>
  <c r="V446" i="17"/>
  <c r="W446" i="17"/>
  <c r="X446" i="17" s="1"/>
  <c r="Z446" i="17"/>
  <c r="AV446" i="17"/>
  <c r="AT446" i="17" s="1"/>
  <c r="AX446" i="17"/>
  <c r="AY446" i="17"/>
  <c r="AZ446" i="17" s="1"/>
  <c r="BB446" i="17"/>
  <c r="BX446" i="17"/>
  <c r="BV446" i="17" s="1"/>
  <c r="CB446" i="17"/>
  <c r="CC446" i="17"/>
  <c r="CJ446" i="17"/>
  <c r="CH446" i="17" s="1"/>
  <c r="CL446" i="17"/>
  <c r="CM446" i="17"/>
  <c r="CN446" i="17"/>
  <c r="CO446" i="17" s="1"/>
  <c r="DK446" i="17"/>
  <c r="O447" i="17"/>
  <c r="T447" i="17"/>
  <c r="V447" i="17"/>
  <c r="W447" i="17"/>
  <c r="X447" i="17" s="1"/>
  <c r="AV447" i="17"/>
  <c r="AT447" i="17" s="1"/>
  <c r="AX447" i="17"/>
  <c r="AY447" i="17"/>
  <c r="AZ447" i="17" s="1"/>
  <c r="BB447" i="17"/>
  <c r="BX447" i="17"/>
  <c r="BV447" i="17" s="1"/>
  <c r="CB447" i="17"/>
  <c r="CC447" i="17"/>
  <c r="CJ447" i="17"/>
  <c r="CH447" i="17" s="1"/>
  <c r="CL447" i="17"/>
  <c r="CM447" i="17"/>
  <c r="CN447" i="17"/>
  <c r="DK447" i="17"/>
  <c r="O448" i="17"/>
  <c r="T448" i="17"/>
  <c r="R448" i="17" s="1"/>
  <c r="V448" i="17"/>
  <c r="W448" i="17"/>
  <c r="X448" i="17" s="1"/>
  <c r="AV448" i="17"/>
  <c r="AT448" i="17" s="1"/>
  <c r="AX448" i="17"/>
  <c r="AY448" i="17"/>
  <c r="AZ448" i="17" s="1"/>
  <c r="BX448" i="17"/>
  <c r="BV448" i="17" s="1"/>
  <c r="CB448" i="17"/>
  <c r="CC448" i="17"/>
  <c r="CF448" i="17"/>
  <c r="CJ448" i="17"/>
  <c r="CH448" i="17" s="1"/>
  <c r="CL448" i="17"/>
  <c r="CM448" i="17"/>
  <c r="CN448" i="17"/>
  <c r="CO448" i="17" s="1"/>
  <c r="DK448" i="17"/>
  <c r="O449" i="17"/>
  <c r="T449" i="17"/>
  <c r="R449" i="17" s="1"/>
  <c r="V449" i="17"/>
  <c r="W449" i="17"/>
  <c r="X449" i="17" s="1"/>
  <c r="AV449" i="17"/>
  <c r="AT449" i="17" s="1"/>
  <c r="AX449" i="17"/>
  <c r="AY449" i="17"/>
  <c r="AZ449" i="17" s="1"/>
  <c r="BX449" i="17"/>
  <c r="BV449" i="17" s="1"/>
  <c r="CB449" i="17"/>
  <c r="CC449" i="17"/>
  <c r="CD449" i="17" s="1"/>
  <c r="CF449" i="17"/>
  <c r="CJ449" i="17"/>
  <c r="CH449" i="17" s="1"/>
  <c r="CL449" i="17"/>
  <c r="CM449" i="17"/>
  <c r="CN449" i="17"/>
  <c r="CO449" i="17" s="1"/>
  <c r="DK449" i="17"/>
  <c r="O450" i="17"/>
  <c r="T450" i="17"/>
  <c r="R450" i="17" s="1"/>
  <c r="V450" i="17"/>
  <c r="W450" i="17"/>
  <c r="X450" i="17" s="1"/>
  <c r="Z450" i="17" s="1"/>
  <c r="AV450" i="17"/>
  <c r="AT450" i="17" s="1"/>
  <c r="AX450" i="17"/>
  <c r="AY450" i="17"/>
  <c r="AZ450" i="17" s="1"/>
  <c r="BX450" i="17"/>
  <c r="BV450" i="17" s="1"/>
  <c r="CB450" i="17"/>
  <c r="CC450" i="17"/>
  <c r="CD450" i="17" s="1"/>
  <c r="CJ450" i="17"/>
  <c r="CH450" i="17" s="1"/>
  <c r="CL450" i="17"/>
  <c r="CM450" i="17"/>
  <c r="CN450" i="17"/>
  <c r="CO450" i="17" s="1"/>
  <c r="DK450" i="17"/>
  <c r="O451" i="17"/>
  <c r="T451" i="17"/>
  <c r="V451" i="17"/>
  <c r="W451" i="17"/>
  <c r="X451" i="17" s="1"/>
  <c r="Z451" i="17" s="1"/>
  <c r="AV451" i="17"/>
  <c r="AT451" i="17" s="1"/>
  <c r="AX451" i="17"/>
  <c r="AY451" i="17"/>
  <c r="AZ451" i="17" s="1"/>
  <c r="BX451" i="17"/>
  <c r="BV451" i="17" s="1"/>
  <c r="CB451" i="17"/>
  <c r="CC451" i="17"/>
  <c r="CD451" i="17" s="1"/>
  <c r="CF451" i="17"/>
  <c r="CJ451" i="17"/>
  <c r="CH451" i="17" s="1"/>
  <c r="CL451" i="17"/>
  <c r="CM451" i="17"/>
  <c r="CN451" i="17"/>
  <c r="CO451" i="17" s="1"/>
  <c r="DK451" i="17"/>
  <c r="O452" i="17"/>
  <c r="T452" i="17"/>
  <c r="R452" i="17" s="1"/>
  <c r="V452" i="17"/>
  <c r="W452" i="17"/>
  <c r="X452" i="17" s="1"/>
  <c r="Z452" i="17" s="1"/>
  <c r="AV452" i="17"/>
  <c r="AT452" i="17" s="1"/>
  <c r="AX452" i="17"/>
  <c r="AY452" i="17"/>
  <c r="AZ452" i="17" s="1"/>
  <c r="BX452" i="17"/>
  <c r="BV452" i="17" s="1"/>
  <c r="CB452" i="17"/>
  <c r="CC452" i="17"/>
  <c r="CD452" i="17" s="1"/>
  <c r="CF452" i="17"/>
  <c r="CJ452" i="17"/>
  <c r="CH452" i="17" s="1"/>
  <c r="CL452" i="17"/>
  <c r="CM452" i="17"/>
  <c r="CN452" i="17"/>
  <c r="CO452" i="17" s="1"/>
  <c r="DK452" i="17"/>
  <c r="O453" i="17"/>
  <c r="T453" i="17"/>
  <c r="V453" i="17"/>
  <c r="W453" i="17"/>
  <c r="X453" i="17" s="1"/>
  <c r="Z453" i="17"/>
  <c r="AV453" i="17"/>
  <c r="AT453" i="17" s="1"/>
  <c r="AX453" i="17"/>
  <c r="AY453" i="17"/>
  <c r="AZ453" i="17" s="1"/>
  <c r="BB453" i="17" s="1"/>
  <c r="BC453" i="17"/>
  <c r="BX453" i="17"/>
  <c r="BV453" i="17" s="1"/>
  <c r="CB453" i="17"/>
  <c r="CC453" i="17"/>
  <c r="CJ453" i="17"/>
  <c r="CH453" i="17" s="1"/>
  <c r="CL453" i="17"/>
  <c r="CM453" i="17"/>
  <c r="CN453" i="17"/>
  <c r="CO453" i="17" s="1"/>
  <c r="DK453" i="17"/>
  <c r="O454" i="17"/>
  <c r="T454" i="17"/>
  <c r="R454" i="17" s="1"/>
  <c r="V454" i="17"/>
  <c r="W454" i="17"/>
  <c r="X454" i="17" s="1"/>
  <c r="Z454" i="17"/>
  <c r="AV454" i="17"/>
  <c r="AT454" i="17" s="1"/>
  <c r="AX454" i="17"/>
  <c r="AY454" i="17"/>
  <c r="AZ454" i="17" s="1"/>
  <c r="BB454" i="17"/>
  <c r="BX454" i="17"/>
  <c r="BV454" i="17" s="1"/>
  <c r="CB454" i="17"/>
  <c r="CC454" i="17"/>
  <c r="CD454" i="17" s="1"/>
  <c r="CF454" i="17"/>
  <c r="CJ454" i="17"/>
  <c r="CH454" i="17" s="1"/>
  <c r="CL454" i="17"/>
  <c r="CM454" i="17"/>
  <c r="CN454" i="17"/>
  <c r="DK454" i="17"/>
  <c r="O455" i="17"/>
  <c r="T455" i="17"/>
  <c r="V455" i="17"/>
  <c r="W455" i="17"/>
  <c r="X455" i="17" s="1"/>
  <c r="Z455" i="17"/>
  <c r="AV455" i="17"/>
  <c r="AT455" i="17" s="1"/>
  <c r="AX455" i="17"/>
  <c r="AY455" i="17"/>
  <c r="AZ455" i="17" s="1"/>
  <c r="BB455" i="17"/>
  <c r="BX455" i="17"/>
  <c r="BV455" i="17" s="1"/>
  <c r="CB455" i="17"/>
  <c r="CC455" i="17"/>
  <c r="CJ455" i="17"/>
  <c r="CH455" i="17" s="1"/>
  <c r="CL455" i="17"/>
  <c r="CM455" i="17"/>
  <c r="CN455" i="17"/>
  <c r="CO455" i="17" s="1"/>
  <c r="DK455" i="17"/>
  <c r="O456" i="17"/>
  <c r="T456" i="17"/>
  <c r="R456" i="17" s="1"/>
  <c r="V456" i="17"/>
  <c r="W456" i="17"/>
  <c r="X456" i="17" s="1"/>
  <c r="Z456" i="17" s="1"/>
  <c r="AV456" i="17"/>
  <c r="AX456" i="17"/>
  <c r="AY456" i="17"/>
  <c r="AZ456" i="17" s="1"/>
  <c r="BB456" i="17"/>
  <c r="BX456" i="17"/>
  <c r="BV456" i="17" s="1"/>
  <c r="CB456" i="17"/>
  <c r="CC456" i="17"/>
  <c r="CD456" i="17" s="1"/>
  <c r="CJ456" i="17"/>
  <c r="CH456" i="17" s="1"/>
  <c r="CL456" i="17"/>
  <c r="CM456" i="17"/>
  <c r="CN456" i="17"/>
  <c r="CO456" i="17" s="1"/>
  <c r="DK456" i="17"/>
  <c r="O457" i="17"/>
  <c r="T457" i="17"/>
  <c r="V457" i="17"/>
  <c r="W457" i="17"/>
  <c r="X457" i="17" s="1"/>
  <c r="AV457" i="17"/>
  <c r="AT457" i="17" s="1"/>
  <c r="AX457" i="17"/>
  <c r="AY457" i="17"/>
  <c r="AZ457" i="17" s="1"/>
  <c r="BB457" i="17"/>
  <c r="BX457" i="17"/>
  <c r="BV457" i="17" s="1"/>
  <c r="CB457" i="17"/>
  <c r="CC457" i="17"/>
  <c r="CD457" i="17" s="1"/>
  <c r="CF457" i="17" s="1"/>
  <c r="CJ457" i="17"/>
  <c r="CH457" i="17" s="1"/>
  <c r="CL457" i="17"/>
  <c r="CM457" i="17"/>
  <c r="CN457" i="17"/>
  <c r="CO457" i="17" s="1"/>
  <c r="DK457" i="17"/>
  <c r="O458" i="17"/>
  <c r="T458" i="17"/>
  <c r="R458" i="17" s="1"/>
  <c r="V458" i="17"/>
  <c r="W458" i="17"/>
  <c r="X458" i="17" s="1"/>
  <c r="AV458" i="17"/>
  <c r="AX458" i="17"/>
  <c r="AY458" i="17"/>
  <c r="AZ458" i="17" s="1"/>
  <c r="BB458" i="17" s="1"/>
  <c r="BX458" i="17"/>
  <c r="BV458" i="17" s="1"/>
  <c r="CB458" i="17"/>
  <c r="CC458" i="17"/>
  <c r="CD458" i="17" s="1"/>
  <c r="CF458" i="17" s="1"/>
  <c r="CJ458" i="17"/>
  <c r="CH458" i="17" s="1"/>
  <c r="CL458" i="17"/>
  <c r="CM458" i="17"/>
  <c r="CN458" i="17"/>
  <c r="CO458" i="17" s="1"/>
  <c r="DK458" i="17"/>
  <c r="O459" i="17"/>
  <c r="T459" i="17"/>
  <c r="R459" i="17" s="1"/>
  <c r="V459" i="17"/>
  <c r="W459" i="17"/>
  <c r="X459" i="17" s="1"/>
  <c r="AV459" i="17"/>
  <c r="AX459" i="17"/>
  <c r="AY459" i="17"/>
  <c r="AZ459" i="17" s="1"/>
  <c r="BB459" i="17"/>
  <c r="BX459" i="17"/>
  <c r="BV459" i="17" s="1"/>
  <c r="CB459" i="17"/>
  <c r="CC459" i="17"/>
  <c r="CD459" i="17" s="1"/>
  <c r="CF459" i="17" s="1"/>
  <c r="CJ459" i="17"/>
  <c r="CH459" i="17" s="1"/>
  <c r="CL459" i="17"/>
  <c r="CM459" i="17"/>
  <c r="CN459" i="17"/>
  <c r="CO459" i="17" s="1"/>
  <c r="DK459" i="17"/>
  <c r="T460" i="17"/>
  <c r="V460" i="17"/>
  <c r="W460" i="17"/>
  <c r="X460" i="17" s="1"/>
  <c r="Z460" i="17"/>
  <c r="AV460" i="17"/>
  <c r="AT460" i="17" s="1"/>
  <c r="AX460" i="17"/>
  <c r="AY460" i="17"/>
  <c r="AZ460" i="17" s="1"/>
  <c r="BB460" i="17" s="1"/>
  <c r="BX460" i="17"/>
  <c r="BV460" i="17" s="1"/>
  <c r="CB460" i="17"/>
  <c r="CC460" i="17"/>
  <c r="CD460" i="17" s="1"/>
  <c r="CJ460" i="17"/>
  <c r="CH460" i="17" s="1"/>
  <c r="CL460" i="17"/>
  <c r="CM460" i="17"/>
  <c r="CN460" i="17"/>
  <c r="CO460" i="17" s="1"/>
  <c r="DK460" i="17"/>
  <c r="O461" i="17"/>
  <c r="T461" i="17"/>
  <c r="V461" i="17"/>
  <c r="W461" i="17"/>
  <c r="X461" i="17" s="1"/>
  <c r="AV461" i="17"/>
  <c r="AT461" i="17" s="1"/>
  <c r="AX461" i="17"/>
  <c r="AY461" i="17"/>
  <c r="AZ461" i="17" s="1"/>
  <c r="BX461" i="17"/>
  <c r="BV461" i="17" s="1"/>
  <c r="CB461" i="17"/>
  <c r="CC461" i="17"/>
  <c r="CJ461" i="17"/>
  <c r="CH461" i="17" s="1"/>
  <c r="CL461" i="17"/>
  <c r="CM461" i="17"/>
  <c r="CN461" i="17"/>
  <c r="CO461" i="17" s="1"/>
  <c r="DK461" i="17"/>
  <c r="O462" i="17"/>
  <c r="T462" i="17"/>
  <c r="W462" i="17"/>
  <c r="X462" i="17" s="1"/>
  <c r="Z462" i="17"/>
  <c r="AV462" i="17"/>
  <c r="AT462" i="17" s="1"/>
  <c r="AX462" i="17"/>
  <c r="AY462" i="17"/>
  <c r="AZ462" i="17" s="1"/>
  <c r="BB462" i="17" s="1"/>
  <c r="BX462" i="17"/>
  <c r="BV462" i="17" s="1"/>
  <c r="CB462" i="17"/>
  <c r="CC462" i="17"/>
  <c r="CD462" i="17" s="1"/>
  <c r="CJ462" i="17"/>
  <c r="CH462" i="17" s="1"/>
  <c r="CL462" i="17"/>
  <c r="CM462" i="17"/>
  <c r="CN462" i="17"/>
  <c r="CO462" i="17" s="1"/>
  <c r="DK462" i="17"/>
  <c r="O463" i="17"/>
  <c r="T463" i="17"/>
  <c r="V463" i="17"/>
  <c r="W463" i="17"/>
  <c r="X463" i="17" s="1"/>
  <c r="Z463" i="17"/>
  <c r="AV463" i="17"/>
  <c r="AT463" i="17" s="1"/>
  <c r="AX463" i="17"/>
  <c r="AY463" i="17"/>
  <c r="AZ463" i="17" s="1"/>
  <c r="BB463" i="17"/>
  <c r="BX463" i="17"/>
  <c r="BV463" i="17" s="1"/>
  <c r="CB463" i="17"/>
  <c r="CC463" i="17"/>
  <c r="CD463" i="17" s="1"/>
  <c r="CJ463" i="17"/>
  <c r="CH463" i="17" s="1"/>
  <c r="CL463" i="17"/>
  <c r="CM463" i="17"/>
  <c r="CN463" i="17"/>
  <c r="DK463" i="17"/>
  <c r="O464" i="17"/>
  <c r="T464" i="17"/>
  <c r="V464" i="17"/>
  <c r="W464" i="17"/>
  <c r="X464" i="17" s="1"/>
  <c r="AV464" i="17"/>
  <c r="AT464" i="17" s="1"/>
  <c r="AX464" i="17"/>
  <c r="AY464" i="17"/>
  <c r="AZ464" i="17" s="1"/>
  <c r="BX464" i="17"/>
  <c r="BV464" i="17" s="1"/>
  <c r="CB464" i="17"/>
  <c r="CC464" i="17"/>
  <c r="CD464" i="17" s="1"/>
  <c r="CJ464" i="17"/>
  <c r="CH464" i="17" s="1"/>
  <c r="CL464" i="17"/>
  <c r="CM464" i="17"/>
  <c r="CN464" i="17"/>
  <c r="DK464" i="17"/>
  <c r="O465" i="17"/>
  <c r="T465" i="17"/>
  <c r="V465" i="17"/>
  <c r="W465" i="17"/>
  <c r="X465" i="17" s="1"/>
  <c r="Z465" i="17"/>
  <c r="AV465" i="17"/>
  <c r="AT465" i="17" s="1"/>
  <c r="AX465" i="17"/>
  <c r="AY465" i="17"/>
  <c r="AZ465" i="17" s="1"/>
  <c r="BB465" i="17"/>
  <c r="BX465" i="17"/>
  <c r="BV465" i="17" s="1"/>
  <c r="CB465" i="17"/>
  <c r="CC465" i="17"/>
  <c r="CJ465" i="17"/>
  <c r="CH465" i="17" s="1"/>
  <c r="CL465" i="17"/>
  <c r="CM465" i="17"/>
  <c r="CN465" i="17"/>
  <c r="CO465" i="17" s="1"/>
  <c r="DK465" i="17"/>
  <c r="O466" i="17"/>
  <c r="T466" i="17"/>
  <c r="R466" i="17" s="1"/>
  <c r="V466" i="17"/>
  <c r="W466" i="17"/>
  <c r="X466" i="17" s="1"/>
  <c r="AV466" i="17"/>
  <c r="AX466" i="17"/>
  <c r="AY466" i="17"/>
  <c r="AZ466" i="17" s="1"/>
  <c r="BX466" i="17"/>
  <c r="BV466" i="17" s="1"/>
  <c r="CB466" i="17"/>
  <c r="CC466" i="17"/>
  <c r="CJ466" i="17"/>
  <c r="CH466" i="17" s="1"/>
  <c r="CL466" i="17"/>
  <c r="CM466" i="17"/>
  <c r="CN466" i="17"/>
  <c r="CO466" i="17" s="1"/>
  <c r="DK466" i="17"/>
  <c r="O467" i="17"/>
  <c r="T467" i="17"/>
  <c r="V467" i="17"/>
  <c r="W467" i="17"/>
  <c r="X467" i="17" s="1"/>
  <c r="AV467" i="17"/>
  <c r="AT467" i="17" s="1"/>
  <c r="AX467" i="17"/>
  <c r="AY467" i="17"/>
  <c r="AZ467" i="17" s="1"/>
  <c r="BB467" i="17"/>
  <c r="BX467" i="17"/>
  <c r="BV467" i="17" s="1"/>
  <c r="CB467" i="17"/>
  <c r="CC467" i="17"/>
  <c r="CD467" i="17" s="1"/>
  <c r="CF467" i="17" s="1"/>
  <c r="CJ467" i="17"/>
  <c r="CH467" i="17" s="1"/>
  <c r="CL467" i="17"/>
  <c r="CM467" i="17"/>
  <c r="CN467" i="17"/>
  <c r="CO467" i="17" s="1"/>
  <c r="DK467" i="17"/>
  <c r="O468" i="17"/>
  <c r="T468" i="17"/>
  <c r="R468" i="17" s="1"/>
  <c r="V468" i="17"/>
  <c r="W468" i="17"/>
  <c r="X468" i="17" s="1"/>
  <c r="Z468" i="17" s="1"/>
  <c r="AV468" i="17"/>
  <c r="AX468" i="17"/>
  <c r="AY468" i="17"/>
  <c r="AZ468" i="17" s="1"/>
  <c r="BB468" i="17" s="1"/>
  <c r="BX468" i="17"/>
  <c r="BV468" i="17" s="1"/>
  <c r="CB468" i="17"/>
  <c r="CC468" i="17"/>
  <c r="CD468" i="17" s="1"/>
  <c r="CF468" i="17" s="1"/>
  <c r="CJ468" i="17"/>
  <c r="CH468" i="17" s="1"/>
  <c r="CL468" i="17"/>
  <c r="CM468" i="17"/>
  <c r="CN468" i="17"/>
  <c r="CO468" i="17" s="1"/>
  <c r="DK468" i="17"/>
  <c r="O469" i="17"/>
  <c r="T469" i="17"/>
  <c r="R469" i="17" s="1"/>
  <c r="V469" i="17"/>
  <c r="W469" i="17"/>
  <c r="X469" i="17" s="1"/>
  <c r="Z469" i="17" s="1"/>
  <c r="AV469" i="17"/>
  <c r="AX469" i="17"/>
  <c r="AY469" i="17"/>
  <c r="AZ469" i="17" s="1"/>
  <c r="BB469" i="17" s="1"/>
  <c r="BX469" i="17"/>
  <c r="BV469" i="17" s="1"/>
  <c r="CB469" i="17"/>
  <c r="CC469" i="17"/>
  <c r="CD469" i="17" s="1"/>
  <c r="CF469" i="17" s="1"/>
  <c r="CJ469" i="17"/>
  <c r="CH469" i="17" s="1"/>
  <c r="CL469" i="17"/>
  <c r="CM469" i="17"/>
  <c r="CN469" i="17"/>
  <c r="CO469" i="17" s="1"/>
  <c r="DK469" i="17"/>
  <c r="O470" i="17"/>
  <c r="T470" i="17"/>
  <c r="V470" i="17"/>
  <c r="W470" i="17"/>
  <c r="X470" i="17" s="1"/>
  <c r="AV470" i="17"/>
  <c r="AT470" i="17" s="1"/>
  <c r="AX470" i="17"/>
  <c r="AY470" i="17"/>
  <c r="AZ470" i="17" s="1"/>
  <c r="BB470" i="17" s="1"/>
  <c r="BX470" i="17"/>
  <c r="BV470" i="17" s="1"/>
  <c r="CB470" i="17"/>
  <c r="CC470" i="17"/>
  <c r="CJ470" i="17"/>
  <c r="CH470" i="17" s="1"/>
  <c r="CL470" i="17"/>
  <c r="CM470" i="17"/>
  <c r="CN470" i="17"/>
  <c r="CO470" i="17" s="1"/>
  <c r="DK470" i="17"/>
  <c r="O471" i="17"/>
  <c r="T471" i="17"/>
  <c r="R471" i="17" s="1"/>
  <c r="V471" i="17"/>
  <c r="W471" i="17"/>
  <c r="X471" i="17" s="1"/>
  <c r="AV471" i="17"/>
  <c r="AT471" i="17" s="1"/>
  <c r="AX471" i="17"/>
  <c r="AY471" i="17"/>
  <c r="AZ471" i="17" s="1"/>
  <c r="BX471" i="17"/>
  <c r="BV471" i="17" s="1"/>
  <c r="CB471" i="17"/>
  <c r="CC471" i="17"/>
  <c r="CD471" i="17" s="1"/>
  <c r="CF471" i="17" s="1"/>
  <c r="CJ471" i="17"/>
  <c r="CH471" i="17" s="1"/>
  <c r="CL471" i="17"/>
  <c r="CM471" i="17"/>
  <c r="CN471" i="17"/>
  <c r="DK471" i="17"/>
  <c r="P472" i="17"/>
  <c r="S472" i="17"/>
  <c r="U472" i="17"/>
  <c r="AU472" i="17"/>
  <c r="BW472" i="17" s="1"/>
  <c r="AX472" i="17"/>
  <c r="CB472" i="17"/>
  <c r="DK472" i="17"/>
  <c r="O473" i="17"/>
  <c r="T473" i="17"/>
  <c r="V473" i="17"/>
  <c r="W473" i="17"/>
  <c r="X473" i="17" s="1"/>
  <c r="AV473" i="17"/>
  <c r="AT473" i="17" s="1"/>
  <c r="AX473" i="17"/>
  <c r="AY473" i="17"/>
  <c r="AZ473" i="17" s="1"/>
  <c r="BX473" i="17"/>
  <c r="BV473" i="17" s="1"/>
  <c r="CB473" i="17"/>
  <c r="CC473" i="17"/>
  <c r="CJ473" i="17"/>
  <c r="CH473" i="17" s="1"/>
  <c r="CL473" i="17"/>
  <c r="CM473" i="17"/>
  <c r="CN473" i="17"/>
  <c r="CO473" i="17" s="1"/>
  <c r="DK473" i="17"/>
  <c r="O474" i="17"/>
  <c r="T474" i="17"/>
  <c r="V474" i="17"/>
  <c r="W474" i="17"/>
  <c r="X474" i="17" s="1"/>
  <c r="AV474" i="17"/>
  <c r="AT474" i="17" s="1"/>
  <c r="AX474" i="17"/>
  <c r="AY474" i="17"/>
  <c r="AZ474" i="17" s="1"/>
  <c r="BX474" i="17"/>
  <c r="BV474" i="17" s="1"/>
  <c r="CB474" i="17"/>
  <c r="CC474" i="17"/>
  <c r="CD474" i="17" s="1"/>
  <c r="CJ474" i="17"/>
  <c r="CH474" i="17" s="1"/>
  <c r="CL474" i="17"/>
  <c r="CM474" i="17"/>
  <c r="CN474" i="17"/>
  <c r="DK474" i="17"/>
  <c r="O475" i="17"/>
  <c r="T475" i="17"/>
  <c r="R475" i="17" s="1"/>
  <c r="V475" i="17"/>
  <c r="W475" i="17"/>
  <c r="X475" i="17" s="1"/>
  <c r="Z475" i="17"/>
  <c r="AV475" i="17"/>
  <c r="AT475" i="17" s="1"/>
  <c r="AX475" i="17"/>
  <c r="AY475" i="17"/>
  <c r="AZ475" i="17" s="1"/>
  <c r="BB475" i="17"/>
  <c r="BX475" i="17"/>
  <c r="BV475" i="17" s="1"/>
  <c r="CB475" i="17"/>
  <c r="CC475" i="17"/>
  <c r="CJ475" i="17"/>
  <c r="CH475" i="17" s="1"/>
  <c r="CL475" i="17"/>
  <c r="CM475" i="17"/>
  <c r="CN475" i="17"/>
  <c r="CO475" i="17" s="1"/>
  <c r="DK475" i="17"/>
  <c r="O476" i="17"/>
  <c r="T476" i="17"/>
  <c r="R476" i="17" s="1"/>
  <c r="V476" i="17"/>
  <c r="W476" i="17"/>
  <c r="X476" i="17" s="1"/>
  <c r="Z476" i="17" s="1"/>
  <c r="AV476" i="17"/>
  <c r="AT476" i="17" s="1"/>
  <c r="AX476" i="17"/>
  <c r="AY476" i="17"/>
  <c r="AZ476" i="17" s="1"/>
  <c r="BB476" i="17" s="1"/>
  <c r="BX476" i="17"/>
  <c r="BV476" i="17" s="1"/>
  <c r="CB476" i="17"/>
  <c r="CC476" i="17"/>
  <c r="CD476" i="17" s="1"/>
  <c r="CJ476" i="17"/>
  <c r="CH476" i="17" s="1"/>
  <c r="CL476" i="17"/>
  <c r="CM476" i="17"/>
  <c r="CN476" i="17"/>
  <c r="CO476" i="17" s="1"/>
  <c r="DK476" i="17"/>
  <c r="O477" i="17"/>
  <c r="T477" i="17"/>
  <c r="R477" i="17" s="1"/>
  <c r="V477" i="17"/>
  <c r="W477" i="17"/>
  <c r="X477" i="17" s="1"/>
  <c r="Z477" i="17"/>
  <c r="AV477" i="17"/>
  <c r="AT477" i="17" s="1"/>
  <c r="AX477" i="17"/>
  <c r="AY477" i="17"/>
  <c r="AZ477" i="17" s="1"/>
  <c r="BB477" i="17"/>
  <c r="BX477" i="17"/>
  <c r="BV477" i="17" s="1"/>
  <c r="CB477" i="17"/>
  <c r="CC477" i="17"/>
  <c r="CD477" i="17" s="1"/>
  <c r="CJ477" i="17"/>
  <c r="CH477" i="17" s="1"/>
  <c r="CL477" i="17"/>
  <c r="CM477" i="17"/>
  <c r="CN477" i="17"/>
  <c r="CO477" i="17" s="1"/>
  <c r="DK477" i="17"/>
  <c r="O478" i="17"/>
  <c r="T478" i="17"/>
  <c r="R478" i="17" s="1"/>
  <c r="V478" i="17"/>
  <c r="W478" i="17"/>
  <c r="X478" i="17" s="1"/>
  <c r="Z478" i="17"/>
  <c r="AV478" i="17"/>
  <c r="AT478" i="17" s="1"/>
  <c r="AX478" i="17"/>
  <c r="AY478" i="17"/>
  <c r="AZ478" i="17" s="1"/>
  <c r="BB478" i="17"/>
  <c r="BX478" i="17"/>
  <c r="BV478" i="17" s="1"/>
  <c r="CB478" i="17"/>
  <c r="CC478" i="17"/>
  <c r="CD478" i="17" s="1"/>
  <c r="CJ478" i="17"/>
  <c r="CH478" i="17" s="1"/>
  <c r="CL478" i="17"/>
  <c r="CM478" i="17"/>
  <c r="CN478" i="17"/>
  <c r="CO478" i="17" s="1"/>
  <c r="DK478" i="17"/>
  <c r="O479" i="17"/>
  <c r="T479" i="17"/>
  <c r="R479" i="17" s="1"/>
  <c r="V479" i="17"/>
  <c r="W479" i="17"/>
  <c r="X479" i="17" s="1"/>
  <c r="Z479" i="17" s="1"/>
  <c r="AV479" i="17"/>
  <c r="AT479" i="17" s="1"/>
  <c r="AX479" i="17"/>
  <c r="AY479" i="17"/>
  <c r="AZ479" i="17" s="1"/>
  <c r="BX479" i="17"/>
  <c r="BV479" i="17" s="1"/>
  <c r="CB479" i="17"/>
  <c r="CC479" i="17"/>
  <c r="CD479" i="17" s="1"/>
  <c r="CJ479" i="17"/>
  <c r="CH479" i="17" s="1"/>
  <c r="CL479" i="17"/>
  <c r="CM479" i="17"/>
  <c r="CN479" i="17"/>
  <c r="CO479" i="17" s="1"/>
  <c r="DK479" i="17"/>
  <c r="O480" i="17"/>
  <c r="T480" i="17"/>
  <c r="V480" i="17"/>
  <c r="W480" i="17"/>
  <c r="X480" i="17" s="1"/>
  <c r="AV480" i="17"/>
  <c r="AT480" i="17" s="1"/>
  <c r="AX480" i="17"/>
  <c r="AY480" i="17"/>
  <c r="AZ480" i="17" s="1"/>
  <c r="BX480" i="17"/>
  <c r="BV480" i="17" s="1"/>
  <c r="CB480" i="17"/>
  <c r="CC480" i="17"/>
  <c r="CD480" i="17" s="1"/>
  <c r="CF480" i="17"/>
  <c r="CJ480" i="17"/>
  <c r="CH480" i="17" s="1"/>
  <c r="CL480" i="17"/>
  <c r="CM480" i="17"/>
  <c r="CN480" i="17"/>
  <c r="CO480" i="17" s="1"/>
  <c r="DK480" i="17"/>
  <c r="O481" i="17"/>
  <c r="T481" i="17"/>
  <c r="V481" i="17"/>
  <c r="W481" i="17"/>
  <c r="X481" i="17" s="1"/>
  <c r="AV481" i="17"/>
  <c r="AT481" i="17" s="1"/>
  <c r="AX481" i="17"/>
  <c r="AY481" i="17"/>
  <c r="AZ481" i="17" s="1"/>
  <c r="BB481" i="17"/>
  <c r="BX481" i="17"/>
  <c r="BV481" i="17" s="1"/>
  <c r="CB481" i="17"/>
  <c r="CC481" i="17"/>
  <c r="CD481" i="17" s="1"/>
  <c r="CF481" i="17" s="1"/>
  <c r="CJ481" i="17"/>
  <c r="CH481" i="17" s="1"/>
  <c r="CL481" i="17"/>
  <c r="CM481" i="17"/>
  <c r="CN481" i="17"/>
  <c r="DK481" i="17"/>
  <c r="O482" i="17"/>
  <c r="T482" i="17"/>
  <c r="V482" i="17"/>
  <c r="W482" i="17"/>
  <c r="X482" i="17" s="1"/>
  <c r="AV482" i="17"/>
  <c r="AT482" i="17" s="1"/>
  <c r="AX482" i="17"/>
  <c r="AY482" i="17"/>
  <c r="AZ482" i="17" s="1"/>
  <c r="BX482" i="17"/>
  <c r="BV482" i="17" s="1"/>
  <c r="CB482" i="17"/>
  <c r="CC482" i="17"/>
  <c r="CJ482" i="17"/>
  <c r="CH482" i="17" s="1"/>
  <c r="CL482" i="17"/>
  <c r="CM482" i="17"/>
  <c r="CN482" i="17"/>
  <c r="DK482" i="17"/>
  <c r="T483" i="17"/>
  <c r="R483" i="17" s="1"/>
  <c r="V483" i="17"/>
  <c r="W483" i="17"/>
  <c r="X483" i="17" s="1"/>
  <c r="Z483" i="17" s="1"/>
  <c r="AV483" i="17"/>
  <c r="AT483" i="17" s="1"/>
  <c r="AX483" i="17"/>
  <c r="AY483" i="17"/>
  <c r="AZ483" i="17" s="1"/>
  <c r="BB483" i="17"/>
  <c r="BX483" i="17"/>
  <c r="BV483" i="17" s="1"/>
  <c r="CB483" i="17"/>
  <c r="CC483" i="17"/>
  <c r="CF483" i="17"/>
  <c r="CJ483" i="17"/>
  <c r="CH483" i="17" s="1"/>
  <c r="CL483" i="17"/>
  <c r="CM483" i="17"/>
  <c r="CN483" i="17"/>
  <c r="CO483" i="17" s="1"/>
  <c r="DK483" i="17"/>
  <c r="O484" i="17"/>
  <c r="T484" i="17"/>
  <c r="R484" i="17" s="1"/>
  <c r="V484" i="17"/>
  <c r="W484" i="17"/>
  <c r="X484" i="17" s="1"/>
  <c r="Z484" i="17" s="1"/>
  <c r="AV484" i="17"/>
  <c r="AT484" i="17" s="1"/>
  <c r="AX484" i="17"/>
  <c r="AY484" i="17"/>
  <c r="AZ484" i="17" s="1"/>
  <c r="BB484" i="17" s="1"/>
  <c r="BX484" i="17"/>
  <c r="CB484" i="17"/>
  <c r="CC484" i="17"/>
  <c r="CD484" i="17" s="1"/>
  <c r="CJ484" i="17"/>
  <c r="CH484" i="17" s="1"/>
  <c r="CL484" i="17"/>
  <c r="CM484" i="17"/>
  <c r="CN484" i="17"/>
  <c r="CO484" i="17" s="1"/>
  <c r="DK484" i="17"/>
  <c r="O485" i="17"/>
  <c r="T485" i="17"/>
  <c r="R485" i="17" s="1"/>
  <c r="V485" i="17"/>
  <c r="W485" i="17"/>
  <c r="X485" i="17" s="1"/>
  <c r="Z485" i="17"/>
  <c r="AV485" i="17"/>
  <c r="AT485" i="17" s="1"/>
  <c r="AX485" i="17"/>
  <c r="AY485" i="17"/>
  <c r="AZ485" i="17" s="1"/>
  <c r="BX485" i="17"/>
  <c r="BV485" i="17" s="1"/>
  <c r="CB485" i="17"/>
  <c r="CC485" i="17"/>
  <c r="CD485" i="17" s="1"/>
  <c r="CF485" i="17" s="1"/>
  <c r="CJ485" i="17"/>
  <c r="CH485" i="17" s="1"/>
  <c r="CL485" i="17"/>
  <c r="CM485" i="17"/>
  <c r="CN485" i="17"/>
  <c r="CO485" i="17" s="1"/>
  <c r="DK485" i="17"/>
  <c r="O486" i="17"/>
  <c r="T486" i="17"/>
  <c r="V486" i="17"/>
  <c r="W486" i="17"/>
  <c r="X486" i="17" s="1"/>
  <c r="Z486" i="17"/>
  <c r="AV486" i="17"/>
  <c r="AT486" i="17" s="1"/>
  <c r="AX486" i="17"/>
  <c r="AY486" i="17"/>
  <c r="AZ486" i="17" s="1"/>
  <c r="BB486" i="17"/>
  <c r="BX486" i="17"/>
  <c r="BV486" i="17" s="1"/>
  <c r="CB486" i="17"/>
  <c r="CC486" i="17"/>
  <c r="CD486" i="17" s="1"/>
  <c r="CJ486" i="17"/>
  <c r="CH486" i="17" s="1"/>
  <c r="CL486" i="17"/>
  <c r="CM486" i="17"/>
  <c r="CN486" i="17"/>
  <c r="CO486" i="17" s="1"/>
  <c r="DK486" i="17"/>
  <c r="O487" i="17"/>
  <c r="T487" i="17"/>
  <c r="V487" i="17"/>
  <c r="W487" i="17"/>
  <c r="X487" i="17" s="1"/>
  <c r="Z487" i="17"/>
  <c r="AV487" i="17"/>
  <c r="AT487" i="17" s="1"/>
  <c r="AX487" i="17"/>
  <c r="AY487" i="17"/>
  <c r="AZ487" i="17" s="1"/>
  <c r="BX487" i="17"/>
  <c r="BV487" i="17" s="1"/>
  <c r="CB487" i="17"/>
  <c r="CC487" i="17"/>
  <c r="CD487" i="17" s="1"/>
  <c r="CF487" i="17" s="1"/>
  <c r="CJ487" i="17"/>
  <c r="CH487" i="17" s="1"/>
  <c r="CL487" i="17"/>
  <c r="CM487" i="17"/>
  <c r="CN487" i="17"/>
  <c r="CO487" i="17" s="1"/>
  <c r="DK487" i="17"/>
  <c r="O488" i="17"/>
  <c r="T488" i="17"/>
  <c r="V488" i="17"/>
  <c r="W488" i="17"/>
  <c r="X488" i="17" s="1"/>
  <c r="AV488" i="17"/>
  <c r="AT488" i="17" s="1"/>
  <c r="AX488" i="17"/>
  <c r="AY488" i="17"/>
  <c r="AZ488" i="17" s="1"/>
  <c r="BB488" i="17"/>
  <c r="BX488" i="17"/>
  <c r="BV488" i="17" s="1"/>
  <c r="CB488" i="17"/>
  <c r="CC488" i="17"/>
  <c r="CD488" i="17" s="1"/>
  <c r="CF488" i="17"/>
  <c r="CJ488" i="17"/>
  <c r="CH488" i="17" s="1"/>
  <c r="CL488" i="17"/>
  <c r="CM488" i="17"/>
  <c r="CN488" i="17"/>
  <c r="CO488" i="17" s="1"/>
  <c r="DK488" i="17"/>
  <c r="O489" i="17"/>
  <c r="T489" i="17"/>
  <c r="V489" i="17"/>
  <c r="W489" i="17"/>
  <c r="X489" i="17" s="1"/>
  <c r="Z489" i="17"/>
  <c r="AV489" i="17"/>
  <c r="AT489" i="17" s="1"/>
  <c r="AX489" i="17"/>
  <c r="AY489" i="17"/>
  <c r="AZ489" i="17" s="1"/>
  <c r="BB489" i="17"/>
  <c r="BX489" i="17"/>
  <c r="BV489" i="17" s="1"/>
  <c r="CB489" i="17"/>
  <c r="CC489" i="17"/>
  <c r="CD489" i="17" s="1"/>
  <c r="CJ489" i="17"/>
  <c r="CH489" i="17" s="1"/>
  <c r="CL489" i="17"/>
  <c r="CM489" i="17"/>
  <c r="CN489" i="17"/>
  <c r="CO489" i="17" s="1"/>
  <c r="DK489" i="17"/>
  <c r="O490" i="17"/>
  <c r="T490" i="17"/>
  <c r="R490" i="17" s="1"/>
  <c r="V490" i="17"/>
  <c r="W490" i="17"/>
  <c r="X490" i="17" s="1"/>
  <c r="Z490" i="17"/>
  <c r="AV490" i="17"/>
  <c r="AT490" i="17" s="1"/>
  <c r="AX490" i="17"/>
  <c r="AY490" i="17"/>
  <c r="AZ490" i="17" s="1"/>
  <c r="BX490" i="17"/>
  <c r="BV490" i="17" s="1"/>
  <c r="CB490" i="17"/>
  <c r="CC490" i="17"/>
  <c r="CD490" i="17" s="1"/>
  <c r="CJ490" i="17"/>
  <c r="CH490" i="17" s="1"/>
  <c r="CL490" i="17"/>
  <c r="CM490" i="17"/>
  <c r="CN490" i="17"/>
  <c r="DK490" i="17"/>
  <c r="O491" i="17"/>
  <c r="T491" i="17"/>
  <c r="V491" i="17"/>
  <c r="W491" i="17"/>
  <c r="X491" i="17" s="1"/>
  <c r="Z491" i="17"/>
  <c r="AV491" i="17"/>
  <c r="AT491" i="17" s="1"/>
  <c r="AX491" i="17"/>
  <c r="AY491" i="17"/>
  <c r="AZ491" i="17" s="1"/>
  <c r="BX491" i="17"/>
  <c r="BV491" i="17" s="1"/>
  <c r="CB491" i="17"/>
  <c r="CC491" i="17"/>
  <c r="CJ491" i="17"/>
  <c r="CH491" i="17" s="1"/>
  <c r="CL491" i="17"/>
  <c r="CM491" i="17"/>
  <c r="CN491" i="17"/>
  <c r="CO491" i="17" s="1"/>
  <c r="DK491" i="17"/>
  <c r="O492" i="17"/>
  <c r="T492" i="17"/>
  <c r="R492" i="17" s="1"/>
  <c r="V492" i="17"/>
  <c r="W492" i="17"/>
  <c r="X492" i="17" s="1"/>
  <c r="Z492" i="17"/>
  <c r="AV492" i="17"/>
  <c r="AT492" i="17" s="1"/>
  <c r="AX492" i="17"/>
  <c r="AY492" i="17"/>
  <c r="AZ492" i="17" s="1"/>
  <c r="BB492" i="17"/>
  <c r="BX492" i="17"/>
  <c r="BV492" i="17" s="1"/>
  <c r="CB492" i="17"/>
  <c r="CC492" i="17"/>
  <c r="CD492" i="17" s="1"/>
  <c r="CJ492" i="17"/>
  <c r="CH492" i="17" s="1"/>
  <c r="CL492" i="17"/>
  <c r="CM492" i="17"/>
  <c r="CN492" i="17"/>
  <c r="CO492" i="17" s="1"/>
  <c r="DK492" i="17"/>
  <c r="O493" i="17"/>
  <c r="T493" i="17"/>
  <c r="R493" i="17" s="1"/>
  <c r="V493" i="17"/>
  <c r="W493" i="17"/>
  <c r="X493" i="17" s="1"/>
  <c r="Z493" i="17"/>
  <c r="AV493" i="17"/>
  <c r="AT493" i="17" s="1"/>
  <c r="AX493" i="17"/>
  <c r="AY493" i="17"/>
  <c r="AZ493" i="17" s="1"/>
  <c r="BB493" i="17"/>
  <c r="BX493" i="17"/>
  <c r="BV493" i="17" s="1"/>
  <c r="CB493" i="17"/>
  <c r="CC493" i="17"/>
  <c r="CD493" i="17" s="1"/>
  <c r="CF493" i="17"/>
  <c r="CJ493" i="17"/>
  <c r="CH493" i="17" s="1"/>
  <c r="CL493" i="17"/>
  <c r="CM493" i="17"/>
  <c r="CN493" i="17"/>
  <c r="CO493" i="17" s="1"/>
  <c r="DK493" i="17"/>
  <c r="O494" i="17"/>
  <c r="T494" i="17"/>
  <c r="R494" i="17" s="1"/>
  <c r="V494" i="17"/>
  <c r="W494" i="17"/>
  <c r="X494" i="17" s="1"/>
  <c r="AV494" i="17"/>
  <c r="AT494" i="17" s="1"/>
  <c r="AX494" i="17"/>
  <c r="AY494" i="17"/>
  <c r="AZ494" i="17" s="1"/>
  <c r="BX494" i="17"/>
  <c r="BV494" i="17" s="1"/>
  <c r="CB494" i="17"/>
  <c r="CC494" i="17"/>
  <c r="CD494" i="17" s="1"/>
  <c r="CF494" i="17" s="1"/>
  <c r="CJ494" i="17"/>
  <c r="CH494" i="17" s="1"/>
  <c r="CL494" i="17"/>
  <c r="CM494" i="17"/>
  <c r="CN494" i="17"/>
  <c r="CO494" i="17" s="1"/>
  <c r="DK494" i="17"/>
  <c r="O495" i="17"/>
  <c r="T495" i="17"/>
  <c r="R495" i="17" s="1"/>
  <c r="V495" i="17"/>
  <c r="W495" i="17"/>
  <c r="X495" i="17" s="1"/>
  <c r="Z495" i="17" s="1"/>
  <c r="AV495" i="17"/>
  <c r="AX495" i="17"/>
  <c r="AY495" i="17"/>
  <c r="AZ495" i="17" s="1"/>
  <c r="BX495" i="17"/>
  <c r="BV495" i="17" s="1"/>
  <c r="CB495" i="17"/>
  <c r="CC495" i="17"/>
  <c r="CJ495" i="17"/>
  <c r="CH495" i="17" s="1"/>
  <c r="CL495" i="17"/>
  <c r="CM495" i="17"/>
  <c r="CN495" i="17"/>
  <c r="DK495" i="17"/>
  <c r="O496" i="17"/>
  <c r="T496" i="17"/>
  <c r="V496" i="17"/>
  <c r="W496" i="17"/>
  <c r="X496" i="17" s="1"/>
  <c r="AV496" i="17"/>
  <c r="AT496" i="17" s="1"/>
  <c r="AX496" i="17"/>
  <c r="AY496" i="17"/>
  <c r="AZ496" i="17" s="1"/>
  <c r="BX496" i="17"/>
  <c r="BV496" i="17" s="1"/>
  <c r="CB496" i="17"/>
  <c r="CC496" i="17"/>
  <c r="CF496" i="17"/>
  <c r="CJ496" i="17"/>
  <c r="CH496" i="17" s="1"/>
  <c r="CL496" i="17"/>
  <c r="CM496" i="17"/>
  <c r="CN496" i="17"/>
  <c r="DK496" i="17"/>
  <c r="O497" i="17"/>
  <c r="T497" i="17"/>
  <c r="V497" i="17"/>
  <c r="W497" i="17"/>
  <c r="X497" i="17" s="1"/>
  <c r="AV497" i="17"/>
  <c r="AT497" i="17" s="1"/>
  <c r="AX497" i="17"/>
  <c r="AY497" i="17"/>
  <c r="AZ497" i="17" s="1"/>
  <c r="BX497" i="17"/>
  <c r="BV497" i="17" s="1"/>
  <c r="CB497" i="17"/>
  <c r="CC497" i="17"/>
  <c r="CD497" i="17" s="1"/>
  <c r="CF497" i="17"/>
  <c r="CJ497" i="17"/>
  <c r="CH497" i="17" s="1"/>
  <c r="CL497" i="17"/>
  <c r="CM497" i="17"/>
  <c r="CN497" i="17"/>
  <c r="DK497" i="17"/>
  <c r="O498" i="17"/>
  <c r="T498" i="17"/>
  <c r="V498" i="17"/>
  <c r="W498" i="17"/>
  <c r="X498" i="17" s="1"/>
  <c r="AV498" i="17"/>
  <c r="AT498" i="17" s="1"/>
  <c r="AX498" i="17"/>
  <c r="AY498" i="17"/>
  <c r="AZ498" i="17" s="1"/>
  <c r="BB498" i="17"/>
  <c r="BX498" i="17"/>
  <c r="BV498" i="17" s="1"/>
  <c r="CB498" i="17"/>
  <c r="CC498" i="17"/>
  <c r="CF498" i="17"/>
  <c r="CJ498" i="17"/>
  <c r="CH498" i="17" s="1"/>
  <c r="CL498" i="17"/>
  <c r="CM498" i="17"/>
  <c r="CN498" i="17"/>
  <c r="DK498" i="17"/>
  <c r="O499" i="17"/>
  <c r="T499" i="17"/>
  <c r="R499" i="17" s="1"/>
  <c r="V499" i="17"/>
  <c r="W499" i="17"/>
  <c r="X499" i="17" s="1"/>
  <c r="Z499" i="17" s="1"/>
  <c r="AV499" i="17"/>
  <c r="AT499" i="17" s="1"/>
  <c r="AX499" i="17"/>
  <c r="AY499" i="17"/>
  <c r="AZ499" i="17" s="1"/>
  <c r="BB499" i="17"/>
  <c r="BX499" i="17"/>
  <c r="BV499" i="17" s="1"/>
  <c r="CB499" i="17"/>
  <c r="CC499" i="17"/>
  <c r="CF499" i="17"/>
  <c r="CJ499" i="17"/>
  <c r="CH499" i="17" s="1"/>
  <c r="CL499" i="17"/>
  <c r="CM499" i="17"/>
  <c r="CN499" i="17"/>
  <c r="CO499" i="17" s="1"/>
  <c r="DK499" i="17"/>
  <c r="O500" i="17"/>
  <c r="T500" i="17"/>
  <c r="R500" i="17" s="1"/>
  <c r="V500" i="17"/>
  <c r="W500" i="17"/>
  <c r="X500" i="17" s="1"/>
  <c r="Z500" i="17"/>
  <c r="AV500" i="17"/>
  <c r="AT500" i="17" s="1"/>
  <c r="AX500" i="17"/>
  <c r="AY500" i="17"/>
  <c r="AZ500" i="17" s="1"/>
  <c r="BB500" i="17" s="1"/>
  <c r="BX500" i="17"/>
  <c r="BV500" i="17" s="1"/>
  <c r="CB500" i="17"/>
  <c r="CC500" i="17"/>
  <c r="CD500" i="17" s="1"/>
  <c r="CJ500" i="17"/>
  <c r="CH500" i="17" s="1"/>
  <c r="CL500" i="17"/>
  <c r="CM500" i="17"/>
  <c r="CN500" i="17"/>
  <c r="CO500" i="17" s="1"/>
  <c r="DK500" i="17"/>
  <c r="O501" i="17"/>
  <c r="T501" i="17"/>
  <c r="R501" i="17" s="1"/>
  <c r="V501" i="17"/>
  <c r="W501" i="17"/>
  <c r="X501" i="17" s="1"/>
  <c r="Z501" i="17"/>
  <c r="AV501" i="17"/>
  <c r="AT501" i="17" s="1"/>
  <c r="AX501" i="17"/>
  <c r="AY501" i="17"/>
  <c r="AZ501" i="17" s="1"/>
  <c r="BB501" i="17" s="1"/>
  <c r="BX501" i="17"/>
  <c r="CB501" i="17"/>
  <c r="CC501" i="17"/>
  <c r="CD501" i="17" s="1"/>
  <c r="CF501" i="17"/>
  <c r="CJ501" i="17"/>
  <c r="CH501" i="17" s="1"/>
  <c r="CL501" i="17"/>
  <c r="CM501" i="17"/>
  <c r="CN501" i="17"/>
  <c r="CO501" i="17" s="1"/>
  <c r="DK501" i="17"/>
  <c r="O502" i="17"/>
  <c r="T502" i="17"/>
  <c r="R502" i="17" s="1"/>
  <c r="V502" i="17"/>
  <c r="W502" i="17"/>
  <c r="X502" i="17" s="1"/>
  <c r="AV502" i="17"/>
  <c r="AT502" i="17" s="1"/>
  <c r="AX502" i="17"/>
  <c r="AY502" i="17"/>
  <c r="AZ502" i="17" s="1"/>
  <c r="BB502" i="17"/>
  <c r="BX502" i="17"/>
  <c r="BV502" i="17" s="1"/>
  <c r="CB502" i="17"/>
  <c r="CC502" i="17"/>
  <c r="CD502" i="17" s="1"/>
  <c r="CF502" i="17" s="1"/>
  <c r="CJ502" i="17"/>
  <c r="CH502" i="17" s="1"/>
  <c r="CL502" i="17"/>
  <c r="CM502" i="17"/>
  <c r="CN502" i="17"/>
  <c r="CO502" i="17" s="1"/>
  <c r="DK502" i="17"/>
  <c r="O503" i="17"/>
  <c r="T503" i="17"/>
  <c r="R503" i="17" s="1"/>
  <c r="V503" i="17"/>
  <c r="W503" i="17"/>
  <c r="X503" i="17" s="1"/>
  <c r="AV503" i="17"/>
  <c r="AT503" i="17" s="1"/>
  <c r="AX503" i="17"/>
  <c r="AY503" i="17"/>
  <c r="AZ503" i="17" s="1"/>
  <c r="BB503" i="17"/>
  <c r="BX503" i="17"/>
  <c r="BV503" i="17" s="1"/>
  <c r="CB503" i="17"/>
  <c r="CC503" i="17"/>
  <c r="CD503" i="17" s="1"/>
  <c r="CF503" i="17" s="1"/>
  <c r="CJ503" i="17"/>
  <c r="CH503" i="17" s="1"/>
  <c r="CL503" i="17"/>
  <c r="CM503" i="17"/>
  <c r="CN503" i="17"/>
  <c r="CO503" i="17" s="1"/>
  <c r="DK503" i="17"/>
  <c r="P504" i="17"/>
  <c r="AV504" i="17" s="1"/>
  <c r="AT504" i="17" s="1"/>
  <c r="V504" i="17"/>
  <c r="W504" i="17"/>
  <c r="X504" i="17" s="1"/>
  <c r="Z504" i="17"/>
  <c r="AX504" i="17"/>
  <c r="AY504" i="17"/>
  <c r="AZ504" i="17" s="1"/>
  <c r="CB504" i="17"/>
  <c r="CC504" i="17"/>
  <c r="CD504" i="17" s="1"/>
  <c r="CF504" i="17" s="1"/>
  <c r="CL504" i="17"/>
  <c r="CM504" i="17"/>
  <c r="CN504" i="17"/>
  <c r="CO504" i="17" s="1"/>
  <c r="DK504" i="17"/>
  <c r="O505" i="17"/>
  <c r="T505" i="17"/>
  <c r="R505" i="17" s="1"/>
  <c r="V505" i="17"/>
  <c r="W505" i="17"/>
  <c r="X505" i="17" s="1"/>
  <c r="AV505" i="17"/>
  <c r="AT505" i="17" s="1"/>
  <c r="AX505" i="17"/>
  <c r="AY505" i="17"/>
  <c r="AZ505" i="17" s="1"/>
  <c r="BX505" i="17"/>
  <c r="BV505" i="17" s="1"/>
  <c r="CB505" i="17"/>
  <c r="CC505" i="17"/>
  <c r="CD505" i="17" s="1"/>
  <c r="CJ505" i="17"/>
  <c r="CH505" i="17" s="1"/>
  <c r="CL505" i="17"/>
  <c r="CM505" i="17"/>
  <c r="CN505" i="17"/>
  <c r="DK505" i="17"/>
  <c r="O506" i="17"/>
  <c r="T506" i="17"/>
  <c r="V506" i="17"/>
  <c r="W506" i="17"/>
  <c r="X506" i="17" s="1"/>
  <c r="Z506" i="17" s="1"/>
  <c r="AV506" i="17"/>
  <c r="AT506" i="17" s="1"/>
  <c r="AX506" i="17"/>
  <c r="AY506" i="17"/>
  <c r="AZ506" i="17" s="1"/>
  <c r="BX506" i="17"/>
  <c r="BV506" i="17" s="1"/>
  <c r="CB506" i="17"/>
  <c r="CC506" i="17"/>
  <c r="CJ506" i="17"/>
  <c r="CH506" i="17" s="1"/>
  <c r="CL506" i="17"/>
  <c r="CM506" i="17"/>
  <c r="CN506" i="17"/>
  <c r="CO506" i="17" s="1"/>
  <c r="DK506" i="17"/>
  <c r="O507" i="17"/>
  <c r="T507" i="17"/>
  <c r="V507" i="17"/>
  <c r="W507" i="17"/>
  <c r="X507" i="17" s="1"/>
  <c r="Z507" i="17"/>
  <c r="AV507" i="17"/>
  <c r="AX507" i="17"/>
  <c r="AY507" i="17"/>
  <c r="AZ507" i="17" s="1"/>
  <c r="BB507" i="17" s="1"/>
  <c r="BX507" i="17"/>
  <c r="CB507" i="17"/>
  <c r="CC507" i="17"/>
  <c r="CD507" i="17" s="1"/>
  <c r="CJ507" i="17"/>
  <c r="CL507" i="17"/>
  <c r="CM507" i="17"/>
  <c r="CN507" i="17"/>
  <c r="CO507" i="17" s="1"/>
  <c r="DK507" i="17"/>
  <c r="O508" i="17"/>
  <c r="T508" i="17"/>
  <c r="R508" i="17" s="1"/>
  <c r="V508" i="17"/>
  <c r="W508" i="17"/>
  <c r="X508" i="17" s="1"/>
  <c r="Z508" i="17" s="1"/>
  <c r="AV508" i="17"/>
  <c r="AT508" i="17" s="1"/>
  <c r="AX508" i="17"/>
  <c r="AY508" i="17"/>
  <c r="AZ508" i="17" s="1"/>
  <c r="BB508" i="17"/>
  <c r="BX508" i="17"/>
  <c r="CB508" i="17"/>
  <c r="CC508" i="17"/>
  <c r="CD508" i="17" s="1"/>
  <c r="CF508" i="17"/>
  <c r="CJ508" i="17"/>
  <c r="CH508" i="17" s="1"/>
  <c r="CL508" i="17"/>
  <c r="CM508" i="17"/>
  <c r="CN508" i="17"/>
  <c r="CO508" i="17" s="1"/>
  <c r="DK508" i="17"/>
  <c r="O509" i="17"/>
  <c r="T509" i="17"/>
  <c r="R509" i="17" s="1"/>
  <c r="V509" i="17"/>
  <c r="W509" i="17"/>
  <c r="X509" i="17" s="1"/>
  <c r="Z509" i="17"/>
  <c r="AV509" i="17"/>
  <c r="AT509" i="17" s="1"/>
  <c r="AX509" i="17"/>
  <c r="AY509" i="17"/>
  <c r="AZ509" i="17" s="1"/>
  <c r="BB509" i="17" s="1"/>
  <c r="BX509" i="17"/>
  <c r="BV509" i="17" s="1"/>
  <c r="CB509" i="17"/>
  <c r="CC509" i="17"/>
  <c r="CD509" i="17" s="1"/>
  <c r="CF509" i="17" s="1"/>
  <c r="CJ509" i="17"/>
  <c r="CL509" i="17"/>
  <c r="CM509" i="17"/>
  <c r="CN509" i="17"/>
  <c r="CO509" i="17" s="1"/>
  <c r="DK509" i="17"/>
  <c r="O510" i="17"/>
  <c r="T510" i="17"/>
  <c r="R510" i="17" s="1"/>
  <c r="V510" i="17"/>
  <c r="W510" i="17"/>
  <c r="X510" i="17" s="1"/>
  <c r="AV510" i="17"/>
  <c r="AT510" i="17" s="1"/>
  <c r="AX510" i="17"/>
  <c r="AY510" i="17"/>
  <c r="AZ510" i="17" s="1"/>
  <c r="BB510" i="17"/>
  <c r="BX510" i="17"/>
  <c r="BV510" i="17" s="1"/>
  <c r="CB510" i="17"/>
  <c r="CC510" i="17"/>
  <c r="CD510" i="17" s="1"/>
  <c r="CJ510" i="17"/>
  <c r="CH510" i="17" s="1"/>
  <c r="CL510" i="17"/>
  <c r="CM510" i="17"/>
  <c r="CN510" i="17"/>
  <c r="CO510" i="17" s="1"/>
  <c r="DK510" i="17"/>
  <c r="O511" i="17"/>
  <c r="T511" i="17"/>
  <c r="V511" i="17"/>
  <c r="W511" i="17"/>
  <c r="X511" i="17" s="1"/>
  <c r="Z511" i="17"/>
  <c r="AV511" i="17"/>
  <c r="AT511" i="17" s="1"/>
  <c r="AX511" i="17"/>
  <c r="AY511" i="17"/>
  <c r="AZ511" i="17" s="1"/>
  <c r="BB511" i="17"/>
  <c r="BX511" i="17"/>
  <c r="BV511" i="17" s="1"/>
  <c r="CB511" i="17"/>
  <c r="CC511" i="17"/>
  <c r="CD511" i="17" s="1"/>
  <c r="CJ511" i="17"/>
  <c r="CH511" i="17" s="1"/>
  <c r="CL511" i="17"/>
  <c r="CM511" i="17"/>
  <c r="CN511" i="17"/>
  <c r="DK511" i="17"/>
  <c r="O512" i="17"/>
  <c r="T512" i="17"/>
  <c r="V512" i="17"/>
  <c r="W512" i="17"/>
  <c r="X512" i="17" s="1"/>
  <c r="AV512" i="17"/>
  <c r="AT512" i="17" s="1"/>
  <c r="AX512" i="17"/>
  <c r="AY512" i="17"/>
  <c r="AZ512" i="17" s="1"/>
  <c r="BX512" i="17"/>
  <c r="BV512" i="17" s="1"/>
  <c r="CB512" i="17"/>
  <c r="CC512" i="17"/>
  <c r="CD512" i="17" s="1"/>
  <c r="CJ512" i="17"/>
  <c r="CH512" i="17" s="1"/>
  <c r="CL512" i="17"/>
  <c r="CM512" i="17"/>
  <c r="CN512" i="17"/>
  <c r="CO512" i="17" s="1"/>
  <c r="DK512" i="17"/>
  <c r="O513" i="17"/>
  <c r="T513" i="17"/>
  <c r="R513" i="17" s="1"/>
  <c r="V513" i="17"/>
  <c r="W513" i="17"/>
  <c r="X513" i="17" s="1"/>
  <c r="Z513" i="17"/>
  <c r="AV513" i="17"/>
  <c r="AT513" i="17" s="1"/>
  <c r="AX513" i="17"/>
  <c r="AY513" i="17"/>
  <c r="AZ513" i="17" s="1"/>
  <c r="BX513" i="17"/>
  <c r="BV513" i="17" s="1"/>
  <c r="CB513" i="17"/>
  <c r="CC513" i="17"/>
  <c r="CD513" i="17" s="1"/>
  <c r="CJ513" i="17"/>
  <c r="CH513" i="17" s="1"/>
  <c r="CL513" i="17"/>
  <c r="CM513" i="17"/>
  <c r="CN513" i="17"/>
  <c r="DK513" i="17"/>
  <c r="O514" i="17"/>
  <c r="T514" i="17"/>
  <c r="V514" i="17"/>
  <c r="W514" i="17"/>
  <c r="X514" i="17" s="1"/>
  <c r="Z514" i="17" s="1"/>
  <c r="AV514" i="17"/>
  <c r="AT514" i="17" s="1"/>
  <c r="AX514" i="17"/>
  <c r="AY514" i="17"/>
  <c r="AZ514" i="17" s="1"/>
  <c r="BX514" i="17"/>
  <c r="BV514" i="17" s="1"/>
  <c r="CB514" i="17"/>
  <c r="CC514" i="17"/>
  <c r="CJ514" i="17"/>
  <c r="CH514" i="17" s="1"/>
  <c r="CL514" i="17"/>
  <c r="CM514" i="17"/>
  <c r="CN514" i="17"/>
  <c r="CO514" i="17" s="1"/>
  <c r="DK514" i="17"/>
  <c r="O515" i="17"/>
  <c r="T515" i="17"/>
  <c r="R515" i="17" s="1"/>
  <c r="V515" i="17"/>
  <c r="W515" i="17"/>
  <c r="X515" i="17" s="1"/>
  <c r="Z515" i="17" s="1"/>
  <c r="AV515" i="17"/>
  <c r="AX515" i="17"/>
  <c r="AY515" i="17"/>
  <c r="AZ515" i="17" s="1"/>
  <c r="BB515" i="17"/>
  <c r="BX515" i="17"/>
  <c r="BV515" i="17" s="1"/>
  <c r="CB515" i="17"/>
  <c r="CC515" i="17"/>
  <c r="CD515" i="17" s="1"/>
  <c r="CJ515" i="17"/>
  <c r="CH515" i="17" s="1"/>
  <c r="CL515" i="17"/>
  <c r="CM515" i="17"/>
  <c r="CN515" i="17"/>
  <c r="CO515" i="17" s="1"/>
  <c r="DK515" i="17"/>
  <c r="O516" i="17"/>
  <c r="T516" i="17"/>
  <c r="R516" i="17" s="1"/>
  <c r="V516" i="17"/>
  <c r="W516" i="17"/>
  <c r="X516" i="17" s="1"/>
  <c r="Z516" i="17"/>
  <c r="AV516" i="17"/>
  <c r="AT516" i="17" s="1"/>
  <c r="AX516" i="17"/>
  <c r="AY516" i="17"/>
  <c r="AZ516" i="17" s="1"/>
  <c r="BX516" i="17"/>
  <c r="BV516" i="17" s="1"/>
  <c r="CB516" i="17"/>
  <c r="CC516" i="17"/>
  <c r="CD516" i="17" s="1"/>
  <c r="CF516" i="17"/>
  <c r="CJ516" i="17"/>
  <c r="CL516" i="17"/>
  <c r="CM516" i="17"/>
  <c r="CN516" i="17"/>
  <c r="CO516" i="17" s="1"/>
  <c r="DK516" i="17"/>
  <c r="O517" i="17"/>
  <c r="T517" i="17"/>
  <c r="R517" i="17" s="1"/>
  <c r="V517" i="17"/>
  <c r="W517" i="17"/>
  <c r="X517" i="17" s="1"/>
  <c r="Z517" i="17"/>
  <c r="AV517" i="17"/>
  <c r="AT517" i="17" s="1"/>
  <c r="AX517" i="17"/>
  <c r="AY517" i="17"/>
  <c r="AZ517" i="17" s="1"/>
  <c r="BX517" i="17"/>
  <c r="BV517" i="17" s="1"/>
  <c r="CB517" i="17"/>
  <c r="CC517" i="17"/>
  <c r="CD517" i="17" s="1"/>
  <c r="CJ517" i="17"/>
  <c r="CH517" i="17" s="1"/>
  <c r="CL517" i="17"/>
  <c r="CM517" i="17"/>
  <c r="CN517" i="17"/>
  <c r="CO517" i="17" s="1"/>
  <c r="DK517" i="17"/>
  <c r="O518" i="17"/>
  <c r="T518" i="17"/>
  <c r="V518" i="17"/>
  <c r="W518" i="17"/>
  <c r="X518" i="17" s="1"/>
  <c r="Z518" i="17"/>
  <c r="AV518" i="17"/>
  <c r="AT518" i="17" s="1"/>
  <c r="AX518" i="17"/>
  <c r="AY518" i="17"/>
  <c r="AZ518" i="17" s="1"/>
  <c r="BX518" i="17"/>
  <c r="BV518" i="17" s="1"/>
  <c r="CB518" i="17"/>
  <c r="CC518" i="17"/>
  <c r="CD518" i="17" s="1"/>
  <c r="CJ518" i="17"/>
  <c r="CH518" i="17" s="1"/>
  <c r="CL518" i="17"/>
  <c r="CM518" i="17"/>
  <c r="CN518" i="17"/>
  <c r="CO518" i="17" s="1"/>
  <c r="DK518" i="17"/>
  <c r="O519" i="17"/>
  <c r="T519" i="17"/>
  <c r="V519" i="17"/>
  <c r="W519" i="17"/>
  <c r="X519" i="17" s="1"/>
  <c r="AV519" i="17"/>
  <c r="AT519" i="17" s="1"/>
  <c r="AX519" i="17"/>
  <c r="AY519" i="17"/>
  <c r="AZ519" i="17" s="1"/>
  <c r="BB519" i="17"/>
  <c r="BX519" i="17"/>
  <c r="BV519" i="17" s="1"/>
  <c r="CB519" i="17"/>
  <c r="CC519" i="17"/>
  <c r="CJ519" i="17"/>
  <c r="CH519" i="17" s="1"/>
  <c r="CL519" i="17"/>
  <c r="CM519" i="17"/>
  <c r="CN519" i="17"/>
  <c r="DK519" i="17"/>
  <c r="O520" i="17"/>
  <c r="T520" i="17"/>
  <c r="V520" i="17"/>
  <c r="W520" i="17"/>
  <c r="X520" i="17" s="1"/>
  <c r="AV520" i="17"/>
  <c r="AT520" i="17" s="1"/>
  <c r="AX520" i="17"/>
  <c r="AY520" i="17"/>
  <c r="AZ520" i="17" s="1"/>
  <c r="BX520" i="17"/>
  <c r="BV520" i="17" s="1"/>
  <c r="CB520" i="17"/>
  <c r="CC520" i="17"/>
  <c r="CD520" i="17" s="1"/>
  <c r="CF520" i="17" s="1"/>
  <c r="CJ520" i="17"/>
  <c r="CH520" i="17" s="1"/>
  <c r="CL520" i="17"/>
  <c r="CM520" i="17"/>
  <c r="CN520" i="17"/>
  <c r="DK520" i="17"/>
  <c r="O521" i="17"/>
  <c r="T521" i="17"/>
  <c r="V521" i="17"/>
  <c r="W521" i="17"/>
  <c r="X521" i="17" s="1"/>
  <c r="AV521" i="17"/>
  <c r="AT521" i="17" s="1"/>
  <c r="AX521" i="17"/>
  <c r="AY521" i="17"/>
  <c r="AZ521" i="17" s="1"/>
  <c r="BX521" i="17"/>
  <c r="BV521" i="17" s="1"/>
  <c r="CB521" i="17"/>
  <c r="CC521" i="17"/>
  <c r="CD521" i="17" s="1"/>
  <c r="CF521" i="17"/>
  <c r="CJ521" i="17"/>
  <c r="CH521" i="17" s="1"/>
  <c r="CL521" i="17"/>
  <c r="CM521" i="17"/>
  <c r="CN521" i="17"/>
  <c r="DK521" i="17"/>
  <c r="O522" i="17"/>
  <c r="T522" i="17"/>
  <c r="R522" i="17" s="1"/>
  <c r="V522" i="17"/>
  <c r="W522" i="17"/>
  <c r="X522" i="17" s="1"/>
  <c r="Z522" i="17"/>
  <c r="AV522" i="17"/>
  <c r="AT522" i="17" s="1"/>
  <c r="AX522" i="17"/>
  <c r="AY522" i="17"/>
  <c r="AZ522" i="17" s="1"/>
  <c r="BX522" i="17"/>
  <c r="BV522" i="17" s="1"/>
  <c r="CB522" i="17"/>
  <c r="CC522" i="17"/>
  <c r="CJ522" i="17"/>
  <c r="CH522" i="17" s="1"/>
  <c r="CL522" i="17"/>
  <c r="CM522" i="17"/>
  <c r="CN522" i="17"/>
  <c r="CO522" i="17" s="1"/>
  <c r="DK522" i="17"/>
  <c r="O523" i="17"/>
  <c r="T523" i="17"/>
  <c r="R523" i="17" s="1"/>
  <c r="V523" i="17"/>
  <c r="W523" i="17"/>
  <c r="X523" i="17" s="1"/>
  <c r="Z523" i="17" s="1"/>
  <c r="AV523" i="17"/>
  <c r="AT523" i="17" s="1"/>
  <c r="AX523" i="17"/>
  <c r="AY523" i="17"/>
  <c r="AZ523" i="17" s="1"/>
  <c r="BB523" i="17" s="1"/>
  <c r="BX523" i="17"/>
  <c r="CB523" i="17"/>
  <c r="CC523" i="17"/>
  <c r="CD523" i="17" s="1"/>
  <c r="CF523" i="17"/>
  <c r="CJ523" i="17"/>
  <c r="CH523" i="17" s="1"/>
  <c r="CL523" i="17"/>
  <c r="CM523" i="17"/>
  <c r="CN523" i="17"/>
  <c r="CO523" i="17" s="1"/>
  <c r="DK523" i="17"/>
  <c r="O524" i="17"/>
  <c r="T524" i="17"/>
  <c r="R524" i="17" s="1"/>
  <c r="V524" i="17"/>
  <c r="W524" i="17"/>
  <c r="X524" i="17" s="1"/>
  <c r="AV524" i="17"/>
  <c r="AT524" i="17" s="1"/>
  <c r="AX524" i="17"/>
  <c r="AY524" i="17"/>
  <c r="AZ524" i="17" s="1"/>
  <c r="BB524" i="17" s="1"/>
  <c r="BX524" i="17"/>
  <c r="CB524" i="17"/>
  <c r="CC524" i="17"/>
  <c r="CD524" i="17" s="1"/>
  <c r="CF524" i="17" s="1"/>
  <c r="CJ524" i="17"/>
  <c r="CH524" i="17" s="1"/>
  <c r="CL524" i="17"/>
  <c r="CM524" i="17"/>
  <c r="CN524" i="17"/>
  <c r="CO524" i="17" s="1"/>
  <c r="DK524" i="17"/>
  <c r="P525" i="17"/>
  <c r="V525" i="17"/>
  <c r="W525" i="17"/>
  <c r="X525" i="17" s="1"/>
  <c r="Z525" i="17" s="1"/>
  <c r="AX525" i="17"/>
  <c r="AY525" i="17"/>
  <c r="AZ525" i="17" s="1"/>
  <c r="BB525" i="17"/>
  <c r="CB525" i="17"/>
  <c r="CC525" i="17"/>
  <c r="CL525" i="17"/>
  <c r="CM525" i="17"/>
  <c r="CN525" i="17"/>
  <c r="DK525" i="17"/>
  <c r="O526" i="17"/>
  <c r="T526" i="17"/>
  <c r="V526" i="17"/>
  <c r="W526" i="17"/>
  <c r="X526" i="17" s="1"/>
  <c r="AV526" i="17"/>
  <c r="AT526" i="17" s="1"/>
  <c r="AX526" i="17"/>
  <c r="AY526" i="17"/>
  <c r="AZ526" i="17" s="1"/>
  <c r="BB526" i="17" s="1"/>
  <c r="BX526" i="17"/>
  <c r="BV526" i="17" s="1"/>
  <c r="CB526" i="17"/>
  <c r="CC526" i="17"/>
  <c r="CD526" i="17" s="1"/>
  <c r="CJ526" i="17"/>
  <c r="CH526" i="17" s="1"/>
  <c r="CL526" i="17"/>
  <c r="CM526" i="17"/>
  <c r="CN526" i="17"/>
  <c r="CO526" i="17" s="1"/>
  <c r="DK526" i="17"/>
  <c r="O527" i="17"/>
  <c r="T527" i="17"/>
  <c r="V527" i="17"/>
  <c r="W527" i="17"/>
  <c r="X527" i="17" s="1"/>
  <c r="AV527" i="17"/>
  <c r="AT527" i="17" s="1"/>
  <c r="AX527" i="17"/>
  <c r="AY527" i="17"/>
  <c r="AZ527" i="17" s="1"/>
  <c r="BX527" i="17"/>
  <c r="BV527" i="17" s="1"/>
  <c r="CB527" i="17"/>
  <c r="CC527" i="17"/>
  <c r="CD527" i="17" s="1"/>
  <c r="CF527" i="17" s="1"/>
  <c r="CJ527" i="17"/>
  <c r="CH527" i="17" s="1"/>
  <c r="CL527" i="17"/>
  <c r="CM527" i="17"/>
  <c r="CN527" i="17"/>
  <c r="DK527" i="17"/>
  <c r="O528" i="17"/>
  <c r="T528" i="17"/>
  <c r="V528" i="17"/>
  <c r="W528" i="17"/>
  <c r="X528" i="17" s="1"/>
  <c r="AV528" i="17"/>
  <c r="AT528" i="17" s="1"/>
  <c r="AX528" i="17"/>
  <c r="AY528" i="17"/>
  <c r="AZ528" i="17" s="1"/>
  <c r="BX528" i="17"/>
  <c r="BV528" i="17" s="1"/>
  <c r="CB528" i="17"/>
  <c r="CC528" i="17"/>
  <c r="CD528" i="17" s="1"/>
  <c r="CJ528" i="17"/>
  <c r="CH528" i="17" s="1"/>
  <c r="CL528" i="17"/>
  <c r="CM528" i="17"/>
  <c r="CN528" i="17"/>
  <c r="DK528" i="17"/>
  <c r="P529" i="17"/>
  <c r="V529" i="17"/>
  <c r="W529" i="17"/>
  <c r="X529" i="17" s="1"/>
  <c r="Z529" i="17" s="1"/>
  <c r="AX529" i="17"/>
  <c r="AY529" i="17"/>
  <c r="AZ529" i="17" s="1"/>
  <c r="CB529" i="17"/>
  <c r="CC529" i="17"/>
  <c r="CD529" i="17" s="1"/>
  <c r="CL529" i="17"/>
  <c r="CM529" i="17"/>
  <c r="CN529" i="17"/>
  <c r="CO529" i="17" s="1"/>
  <c r="DK529" i="17"/>
  <c r="O530" i="17"/>
  <c r="T530" i="17"/>
  <c r="R530" i="17" s="1"/>
  <c r="V530" i="17"/>
  <c r="W530" i="17"/>
  <c r="X530" i="17" s="1"/>
  <c r="AV530" i="17"/>
  <c r="AT530" i="17" s="1"/>
  <c r="AX530" i="17"/>
  <c r="AY530" i="17"/>
  <c r="AZ530" i="17" s="1"/>
  <c r="BB530" i="17" s="1"/>
  <c r="BX530" i="17"/>
  <c r="BV530" i="17" s="1"/>
  <c r="CB530" i="17"/>
  <c r="CC530" i="17"/>
  <c r="CD530" i="17" s="1"/>
  <c r="CF530" i="17" s="1"/>
  <c r="CJ530" i="17"/>
  <c r="CH530" i="17" s="1"/>
  <c r="CL530" i="17"/>
  <c r="CM530" i="17"/>
  <c r="CN530" i="17"/>
  <c r="CO530" i="17" s="1"/>
  <c r="DK530" i="17"/>
  <c r="O531" i="17"/>
  <c r="T531" i="17"/>
  <c r="R531" i="17" s="1"/>
  <c r="V531" i="17"/>
  <c r="W531" i="17"/>
  <c r="X531" i="17" s="1"/>
  <c r="Z531" i="17" s="1"/>
  <c r="AV531" i="17"/>
  <c r="AT531" i="17" s="1"/>
  <c r="AX531" i="17"/>
  <c r="AY531" i="17"/>
  <c r="AZ531" i="17" s="1"/>
  <c r="BX531" i="17"/>
  <c r="BV531" i="17" s="1"/>
  <c r="CB531" i="17"/>
  <c r="CC531" i="17"/>
  <c r="CD531" i="17" s="1"/>
  <c r="CF531" i="17" s="1"/>
  <c r="CJ531" i="17"/>
  <c r="CH531" i="17" s="1"/>
  <c r="CL531" i="17"/>
  <c r="CM531" i="17"/>
  <c r="CN531" i="17"/>
  <c r="CO531" i="17" s="1"/>
  <c r="DK531" i="17"/>
  <c r="O532" i="17"/>
  <c r="T532" i="17"/>
  <c r="V532" i="17"/>
  <c r="W532" i="17"/>
  <c r="X532" i="17" s="1"/>
  <c r="AV532" i="17"/>
  <c r="AT532" i="17" s="1"/>
  <c r="AX532" i="17"/>
  <c r="AY532" i="17"/>
  <c r="AZ532" i="17" s="1"/>
  <c r="BX532" i="17"/>
  <c r="BV532" i="17" s="1"/>
  <c r="CB532" i="17"/>
  <c r="CC532" i="17"/>
  <c r="CD532" i="17" s="1"/>
  <c r="CF532" i="17" s="1"/>
  <c r="CJ532" i="17"/>
  <c r="CH532" i="17" s="1"/>
  <c r="CL532" i="17"/>
  <c r="CN532" i="17"/>
  <c r="CO532" i="17" s="1"/>
  <c r="DK532" i="17"/>
  <c r="O533" i="17"/>
  <c r="T533" i="17"/>
  <c r="R533" i="17" s="1"/>
  <c r="V533" i="17"/>
  <c r="W533" i="17"/>
  <c r="X533" i="17" s="1"/>
  <c r="Z533" i="17" s="1"/>
  <c r="AV533" i="17"/>
  <c r="AT533" i="17" s="1"/>
  <c r="AX533" i="17"/>
  <c r="AY533" i="17"/>
  <c r="AZ533" i="17" s="1"/>
  <c r="BB533" i="17"/>
  <c r="BX533" i="17"/>
  <c r="BV533" i="17" s="1"/>
  <c r="CB533" i="17"/>
  <c r="CC533" i="17"/>
  <c r="CD533" i="17" s="1"/>
  <c r="CF533" i="17"/>
  <c r="CJ533" i="17"/>
  <c r="CH533" i="17" s="1"/>
  <c r="CL533" i="17"/>
  <c r="CN533" i="17"/>
  <c r="CO533" i="17" s="1"/>
  <c r="DK533" i="17"/>
  <c r="O534" i="17"/>
  <c r="T534" i="17"/>
  <c r="R534" i="17" s="1"/>
  <c r="V534" i="17"/>
  <c r="W534" i="17"/>
  <c r="X534" i="17" s="1"/>
  <c r="AV534" i="17"/>
  <c r="AT534" i="17" s="1"/>
  <c r="AX534" i="17"/>
  <c r="AY534" i="17"/>
  <c r="AZ534" i="17" s="1"/>
  <c r="BB534" i="17" s="1"/>
  <c r="BX534" i="17"/>
  <c r="BV534" i="17" s="1"/>
  <c r="CB534" i="17"/>
  <c r="CC534" i="17"/>
  <c r="CD534" i="17" s="1"/>
  <c r="CF534" i="17" s="1"/>
  <c r="CJ534" i="17"/>
  <c r="CH534" i="17" s="1"/>
  <c r="CL534" i="17"/>
  <c r="CN534" i="17"/>
  <c r="CO534" i="17" s="1"/>
  <c r="DK534" i="17"/>
  <c r="O535" i="17"/>
  <c r="T535" i="17"/>
  <c r="R535" i="17" s="1"/>
  <c r="V535" i="17"/>
  <c r="W535" i="17"/>
  <c r="X535" i="17" s="1"/>
  <c r="AV535" i="17"/>
  <c r="AT535" i="17" s="1"/>
  <c r="AX535" i="17"/>
  <c r="AY535" i="17"/>
  <c r="AZ535" i="17" s="1"/>
  <c r="BB535" i="17" s="1"/>
  <c r="BX535" i="17"/>
  <c r="BV535" i="17" s="1"/>
  <c r="CB535" i="17"/>
  <c r="CC535" i="17"/>
  <c r="CD535" i="17" s="1"/>
  <c r="CJ535" i="17"/>
  <c r="CH535" i="17" s="1"/>
  <c r="CL535" i="17"/>
  <c r="CM535" i="17"/>
  <c r="CN535" i="17"/>
  <c r="CO535" i="17" s="1"/>
  <c r="DK535" i="17"/>
  <c r="O536" i="17"/>
  <c r="T536" i="17"/>
  <c r="V536" i="17"/>
  <c r="W536" i="17"/>
  <c r="X536" i="17" s="1"/>
  <c r="AV536" i="17"/>
  <c r="AT536" i="17" s="1"/>
  <c r="AX536" i="17"/>
  <c r="AY536" i="17"/>
  <c r="AZ536" i="17" s="1"/>
  <c r="BX536" i="17"/>
  <c r="BV536" i="17" s="1"/>
  <c r="CB536" i="17"/>
  <c r="CC536" i="17"/>
  <c r="CJ536" i="17"/>
  <c r="CH536" i="17" s="1"/>
  <c r="CL536" i="17"/>
  <c r="CM536" i="17"/>
  <c r="CN536" i="17"/>
  <c r="DK536" i="17"/>
  <c r="O537" i="17"/>
  <c r="T537" i="17"/>
  <c r="V537" i="17"/>
  <c r="W537" i="17"/>
  <c r="X537" i="17" s="1"/>
  <c r="AV537" i="17"/>
  <c r="AT537" i="17" s="1"/>
  <c r="AX537" i="17"/>
  <c r="AY537" i="17"/>
  <c r="AZ537" i="17" s="1"/>
  <c r="BB537" i="17"/>
  <c r="BX537" i="17"/>
  <c r="BV537" i="17" s="1"/>
  <c r="CB537" i="17"/>
  <c r="CC537" i="17"/>
  <c r="CD537" i="17" s="1"/>
  <c r="CJ537" i="17"/>
  <c r="CH537" i="17" s="1"/>
  <c r="CL537" i="17"/>
  <c r="CM537" i="17"/>
  <c r="CN537" i="17"/>
  <c r="DK537" i="17"/>
  <c r="O538" i="17"/>
  <c r="T538" i="17"/>
  <c r="V538" i="17"/>
  <c r="W538" i="17"/>
  <c r="X538" i="17" s="1"/>
  <c r="AV538" i="17"/>
  <c r="AT538" i="17" s="1"/>
  <c r="AX538" i="17"/>
  <c r="AY538" i="17"/>
  <c r="AZ538" i="17" s="1"/>
  <c r="BC538" i="17"/>
  <c r="BX538" i="17"/>
  <c r="BV538" i="17" s="1"/>
  <c r="CB538" i="17"/>
  <c r="CC538" i="17"/>
  <c r="CJ538" i="17"/>
  <c r="CH538" i="17" s="1"/>
  <c r="CL538" i="17"/>
  <c r="CM538" i="17"/>
  <c r="CN538" i="17"/>
  <c r="CO538" i="17" s="1"/>
  <c r="CR538" i="17"/>
  <c r="DM538" i="17"/>
  <c r="DN538" i="17" s="1"/>
  <c r="O539" i="17"/>
  <c r="T539" i="17"/>
  <c r="R539" i="17" s="1"/>
  <c r="V539" i="17"/>
  <c r="W539" i="17"/>
  <c r="X539" i="17" s="1"/>
  <c r="Z539" i="17" s="1"/>
  <c r="AV539" i="17"/>
  <c r="AX539" i="17"/>
  <c r="AY539" i="17"/>
  <c r="AZ539" i="17" s="1"/>
  <c r="BB539" i="17" s="1"/>
  <c r="BC539" i="17"/>
  <c r="BX539" i="17"/>
  <c r="BV539" i="17" s="1"/>
  <c r="CB539" i="17"/>
  <c r="CC539" i="17"/>
  <c r="CD539" i="17" s="1"/>
  <c r="CF539" i="17" s="1"/>
  <c r="CJ539" i="17"/>
  <c r="CH539" i="17" s="1"/>
  <c r="CL539" i="17"/>
  <c r="CM539" i="17"/>
  <c r="CN539" i="17"/>
  <c r="CO539" i="17" s="1"/>
  <c r="CR539" i="17"/>
  <c r="DM539" i="17"/>
  <c r="DN539" i="17" s="1"/>
  <c r="O540" i="17"/>
  <c r="T540" i="17"/>
  <c r="R540" i="17" s="1"/>
  <c r="V540" i="17"/>
  <c r="W540" i="17"/>
  <c r="X540" i="17" s="1"/>
  <c r="AV540" i="17"/>
  <c r="AT540" i="17" s="1"/>
  <c r="AX540" i="17"/>
  <c r="AY540" i="17"/>
  <c r="AZ540" i="17" s="1"/>
  <c r="BB540" i="17" s="1"/>
  <c r="BC540" i="17"/>
  <c r="BX540" i="17"/>
  <c r="BV540" i="17" s="1"/>
  <c r="CB540" i="17"/>
  <c r="CC540" i="17"/>
  <c r="CD540" i="17" s="1"/>
  <c r="CF540" i="17" s="1"/>
  <c r="CJ540" i="17"/>
  <c r="CH540" i="17" s="1"/>
  <c r="CL540" i="17"/>
  <c r="CM540" i="17"/>
  <c r="CN540" i="17"/>
  <c r="CO540" i="17" s="1"/>
  <c r="CR540" i="17"/>
  <c r="DM540" i="17"/>
  <c r="DN540" i="17" s="1"/>
  <c r="DO540" i="17" s="1"/>
  <c r="O541" i="17"/>
  <c r="T541" i="17"/>
  <c r="V541" i="17"/>
  <c r="W541" i="17"/>
  <c r="X541" i="17" s="1"/>
  <c r="AV541" i="17"/>
  <c r="AT541" i="17" s="1"/>
  <c r="AX541" i="17"/>
  <c r="AY541" i="17"/>
  <c r="AZ541" i="17" s="1"/>
  <c r="BC541" i="17"/>
  <c r="BX541" i="17"/>
  <c r="BV541" i="17" s="1"/>
  <c r="CB541" i="17"/>
  <c r="CC541" i="17"/>
  <c r="CJ541" i="17"/>
  <c r="CH541" i="17" s="1"/>
  <c r="CL541" i="17"/>
  <c r="CM541" i="17"/>
  <c r="CN541" i="17"/>
  <c r="CR541" i="17"/>
  <c r="DM541" i="17"/>
  <c r="DN541" i="17" s="1"/>
  <c r="DO541" i="17" s="1"/>
  <c r="DM503" i="17" l="1"/>
  <c r="DN503" i="17" s="1"/>
  <c r="DO503" i="17" s="1"/>
  <c r="DM451" i="17"/>
  <c r="DN451" i="17" s="1"/>
  <c r="DP451" i="17" s="1"/>
  <c r="DM416" i="17"/>
  <c r="DN416" i="17" s="1"/>
  <c r="DP416" i="17" s="1"/>
  <c r="DM395" i="17"/>
  <c r="DN395" i="17" s="1"/>
  <c r="DO395" i="17" s="1"/>
  <c r="DM369" i="17"/>
  <c r="DN369" i="17" s="1"/>
  <c r="DO369" i="17" s="1"/>
  <c r="DM468" i="17"/>
  <c r="DN468" i="17" s="1"/>
  <c r="DO468" i="17" s="1"/>
  <c r="DM427" i="17"/>
  <c r="DN427" i="17" s="1"/>
  <c r="DP427" i="17" s="1"/>
  <c r="DM353" i="17"/>
  <c r="DN353" i="17" s="1"/>
  <c r="DO353" i="17" s="1"/>
  <c r="DM306" i="17"/>
  <c r="DN306" i="17" s="1"/>
  <c r="DO306" i="17" s="1"/>
  <c r="DM305" i="17"/>
  <c r="DN305" i="17" s="1"/>
  <c r="DP305" i="17" s="1"/>
  <c r="DM297" i="17"/>
  <c r="DN297" i="17" s="1"/>
  <c r="DO297" i="17" s="1"/>
  <c r="DM208" i="17"/>
  <c r="DN208" i="17" s="1"/>
  <c r="DO208" i="17" s="1"/>
  <c r="DM155" i="17"/>
  <c r="DN155" i="17" s="1"/>
  <c r="DO155" i="17" s="1"/>
  <c r="DP155" i="17" s="1"/>
  <c r="DM533" i="17"/>
  <c r="DN533" i="17" s="1"/>
  <c r="DO533" i="17" s="1"/>
  <c r="DM247" i="17"/>
  <c r="DN247" i="17" s="1"/>
  <c r="DO247" i="17" s="1"/>
  <c r="DP247" i="17" s="1"/>
  <c r="DM145" i="17"/>
  <c r="DN145" i="17" s="1"/>
  <c r="DO145" i="17" s="1"/>
  <c r="DM132" i="17"/>
  <c r="DN132" i="17" s="1"/>
  <c r="DO132" i="17" s="1"/>
  <c r="DP132" i="17" s="1"/>
  <c r="DM127" i="17"/>
  <c r="DN127" i="17" s="1"/>
  <c r="DO127" i="17" s="1"/>
  <c r="DP127" i="17" s="1"/>
  <c r="DM104" i="17"/>
  <c r="DN104" i="17" s="1"/>
  <c r="DO104" i="17" s="1"/>
  <c r="DM500" i="17"/>
  <c r="DN500" i="17" s="1"/>
  <c r="DO500" i="17" s="1"/>
  <c r="DM493" i="17"/>
  <c r="DN493" i="17" s="1"/>
  <c r="DO493" i="17" s="1"/>
  <c r="DM535" i="17"/>
  <c r="DN535" i="17" s="1"/>
  <c r="DO535" i="17" s="1"/>
  <c r="DM494" i="17"/>
  <c r="DN494" i="17" s="1"/>
  <c r="DO494" i="17" s="1"/>
  <c r="DM428" i="17"/>
  <c r="DN428" i="17" s="1"/>
  <c r="DO428" i="17" s="1"/>
  <c r="DM408" i="17"/>
  <c r="DN408" i="17" s="1"/>
  <c r="DO408" i="17" s="1"/>
  <c r="DM360" i="17"/>
  <c r="DN360" i="17" s="1"/>
  <c r="DO360" i="17" s="1"/>
  <c r="DM279" i="17"/>
  <c r="DN279" i="17" s="1"/>
  <c r="DP279" i="17" s="1"/>
  <c r="DM260" i="17"/>
  <c r="DN260" i="17" s="1"/>
  <c r="DO260" i="17" s="1"/>
  <c r="DP260" i="17" s="1"/>
  <c r="DM239" i="17"/>
  <c r="DN239" i="17" s="1"/>
  <c r="DO239" i="17" s="1"/>
  <c r="DP239" i="17" s="1"/>
  <c r="DM230" i="17"/>
  <c r="DN230" i="17" s="1"/>
  <c r="DO230" i="17" s="1"/>
  <c r="DM218" i="17"/>
  <c r="DN218" i="17" s="1"/>
  <c r="DP218" i="17" s="1"/>
  <c r="DM210" i="17"/>
  <c r="DN210" i="17" s="1"/>
  <c r="DO210" i="17" s="1"/>
  <c r="DM187" i="17"/>
  <c r="DN187" i="17" s="1"/>
  <c r="DM173" i="17"/>
  <c r="DN173" i="17" s="1"/>
  <c r="DO173" i="17" s="1"/>
  <c r="DM103" i="17"/>
  <c r="DN103" i="17" s="1"/>
  <c r="DO103" i="17" s="1"/>
  <c r="DP103" i="17" s="1"/>
  <c r="DM453" i="17"/>
  <c r="DN453" i="17" s="1"/>
  <c r="DP453" i="17" s="1"/>
  <c r="DM443" i="17"/>
  <c r="DN443" i="17" s="1"/>
  <c r="DP443" i="17" s="1"/>
  <c r="DM259" i="17"/>
  <c r="DN259" i="17" s="1"/>
  <c r="DO259" i="17" s="1"/>
  <c r="DM252" i="17"/>
  <c r="DN252" i="17" s="1"/>
  <c r="DO252" i="17" s="1"/>
  <c r="DM202" i="17"/>
  <c r="DN202" i="17" s="1"/>
  <c r="DP202" i="17" s="1"/>
  <c r="DM200" i="17"/>
  <c r="DN200" i="17" s="1"/>
  <c r="DO200" i="17" s="1"/>
  <c r="DP200" i="17" s="1"/>
  <c r="DM114" i="17"/>
  <c r="DN114" i="17" s="1"/>
  <c r="DO114" i="17" s="1"/>
  <c r="DM97" i="17"/>
  <c r="DN97" i="17" s="1"/>
  <c r="DP97" i="17" s="1"/>
  <c r="DM71" i="17"/>
  <c r="DN71" i="17" s="1"/>
  <c r="DO71" i="17" s="1"/>
  <c r="DM51" i="17"/>
  <c r="DN51" i="17" s="1"/>
  <c r="DO51" i="17" s="1"/>
  <c r="DM26" i="17"/>
  <c r="DN26" i="17" s="1"/>
  <c r="DO26" i="17" s="1"/>
  <c r="DM22" i="17"/>
  <c r="DN22" i="17" s="1"/>
  <c r="DO22" i="17" s="1"/>
  <c r="DP22" i="17" s="1"/>
  <c r="DM82" i="17"/>
  <c r="DN82" i="17" s="1"/>
  <c r="DO82" i="17" s="1"/>
  <c r="DP82" i="17" s="1"/>
  <c r="DM502" i="17"/>
  <c r="DN502" i="17" s="1"/>
  <c r="DO502" i="17" s="1"/>
  <c r="DM357" i="17"/>
  <c r="DN357" i="17" s="1"/>
  <c r="DP357" i="17" s="1"/>
  <c r="DM352" i="17"/>
  <c r="DN352" i="17" s="1"/>
  <c r="DP352" i="17" s="1"/>
  <c r="DM422" i="17"/>
  <c r="DN422" i="17" s="1"/>
  <c r="DO422" i="17" s="1"/>
  <c r="DM314" i="17"/>
  <c r="DN314" i="17" s="1"/>
  <c r="DO314" i="17" s="1"/>
  <c r="DM312" i="17"/>
  <c r="DN312" i="17" s="1"/>
  <c r="DO312" i="17" s="1"/>
  <c r="DM213" i="17"/>
  <c r="DN213" i="17" s="1"/>
  <c r="DO213" i="17" s="1"/>
  <c r="DM484" i="17"/>
  <c r="DN484" i="17" s="1"/>
  <c r="DO484" i="17" s="1"/>
  <c r="DM482" i="17"/>
  <c r="DN482" i="17" s="1"/>
  <c r="DO482" i="17" s="1"/>
  <c r="DM476" i="17"/>
  <c r="DN476" i="17" s="1"/>
  <c r="DO476" i="17" s="1"/>
  <c r="DM383" i="17"/>
  <c r="DN383" i="17" s="1"/>
  <c r="DP383" i="17" s="1"/>
  <c r="DM373" i="17"/>
  <c r="DN373" i="17" s="1"/>
  <c r="DP373" i="17" s="1"/>
  <c r="DM367" i="17"/>
  <c r="DN367" i="17" s="1"/>
  <c r="DO367" i="17" s="1"/>
  <c r="DM356" i="17"/>
  <c r="DN356" i="17" s="1"/>
  <c r="DO356" i="17" s="1"/>
  <c r="DM126" i="17"/>
  <c r="DN126" i="17" s="1"/>
  <c r="DO126" i="17" s="1"/>
  <c r="DP126" i="17" s="1"/>
  <c r="DM501" i="17"/>
  <c r="DN501" i="17" s="1"/>
  <c r="DO501" i="17" s="1"/>
  <c r="DM467" i="17"/>
  <c r="DN467" i="17" s="1"/>
  <c r="DO467" i="17" s="1"/>
  <c r="BX442" i="17"/>
  <c r="BV442" i="17" s="1"/>
  <c r="CE442" i="17" s="1"/>
  <c r="DM439" i="17"/>
  <c r="DN439" i="17" s="1"/>
  <c r="DP439" i="17" s="1"/>
  <c r="DM362" i="17"/>
  <c r="DN362" i="17" s="1"/>
  <c r="DO362" i="17" s="1"/>
  <c r="DM282" i="17"/>
  <c r="DN282" i="17" s="1"/>
  <c r="DO282" i="17" s="1"/>
  <c r="DM267" i="17"/>
  <c r="DN267" i="17" s="1"/>
  <c r="DO267" i="17" s="1"/>
  <c r="DM251" i="17"/>
  <c r="DN251" i="17" s="1"/>
  <c r="DO251" i="17" s="1"/>
  <c r="DP251" i="17" s="1"/>
  <c r="DM242" i="17"/>
  <c r="DN242" i="17" s="1"/>
  <c r="DO242" i="17" s="1"/>
  <c r="DM241" i="17"/>
  <c r="DN241" i="17" s="1"/>
  <c r="DO241" i="17" s="1"/>
  <c r="DP241" i="17" s="1"/>
  <c r="DM178" i="17"/>
  <c r="DN178" i="17" s="1"/>
  <c r="DO178" i="17" s="1"/>
  <c r="DM531" i="17"/>
  <c r="DN531" i="17" s="1"/>
  <c r="DP531" i="17" s="1"/>
  <c r="DM527" i="17"/>
  <c r="DN527" i="17" s="1"/>
  <c r="DO527" i="17" s="1"/>
  <c r="DM518" i="17"/>
  <c r="DN518" i="17" s="1"/>
  <c r="DO518" i="17" s="1"/>
  <c r="DM517" i="17"/>
  <c r="DN517" i="17" s="1"/>
  <c r="DO517" i="17" s="1"/>
  <c r="DM516" i="17"/>
  <c r="DN516" i="17" s="1"/>
  <c r="DP516" i="17" s="1"/>
  <c r="DM512" i="17"/>
  <c r="DN512" i="17" s="1"/>
  <c r="DO512" i="17" s="1"/>
  <c r="DP512" i="17" s="1"/>
  <c r="DM510" i="17"/>
  <c r="DN510" i="17" s="1"/>
  <c r="DP510" i="17" s="1"/>
  <c r="DM478" i="17"/>
  <c r="DN478" i="17" s="1"/>
  <c r="DO478" i="17" s="1"/>
  <c r="DM459" i="17"/>
  <c r="DN459" i="17" s="1"/>
  <c r="DP459" i="17" s="1"/>
  <c r="DM458" i="17"/>
  <c r="DN458" i="17" s="1"/>
  <c r="DO458" i="17" s="1"/>
  <c r="DM454" i="17"/>
  <c r="DN454" i="17" s="1"/>
  <c r="DP454" i="17" s="1"/>
  <c r="DM440" i="17"/>
  <c r="DN440" i="17" s="1"/>
  <c r="DP440" i="17" s="1"/>
  <c r="DM436" i="17"/>
  <c r="DN436" i="17" s="1"/>
  <c r="DO436" i="17" s="1"/>
  <c r="DM381" i="17"/>
  <c r="DN381" i="17" s="1"/>
  <c r="DP381" i="17" s="1"/>
  <c r="DM344" i="17"/>
  <c r="DN344" i="17" s="1"/>
  <c r="DM340" i="17"/>
  <c r="DN340" i="17" s="1"/>
  <c r="DO340" i="17" s="1"/>
  <c r="DM337" i="17"/>
  <c r="DN337" i="17" s="1"/>
  <c r="DP337" i="17" s="1"/>
  <c r="DM315" i="17"/>
  <c r="DN315" i="17" s="1"/>
  <c r="DO315" i="17" s="1"/>
  <c r="DM258" i="17"/>
  <c r="DN258" i="17" s="1"/>
  <c r="DO258" i="17" s="1"/>
  <c r="DP258" i="17" s="1"/>
  <c r="DM116" i="17"/>
  <c r="DN116" i="17" s="1"/>
  <c r="DP116" i="17" s="1"/>
  <c r="DM54" i="17"/>
  <c r="DN54" i="17" s="1"/>
  <c r="DO54" i="17" s="1"/>
  <c r="DM5" i="17"/>
  <c r="DN5" i="17" s="1"/>
  <c r="DP5" i="17" s="1"/>
  <c r="DM532" i="17"/>
  <c r="DN532" i="17" s="1"/>
  <c r="DO532" i="17" s="1"/>
  <c r="DM485" i="17"/>
  <c r="DN485" i="17" s="1"/>
  <c r="DO485" i="17" s="1"/>
  <c r="DM463" i="17"/>
  <c r="DN463" i="17" s="1"/>
  <c r="DO463" i="17" s="1"/>
  <c r="DP463" i="17" s="1"/>
  <c r="DM414" i="17"/>
  <c r="DN414" i="17" s="1"/>
  <c r="DP414" i="17" s="1"/>
  <c r="DM372" i="17"/>
  <c r="DN372" i="17" s="1"/>
  <c r="DO372" i="17" s="1"/>
  <c r="DM365" i="17"/>
  <c r="DN365" i="17" s="1"/>
  <c r="DP365" i="17" s="1"/>
  <c r="DM289" i="17"/>
  <c r="DN289" i="17" s="1"/>
  <c r="DO289" i="17" s="1"/>
  <c r="DP289" i="17" s="1"/>
  <c r="DM265" i="17"/>
  <c r="DN265" i="17" s="1"/>
  <c r="DO265" i="17" s="1"/>
  <c r="DM109" i="17"/>
  <c r="DN109" i="17" s="1"/>
  <c r="DO109" i="17" s="1"/>
  <c r="DM452" i="17"/>
  <c r="DN452" i="17" s="1"/>
  <c r="DO452" i="17" s="1"/>
  <c r="DM444" i="17"/>
  <c r="DN444" i="17" s="1"/>
  <c r="DO444" i="17" s="1"/>
  <c r="DM391" i="17"/>
  <c r="DN391" i="17" s="1"/>
  <c r="DO391" i="17" s="1"/>
  <c r="DM291" i="17"/>
  <c r="DN291" i="17" s="1"/>
  <c r="DO291" i="17" s="1"/>
  <c r="DM275" i="17"/>
  <c r="DN275" i="17" s="1"/>
  <c r="DO275" i="17" s="1"/>
  <c r="DM222" i="17"/>
  <c r="DN222" i="17" s="1"/>
  <c r="DP222" i="17" s="1"/>
  <c r="DM492" i="17"/>
  <c r="DN492" i="17" s="1"/>
  <c r="DO492" i="17" s="1"/>
  <c r="K17" i="18"/>
  <c r="DM388" i="17"/>
  <c r="DN388" i="17" s="1"/>
  <c r="DP388" i="17" s="1"/>
  <c r="DM489" i="17"/>
  <c r="DN489" i="17" s="1"/>
  <c r="DP489" i="17" s="1"/>
  <c r="DM457" i="17"/>
  <c r="DN457" i="17" s="1"/>
  <c r="DP457" i="17" s="1"/>
  <c r="DM456" i="17"/>
  <c r="DN456" i="17" s="1"/>
  <c r="DO456" i="17" s="1"/>
  <c r="DM14" i="17"/>
  <c r="DN14" i="17" s="1"/>
  <c r="DO14" i="17" s="1"/>
  <c r="DM528" i="17"/>
  <c r="DN528" i="17" s="1"/>
  <c r="DP528" i="17" s="1"/>
  <c r="BX525" i="17"/>
  <c r="BV525" i="17" s="1"/>
  <c r="CG525" i="17" s="1"/>
  <c r="DM523" i="17"/>
  <c r="DN523" i="17" s="1"/>
  <c r="DO523" i="17" s="1"/>
  <c r="DM515" i="17"/>
  <c r="DN515" i="17" s="1"/>
  <c r="DO515" i="17" s="1"/>
  <c r="DM487" i="17"/>
  <c r="DN487" i="17" s="1"/>
  <c r="DO487" i="17" s="1"/>
  <c r="DM486" i="17"/>
  <c r="DN486" i="17" s="1"/>
  <c r="DO486" i="17" s="1"/>
  <c r="DM477" i="17"/>
  <c r="DN477" i="17" s="1"/>
  <c r="DP477" i="17" s="1"/>
  <c r="DM473" i="17"/>
  <c r="DN473" i="17" s="1"/>
  <c r="DO473" i="17" s="1"/>
  <c r="DM412" i="17"/>
  <c r="DN412" i="17" s="1"/>
  <c r="DO412" i="17" s="1"/>
  <c r="DM377" i="17"/>
  <c r="DN377" i="17" s="1"/>
  <c r="DP377" i="17" s="1"/>
  <c r="DM341" i="17"/>
  <c r="DN341" i="17" s="1"/>
  <c r="DM318" i="17"/>
  <c r="DN318" i="17" s="1"/>
  <c r="DP318" i="17" s="1"/>
  <c r="DM273" i="17"/>
  <c r="DN273" i="17" s="1"/>
  <c r="DP273" i="17" s="1"/>
  <c r="DM83" i="17"/>
  <c r="DN83" i="17" s="1"/>
  <c r="DP83" i="17" s="1"/>
  <c r="DM78" i="17"/>
  <c r="DN78" i="17" s="1"/>
  <c r="DO78" i="17" s="1"/>
  <c r="DP78" i="17" s="1"/>
  <c r="DM55" i="17"/>
  <c r="DN55" i="17" s="1"/>
  <c r="DO55" i="17" s="1"/>
  <c r="DP55" i="17" s="1"/>
  <c r="H17" i="18"/>
  <c r="CE480" i="17"/>
  <c r="BA516" i="17"/>
  <c r="CE456" i="17"/>
  <c r="CP460" i="17"/>
  <c r="CP424" i="17"/>
  <c r="CE219" i="17"/>
  <c r="Y216" i="17"/>
  <c r="T472" i="17"/>
  <c r="R472" i="17" s="1"/>
  <c r="C22" i="18"/>
  <c r="D22" i="18" s="1"/>
  <c r="D23" i="18" s="1"/>
  <c r="V472" i="17"/>
  <c r="H22" i="18"/>
  <c r="Y493" i="17"/>
  <c r="CE438" i="17"/>
  <c r="CE403" i="17"/>
  <c r="CG27" i="17"/>
  <c r="BV507" i="17"/>
  <c r="CG507" i="17" s="1"/>
  <c r="AT507" i="17"/>
  <c r="BA507" i="17" s="1"/>
  <c r="R507" i="17"/>
  <c r="Y507" i="17" s="1"/>
  <c r="CP539" i="17"/>
  <c r="CP390" i="17"/>
  <c r="CP377" i="17"/>
  <c r="BA494" i="17"/>
  <c r="CG466" i="17"/>
  <c r="BA128" i="17"/>
  <c r="CP486" i="17"/>
  <c r="CP143" i="17"/>
  <c r="Y423" i="17"/>
  <c r="CP268" i="17"/>
  <c r="O23" i="18"/>
  <c r="O24" i="18" s="1"/>
  <c r="O25" i="18" s="1"/>
  <c r="CQ62" i="17"/>
  <c r="CE21" i="17"/>
  <c r="Y19" i="17"/>
  <c r="CG149" i="17"/>
  <c r="CP427" i="17"/>
  <c r="CQ415" i="17"/>
  <c r="BA206" i="17"/>
  <c r="CG178" i="17"/>
  <c r="Y429" i="17"/>
  <c r="CP119" i="17"/>
  <c r="CG84" i="17"/>
  <c r="CP517" i="17"/>
  <c r="CP388" i="17"/>
  <c r="BA319" i="17"/>
  <c r="CP532" i="17"/>
  <c r="BA355" i="17"/>
  <c r="BA328" i="17"/>
  <c r="CE252" i="17"/>
  <c r="CP78" i="17"/>
  <c r="CP101" i="17"/>
  <c r="Y72" i="17"/>
  <c r="Y54" i="17"/>
  <c r="CE19" i="17"/>
  <c r="CG20" i="17"/>
  <c r="Y516" i="17"/>
  <c r="Y478" i="17"/>
  <c r="CQ429" i="17"/>
  <c r="Y322" i="17"/>
  <c r="CP176" i="17"/>
  <c r="CQ118" i="17"/>
  <c r="CQ423" i="17"/>
  <c r="CE57" i="17"/>
  <c r="CE533" i="17"/>
  <c r="CE479" i="17"/>
  <c r="CP414" i="17"/>
  <c r="Y351" i="17"/>
  <c r="CI179" i="17"/>
  <c r="CN179" i="17" s="1"/>
  <c r="Y299" i="17"/>
  <c r="CE215" i="17"/>
  <c r="DM84" i="17"/>
  <c r="DN84" i="17" s="1"/>
  <c r="DO84" i="17" s="1"/>
  <c r="DP84" i="17" s="1"/>
  <c r="CP60" i="17"/>
  <c r="CE217" i="17"/>
  <c r="CG124" i="17"/>
  <c r="Y468" i="17"/>
  <c r="CD466" i="17"/>
  <c r="CE466" i="17" s="1"/>
  <c r="CG436" i="17"/>
  <c r="CQ407" i="17"/>
  <c r="CG320" i="17"/>
  <c r="CE134" i="17"/>
  <c r="CG75" i="17"/>
  <c r="DM58" i="17"/>
  <c r="DN58" i="17" s="1"/>
  <c r="DO58" i="17" s="1"/>
  <c r="DP58" i="17" s="1"/>
  <c r="BA43" i="17"/>
  <c r="CQ16" i="17"/>
  <c r="CQ273" i="17"/>
  <c r="CE268" i="17"/>
  <c r="CQ227" i="17"/>
  <c r="CP226" i="17"/>
  <c r="CP180" i="17"/>
  <c r="CP145" i="17"/>
  <c r="CP35" i="17"/>
  <c r="CP469" i="17"/>
  <c r="CP459" i="17"/>
  <c r="BA537" i="17"/>
  <c r="DM529" i="17"/>
  <c r="DN529" i="17" s="1"/>
  <c r="DO529" i="17" s="1"/>
  <c r="CE379" i="17"/>
  <c r="BA356" i="17"/>
  <c r="Y336" i="17"/>
  <c r="CG304" i="17"/>
  <c r="CQ290" i="17"/>
  <c r="Y251" i="17"/>
  <c r="CQ236" i="17"/>
  <c r="CQ233" i="17"/>
  <c r="Y192" i="17"/>
  <c r="CQ148" i="17"/>
  <c r="DR124" i="17"/>
  <c r="CP76" i="17"/>
  <c r="CP31" i="17"/>
  <c r="CG492" i="17"/>
  <c r="DM490" i="17"/>
  <c r="DN490" i="17" s="1"/>
  <c r="DO490" i="17" s="1"/>
  <c r="CE481" i="17"/>
  <c r="CP479" i="17"/>
  <c r="DM471" i="17"/>
  <c r="DN471" i="17" s="1"/>
  <c r="DP471" i="17" s="1"/>
  <c r="DP306" i="17"/>
  <c r="DR268" i="17"/>
  <c r="DM182" i="17"/>
  <c r="DN182" i="17" s="1"/>
  <c r="DO182" i="17" s="1"/>
  <c r="DP182" i="17" s="1"/>
  <c r="CG182" i="17"/>
  <c r="CG79" i="17"/>
  <c r="CG70" i="17"/>
  <c r="CG66" i="17"/>
  <c r="CP51" i="17"/>
  <c r="BA46" i="17"/>
  <c r="DM43" i="17"/>
  <c r="DN43" i="17" s="1"/>
  <c r="DP43" i="17" s="1"/>
  <c r="CP27" i="17"/>
  <c r="CP242" i="17"/>
  <c r="DM505" i="17"/>
  <c r="DN505" i="17" s="1"/>
  <c r="DP505" i="17" s="1"/>
  <c r="Y501" i="17"/>
  <c r="CG495" i="17"/>
  <c r="CG468" i="17"/>
  <c r="DM446" i="17"/>
  <c r="DN446" i="17" s="1"/>
  <c r="DO446" i="17" s="1"/>
  <c r="CE427" i="17"/>
  <c r="CQ351" i="17"/>
  <c r="DM270" i="17"/>
  <c r="DN270" i="17" s="1"/>
  <c r="DO270" i="17" s="1"/>
  <c r="BA234" i="17"/>
  <c r="CQ125" i="17"/>
  <c r="CG117" i="17"/>
  <c r="Y95" i="17"/>
  <c r="DM85" i="17"/>
  <c r="DN85" i="17" s="1"/>
  <c r="DP85" i="17" s="1"/>
  <c r="CQ31" i="17"/>
  <c r="CG21" i="17"/>
  <c r="DS21" i="17"/>
  <c r="BA17" i="17"/>
  <c r="CQ460" i="17"/>
  <c r="DR11" i="17"/>
  <c r="CQ10" i="17"/>
  <c r="DS386" i="17"/>
  <c r="CQ436" i="17"/>
  <c r="CP503" i="17"/>
  <c r="CP480" i="17"/>
  <c r="CQ467" i="17"/>
  <c r="BA345" i="17"/>
  <c r="CP47" i="17"/>
  <c r="DM522" i="17"/>
  <c r="DN522" i="17" s="1"/>
  <c r="DO522" i="17" s="1"/>
  <c r="DM520" i="17"/>
  <c r="DN520" i="17" s="1"/>
  <c r="DO520" i="17" s="1"/>
  <c r="CP487" i="17"/>
  <c r="Y469" i="17"/>
  <c r="CP396" i="17"/>
  <c r="CG386" i="17"/>
  <c r="DM333" i="17"/>
  <c r="DN333" i="17" s="1"/>
  <c r="DO333" i="17" s="1"/>
  <c r="DP333" i="17" s="1"/>
  <c r="Y281" i="17"/>
  <c r="CQ266" i="17"/>
  <c r="BA266" i="17"/>
  <c r="Y258" i="17"/>
  <c r="CP243" i="17"/>
  <c r="Y226" i="17"/>
  <c r="CG206" i="17"/>
  <c r="DK179" i="17"/>
  <c r="CE155" i="17"/>
  <c r="CP72" i="17"/>
  <c r="BA65" i="17"/>
  <c r="CG49" i="17"/>
  <c r="BA24" i="17"/>
  <c r="BA416" i="17"/>
  <c r="BA467" i="17"/>
  <c r="CE460" i="17"/>
  <c r="CE386" i="17"/>
  <c r="CP111" i="17"/>
  <c r="CQ523" i="17"/>
  <c r="CQ514" i="17"/>
  <c r="DO510" i="17"/>
  <c r="CE488" i="17"/>
  <c r="DM460" i="17"/>
  <c r="DN460" i="17" s="1"/>
  <c r="DP460" i="17" s="1"/>
  <c r="CP444" i="17"/>
  <c r="DR443" i="17"/>
  <c r="CP437" i="17"/>
  <c r="CG348" i="17"/>
  <c r="CQ345" i="17"/>
  <c r="BA339" i="17"/>
  <c r="BA327" i="17"/>
  <c r="Y207" i="17"/>
  <c r="DR200" i="17"/>
  <c r="CL179" i="17"/>
  <c r="BA169" i="17"/>
  <c r="Y165" i="17"/>
  <c r="CG163" i="17"/>
  <c r="CD84" i="17"/>
  <c r="CE84" i="17" s="1"/>
  <c r="BA18" i="17"/>
  <c r="CF512" i="17"/>
  <c r="CE512" i="17"/>
  <c r="Z502" i="17"/>
  <c r="Y502" i="17"/>
  <c r="CE510" i="17"/>
  <c r="DM481" i="17"/>
  <c r="DN481" i="17" s="1"/>
  <c r="DO481" i="17" s="1"/>
  <c r="Y477" i="17"/>
  <c r="DM466" i="17"/>
  <c r="DN466" i="17" s="1"/>
  <c r="DO466" i="17" s="1"/>
  <c r="DP466" i="17" s="1"/>
  <c r="CF460" i="17"/>
  <c r="BA446" i="17"/>
  <c r="Y437" i="17"/>
  <c r="DM432" i="17"/>
  <c r="DN432" i="17" s="1"/>
  <c r="BA408" i="17"/>
  <c r="Y407" i="17"/>
  <c r="BA395" i="17"/>
  <c r="DL383" i="17"/>
  <c r="BA329" i="17"/>
  <c r="DM294" i="17"/>
  <c r="DN294" i="17" s="1"/>
  <c r="DO294" i="17" s="1"/>
  <c r="DM285" i="17"/>
  <c r="DN285" i="17" s="1"/>
  <c r="DP285" i="17" s="1"/>
  <c r="DM225" i="17"/>
  <c r="DN225" i="17" s="1"/>
  <c r="DP225" i="17" s="1"/>
  <c r="CP170" i="17"/>
  <c r="CG156" i="17"/>
  <c r="DM139" i="17"/>
  <c r="DN139" i="17" s="1"/>
  <c r="DO139" i="17" s="1"/>
  <c r="DP139" i="17" s="1"/>
  <c r="CD75" i="17"/>
  <c r="CF75" i="17" s="1"/>
  <c r="CO21" i="17"/>
  <c r="CP21" i="17" s="1"/>
  <c r="CQ21" i="17"/>
  <c r="DM203" i="17"/>
  <c r="DN203" i="17" s="1"/>
  <c r="DO203" i="17" s="1"/>
  <c r="DP203" i="17" s="1"/>
  <c r="DR395" i="17"/>
  <c r="DM375" i="17"/>
  <c r="DN375" i="17" s="1"/>
  <c r="DP375" i="17" s="1"/>
  <c r="CQ426" i="17"/>
  <c r="CG289" i="17"/>
  <c r="DM278" i="17"/>
  <c r="DN278" i="17" s="1"/>
  <c r="DO278" i="17" s="1"/>
  <c r="DP278" i="17" s="1"/>
  <c r="DM206" i="17"/>
  <c r="DN206" i="17" s="1"/>
  <c r="DP206" i="17" s="1"/>
  <c r="DL164" i="17"/>
  <c r="DM156" i="17"/>
  <c r="DN156" i="17" s="1"/>
  <c r="DO156" i="17" s="1"/>
  <c r="DP156" i="17" s="1"/>
  <c r="DM141" i="17"/>
  <c r="DN141" i="17" s="1"/>
  <c r="DO141" i="17" s="1"/>
  <c r="DP141" i="17" s="1"/>
  <c r="BB82" i="17"/>
  <c r="BA82" i="17"/>
  <c r="CQ74" i="17"/>
  <c r="R63" i="17"/>
  <c r="Y63" i="17" s="1"/>
  <c r="DR63" i="17"/>
  <c r="DR12" i="17"/>
  <c r="DM301" i="17"/>
  <c r="DN301" i="17" s="1"/>
  <c r="DO301" i="17" s="1"/>
  <c r="CO107" i="17"/>
  <c r="CP107" i="17" s="1"/>
  <c r="CQ107" i="17"/>
  <c r="CE527" i="17"/>
  <c r="DR394" i="17"/>
  <c r="CQ288" i="17"/>
  <c r="CQ468" i="17"/>
  <c r="DM537" i="17"/>
  <c r="DN537" i="17" s="1"/>
  <c r="DO537" i="17" s="1"/>
  <c r="CP535" i="17"/>
  <c r="CQ533" i="17"/>
  <c r="CQ527" i="17"/>
  <c r="BA519" i="17"/>
  <c r="BB516" i="17"/>
  <c r="DM514" i="17"/>
  <c r="DN514" i="17" s="1"/>
  <c r="DO514" i="17" s="1"/>
  <c r="DR509" i="17"/>
  <c r="CQ506" i="17"/>
  <c r="DP502" i="17"/>
  <c r="BA493" i="17"/>
  <c r="DM479" i="17"/>
  <c r="DN479" i="17" s="1"/>
  <c r="DP479" i="17" s="1"/>
  <c r="DR463" i="17"/>
  <c r="CG458" i="17"/>
  <c r="BA436" i="17"/>
  <c r="CG411" i="17"/>
  <c r="CP385" i="17"/>
  <c r="BA371" i="17"/>
  <c r="CD362" i="17"/>
  <c r="CG362" i="17"/>
  <c r="DM345" i="17"/>
  <c r="DN345" i="17" s="1"/>
  <c r="DO345" i="17" s="1"/>
  <c r="BB328" i="17"/>
  <c r="Z307" i="17"/>
  <c r="Y307" i="17"/>
  <c r="CQ297" i="17"/>
  <c r="CG283" i="17"/>
  <c r="CQ278" i="17"/>
  <c r="BA267" i="17"/>
  <c r="CG132" i="17"/>
  <c r="DM115" i="17"/>
  <c r="DN115" i="17" s="1"/>
  <c r="DO115" i="17" s="1"/>
  <c r="DR110" i="17"/>
  <c r="DM42" i="17"/>
  <c r="DN42" i="17" s="1"/>
  <c r="DO42" i="17" s="1"/>
  <c r="DP42" i="17" s="1"/>
  <c r="DM29" i="17"/>
  <c r="DN29" i="17" s="1"/>
  <c r="CO312" i="17"/>
  <c r="CP312" i="17" s="1"/>
  <c r="CQ312" i="17"/>
  <c r="CE98" i="17"/>
  <c r="CF98" i="17"/>
  <c r="DM89" i="17"/>
  <c r="DN89" i="17" s="1"/>
  <c r="DO89" i="17" s="1"/>
  <c r="R38" i="17"/>
  <c r="Y38" i="17" s="1"/>
  <c r="DR38" i="17"/>
  <c r="CQ494" i="17"/>
  <c r="CG449" i="17"/>
  <c r="DM332" i="17"/>
  <c r="DN332" i="17" s="1"/>
  <c r="DO332" i="17" s="1"/>
  <c r="DP332" i="17" s="1"/>
  <c r="CG535" i="17"/>
  <c r="CQ534" i="17"/>
  <c r="DR540" i="17"/>
  <c r="BA540" i="17"/>
  <c r="CP533" i="17"/>
  <c r="CG513" i="17"/>
  <c r="BA511" i="17"/>
  <c r="BA510" i="17"/>
  <c r="BA481" i="17"/>
  <c r="CG456" i="17"/>
  <c r="DM455" i="17"/>
  <c r="DN455" i="17" s="1"/>
  <c r="DO455" i="17" s="1"/>
  <c r="BA444" i="17"/>
  <c r="CP428" i="17"/>
  <c r="CE424" i="17"/>
  <c r="BA423" i="17"/>
  <c r="CQ422" i="17"/>
  <c r="CQ406" i="17"/>
  <c r="BA406" i="17"/>
  <c r="CQ402" i="17"/>
  <c r="CP401" i="17"/>
  <c r="AV398" i="17"/>
  <c r="AT398" i="17" s="1"/>
  <c r="CE388" i="17"/>
  <c r="CE387" i="17"/>
  <c r="R337" i="17"/>
  <c r="Y337" i="17" s="1"/>
  <c r="DR337" i="17"/>
  <c r="CQ331" i="17"/>
  <c r="CO320" i="17"/>
  <c r="CP320" i="17" s="1"/>
  <c r="CQ320" i="17"/>
  <c r="CP293" i="17"/>
  <c r="DM283" i="17"/>
  <c r="DN283" i="17" s="1"/>
  <c r="DO283" i="17" s="1"/>
  <c r="CQ225" i="17"/>
  <c r="BA204" i="17"/>
  <c r="CQ188" i="17"/>
  <c r="BA173" i="17"/>
  <c r="CP134" i="17"/>
  <c r="Y133" i="17"/>
  <c r="CQ114" i="17"/>
  <c r="DM13" i="17"/>
  <c r="DN13" i="17" s="1"/>
  <c r="DP13" i="17" s="1"/>
  <c r="CG500" i="17"/>
  <c r="DM49" i="17"/>
  <c r="DN49" i="17" s="1"/>
  <c r="DO49" i="17" s="1"/>
  <c r="DP49" i="17" s="1"/>
  <c r="CQ456" i="17"/>
  <c r="CQ537" i="17"/>
  <c r="BA530" i="17"/>
  <c r="CQ522" i="17"/>
  <c r="DP503" i="17"/>
  <c r="CD495" i="17"/>
  <c r="CF495" i="17" s="1"/>
  <c r="Y466" i="17"/>
  <c r="BA463" i="17"/>
  <c r="CP452" i="17"/>
  <c r="DM448" i="17"/>
  <c r="DN448" i="17" s="1"/>
  <c r="DP448" i="17" s="1"/>
  <c r="BA445" i="17"/>
  <c r="CQ444" i="17"/>
  <c r="CG427" i="17"/>
  <c r="CP380" i="17"/>
  <c r="DM335" i="17"/>
  <c r="DN335" i="17" s="1"/>
  <c r="DO335" i="17" s="1"/>
  <c r="DM330" i="17"/>
  <c r="DN330" i="17" s="1"/>
  <c r="DO330" i="17" s="1"/>
  <c r="DP330" i="17" s="1"/>
  <c r="DM310" i="17"/>
  <c r="DN310" i="17" s="1"/>
  <c r="DO310" i="17" s="1"/>
  <c r="DP310" i="17" s="1"/>
  <c r="DM290" i="17"/>
  <c r="DN290" i="17" s="1"/>
  <c r="DP290" i="17" s="1"/>
  <c r="DM221" i="17"/>
  <c r="DN221" i="17" s="1"/>
  <c r="DO221" i="17" s="1"/>
  <c r="CG135" i="17"/>
  <c r="DM31" i="17"/>
  <c r="DN31" i="17" s="1"/>
  <c r="DP31" i="17" s="1"/>
  <c r="BA22" i="17"/>
  <c r="BB22" i="17"/>
  <c r="Y313" i="17"/>
  <c r="Y290" i="17"/>
  <c r="BA200" i="17"/>
  <c r="CE170" i="17"/>
  <c r="CG94" i="17"/>
  <c r="BA35" i="17"/>
  <c r="CQ257" i="17"/>
  <c r="BA252" i="17"/>
  <c r="CP192" i="17"/>
  <c r="CG112" i="17"/>
  <c r="CQ77" i="17"/>
  <c r="CQ35" i="17"/>
  <c r="CQ17" i="17"/>
  <c r="CP13" i="17"/>
  <c r="CG12" i="17"/>
  <c r="CQ392" i="17"/>
  <c r="CG388" i="17"/>
  <c r="CQ375" i="17"/>
  <c r="CG359" i="17"/>
  <c r="CG343" i="17"/>
  <c r="CP336" i="17"/>
  <c r="BA324" i="17"/>
  <c r="CP322" i="17"/>
  <c r="BA318" i="17"/>
  <c r="CG315" i="17"/>
  <c r="CG276" i="17"/>
  <c r="BA274" i="17"/>
  <c r="CQ265" i="17"/>
  <c r="BA261" i="17"/>
  <c r="CQ251" i="17"/>
  <c r="CQ243" i="17"/>
  <c r="CQ218" i="17"/>
  <c r="Y211" i="17"/>
  <c r="BA207" i="17"/>
  <c r="CQ198" i="17"/>
  <c r="BA152" i="17"/>
  <c r="CQ151" i="17"/>
  <c r="CP142" i="17"/>
  <c r="CQ131" i="17"/>
  <c r="CG126" i="17"/>
  <c r="DM121" i="17"/>
  <c r="DN121" i="17" s="1"/>
  <c r="DP121" i="17" s="1"/>
  <c r="CQ117" i="17"/>
  <c r="CP85" i="17"/>
  <c r="DM70" i="17"/>
  <c r="DN70" i="17" s="1"/>
  <c r="DP70" i="17" s="1"/>
  <c r="BA59" i="17"/>
  <c r="CG46" i="17"/>
  <c r="DR35" i="17"/>
  <c r="CG273" i="17"/>
  <c r="CQ258" i="17"/>
  <c r="Y257" i="17"/>
  <c r="CG242" i="17"/>
  <c r="CG231" i="17"/>
  <c r="CQ213" i="17"/>
  <c r="Y180" i="17"/>
  <c r="CG171" i="17"/>
  <c r="CP167" i="17"/>
  <c r="CQ147" i="17"/>
  <c r="BA140" i="17"/>
  <c r="DM138" i="17"/>
  <c r="DN138" i="17" s="1"/>
  <c r="DO138" i="17" s="1"/>
  <c r="DP138" i="17" s="1"/>
  <c r="CQ135" i="17"/>
  <c r="DM93" i="17"/>
  <c r="DN93" i="17" s="1"/>
  <c r="DP93" i="17" s="1"/>
  <c r="CE61" i="17"/>
  <c r="CQ59" i="17"/>
  <c r="CE354" i="17"/>
  <c r="CG291" i="17"/>
  <c r="CP254" i="17"/>
  <c r="BA254" i="17"/>
  <c r="CP240" i="17"/>
  <c r="CP235" i="17"/>
  <c r="BA199" i="17"/>
  <c r="CQ189" i="17"/>
  <c r="CP152" i="17"/>
  <c r="Y89" i="17"/>
  <c r="CQ79" i="17"/>
  <c r="CG58" i="17"/>
  <c r="BA41" i="17"/>
  <c r="BB531" i="17"/>
  <c r="BA531" i="17"/>
  <c r="Y524" i="17"/>
  <c r="Z524" i="17"/>
  <c r="DM17" i="17"/>
  <c r="DN17" i="17" s="1"/>
  <c r="DR537" i="17"/>
  <c r="DR520" i="17"/>
  <c r="DM361" i="17"/>
  <c r="DN361" i="17" s="1"/>
  <c r="DO361" i="17" s="1"/>
  <c r="R200" i="17"/>
  <c r="DL200" i="17" s="1"/>
  <c r="Y540" i="17"/>
  <c r="Z540" i="17"/>
  <c r="Y391" i="17"/>
  <c r="DR386" i="17"/>
  <c r="AT307" i="17"/>
  <c r="DL307" i="17" s="1"/>
  <c r="DR307" i="17"/>
  <c r="DM223" i="17"/>
  <c r="DN223" i="17" s="1"/>
  <c r="DO223" i="17" s="1"/>
  <c r="DM175" i="17"/>
  <c r="DN175" i="17" s="1"/>
  <c r="DM368" i="17"/>
  <c r="DN368" i="17" s="1"/>
  <c r="DP368" i="17" s="1"/>
  <c r="DM152" i="17"/>
  <c r="DN152" i="17" s="1"/>
  <c r="DO152" i="17" s="1"/>
  <c r="CE540" i="17"/>
  <c r="CH509" i="17"/>
  <c r="CQ509" i="17" s="1"/>
  <c r="Y508" i="17"/>
  <c r="DM464" i="17"/>
  <c r="DN464" i="17" s="1"/>
  <c r="DO464" i="17" s="1"/>
  <c r="CG439" i="17"/>
  <c r="CD439" i="17"/>
  <c r="CE439" i="17" s="1"/>
  <c r="DM271" i="17"/>
  <c r="DN271" i="17" s="1"/>
  <c r="DO271" i="17" s="1"/>
  <c r="CQ471" i="17"/>
  <c r="CO471" i="17"/>
  <c r="CP471" i="17" s="1"/>
  <c r="DM418" i="17"/>
  <c r="DN418" i="17" s="1"/>
  <c r="DO418" i="17" s="1"/>
  <c r="CP409" i="17"/>
  <c r="DM384" i="17"/>
  <c r="DN384" i="17" s="1"/>
  <c r="DO384" i="17" s="1"/>
  <c r="DL334" i="17"/>
  <c r="DM525" i="17"/>
  <c r="DN525" i="17" s="1"/>
  <c r="CF463" i="17"/>
  <c r="CE463" i="17"/>
  <c r="DM262" i="17"/>
  <c r="DN262" i="17" s="1"/>
  <c r="DO262" i="17" s="1"/>
  <c r="DS503" i="17"/>
  <c r="DM497" i="17"/>
  <c r="DN497" i="17" s="1"/>
  <c r="DO497" i="17" s="1"/>
  <c r="CG432" i="17"/>
  <c r="CD432" i="17"/>
  <c r="CE432" i="17" s="1"/>
  <c r="DM402" i="17"/>
  <c r="DN402" i="17" s="1"/>
  <c r="DP402" i="17" s="1"/>
  <c r="DR456" i="17"/>
  <c r="DR346" i="17"/>
  <c r="DM322" i="17"/>
  <c r="DN322" i="17" s="1"/>
  <c r="DP322" i="17" s="1"/>
  <c r="CQ283" i="17"/>
  <c r="CO283" i="17"/>
  <c r="CP283" i="17" s="1"/>
  <c r="BA462" i="17"/>
  <c r="Z459" i="17"/>
  <c r="Y459" i="17"/>
  <c r="DM447" i="17"/>
  <c r="DN447" i="17" s="1"/>
  <c r="DP447" i="17" s="1"/>
  <c r="CQ438" i="17"/>
  <c r="CO438" i="17"/>
  <c r="CP438" i="17" s="1"/>
  <c r="DR495" i="17"/>
  <c r="AT495" i="17"/>
  <c r="DS495" i="17" s="1"/>
  <c r="Y435" i="17"/>
  <c r="Z435" i="17"/>
  <c r="CQ520" i="17"/>
  <c r="CO520" i="17"/>
  <c r="CP520" i="17" s="1"/>
  <c r="Y476" i="17"/>
  <c r="DP541" i="17"/>
  <c r="CE521" i="17"/>
  <c r="CP518" i="17"/>
  <c r="CQ510" i="17"/>
  <c r="Y509" i="17"/>
  <c r="DR508" i="17"/>
  <c r="DM507" i="17"/>
  <c r="DN507" i="17" s="1"/>
  <c r="DO507" i="17" s="1"/>
  <c r="BA502" i="17"/>
  <c r="CP499" i="17"/>
  <c r="CG478" i="17"/>
  <c r="DR466" i="17"/>
  <c r="CP462" i="17"/>
  <c r="Z458" i="17"/>
  <c r="Y458" i="17"/>
  <c r="BA452" i="17"/>
  <c r="BA450" i="17"/>
  <c r="CQ439" i="17"/>
  <c r="CO439" i="17"/>
  <c r="CP439" i="17" s="1"/>
  <c r="DM431" i="17"/>
  <c r="DN431" i="17" s="1"/>
  <c r="DM400" i="17"/>
  <c r="DN400" i="17" s="1"/>
  <c r="DP400" i="17" s="1"/>
  <c r="DR370" i="17"/>
  <c r="AT370" i="17"/>
  <c r="DL370" i="17" s="1"/>
  <c r="CP325" i="17"/>
  <c r="DM317" i="17"/>
  <c r="DN317" i="17" s="1"/>
  <c r="DO317" i="17" s="1"/>
  <c r="DP317" i="17" s="1"/>
  <c r="DM309" i="17"/>
  <c r="DN309" i="17" s="1"/>
  <c r="DO309" i="17" s="1"/>
  <c r="CG275" i="17"/>
  <c r="Z503" i="17"/>
  <c r="Y503" i="17"/>
  <c r="O525" i="17"/>
  <c r="CJ525" i="17"/>
  <c r="CH525" i="17" s="1"/>
  <c r="CQ525" i="17" s="1"/>
  <c r="CG510" i="17"/>
  <c r="CG498" i="17"/>
  <c r="CD498" i="17"/>
  <c r="CE498" i="17" s="1"/>
  <c r="CG539" i="17"/>
  <c r="DM491" i="17"/>
  <c r="DN491" i="17" s="1"/>
  <c r="DO491" i="17" s="1"/>
  <c r="DR524" i="17"/>
  <c r="DR516" i="17"/>
  <c r="DL452" i="17"/>
  <c r="CQ540" i="17"/>
  <c r="CE532" i="17"/>
  <c r="CQ531" i="17"/>
  <c r="CO527" i="17"/>
  <c r="CP527" i="17" s="1"/>
  <c r="CF511" i="17"/>
  <c r="CE511" i="17"/>
  <c r="DM474" i="17"/>
  <c r="DN474" i="17" s="1"/>
  <c r="DP474" i="17" s="1"/>
  <c r="CM472" i="17"/>
  <c r="Z466" i="17"/>
  <c r="DM441" i="17"/>
  <c r="DN441" i="17" s="1"/>
  <c r="DP441" i="17" s="1"/>
  <c r="BA429" i="17"/>
  <c r="CP412" i="17"/>
  <c r="DM398" i="17"/>
  <c r="DN398" i="17" s="1"/>
  <c r="CP392" i="17"/>
  <c r="DS354" i="17"/>
  <c r="CD346" i="17"/>
  <c r="CF346" i="17" s="1"/>
  <c r="CG346" i="17"/>
  <c r="Y310" i="17"/>
  <c r="DM286" i="17"/>
  <c r="DN286" i="17" s="1"/>
  <c r="DO286" i="17" s="1"/>
  <c r="DM188" i="17"/>
  <c r="DN188" i="17" s="1"/>
  <c r="DP188" i="17" s="1"/>
  <c r="DM186" i="17"/>
  <c r="DN186" i="17" s="1"/>
  <c r="DO186" i="17" s="1"/>
  <c r="BA517" i="17"/>
  <c r="BA503" i="17"/>
  <c r="DS502" i="17"/>
  <c r="CG493" i="17"/>
  <c r="DL493" i="17"/>
  <c r="CG490" i="17"/>
  <c r="Y490" i="17"/>
  <c r="Y485" i="17"/>
  <c r="DL479" i="17"/>
  <c r="CQ457" i="17"/>
  <c r="BA457" i="17"/>
  <c r="CG450" i="17"/>
  <c r="DR445" i="17"/>
  <c r="DM429" i="17"/>
  <c r="DN429" i="17" s="1"/>
  <c r="DP429" i="17" s="1"/>
  <c r="DM426" i="17"/>
  <c r="DN426" i="17" s="1"/>
  <c r="DP426" i="17" s="1"/>
  <c r="CG395" i="17"/>
  <c r="CD394" i="17"/>
  <c r="CF394" i="17" s="1"/>
  <c r="CG394" i="17"/>
  <c r="Y354" i="17"/>
  <c r="CH329" i="17"/>
  <c r="CP329" i="17" s="1"/>
  <c r="DR329" i="17"/>
  <c r="CD288" i="17"/>
  <c r="CE288" i="17" s="1"/>
  <c r="CG288" i="17"/>
  <c r="CG246" i="17"/>
  <c r="CD246" i="17"/>
  <c r="CF246" i="17" s="1"/>
  <c r="DM235" i="17"/>
  <c r="DN235" i="17" s="1"/>
  <c r="DO235" i="17" s="1"/>
  <c r="DP235" i="17" s="1"/>
  <c r="CD231" i="17"/>
  <c r="CF231" i="17" s="1"/>
  <c r="CE191" i="17"/>
  <c r="CF191" i="17"/>
  <c r="CQ434" i="17"/>
  <c r="CP406" i="17"/>
  <c r="Y397" i="17"/>
  <c r="CP379" i="17"/>
  <c r="DM364" i="17"/>
  <c r="DN364" i="17" s="1"/>
  <c r="DP364" i="17" s="1"/>
  <c r="CG335" i="17"/>
  <c r="DM298" i="17"/>
  <c r="DN298" i="17" s="1"/>
  <c r="CG298" i="17"/>
  <c r="DM197" i="17"/>
  <c r="DN197" i="17" s="1"/>
  <c r="DO197" i="17" s="1"/>
  <c r="DP197" i="17" s="1"/>
  <c r="DM174" i="17"/>
  <c r="DN174" i="17" s="1"/>
  <c r="BB53" i="17"/>
  <c r="BA53" i="17"/>
  <c r="DR37" i="17"/>
  <c r="CH37" i="17"/>
  <c r="CQ37" i="17" s="1"/>
  <c r="BA447" i="17"/>
  <c r="CP433" i="17"/>
  <c r="CP429" i="17"/>
  <c r="CQ424" i="17"/>
  <c r="CG418" i="17"/>
  <c r="CD418" i="17"/>
  <c r="CF418" i="17" s="1"/>
  <c r="BA414" i="17"/>
  <c r="CQ393" i="17"/>
  <c r="CG380" i="17"/>
  <c r="CQ350" i="17"/>
  <c r="CE336" i="17"/>
  <c r="DM304" i="17"/>
  <c r="DN304" i="17" s="1"/>
  <c r="DP304" i="17" s="1"/>
  <c r="DM296" i="17"/>
  <c r="DN296" i="17" s="1"/>
  <c r="DP296" i="17" s="1"/>
  <c r="Y215" i="17"/>
  <c r="BV167" i="17"/>
  <c r="CE167" i="17" s="1"/>
  <c r="DR167" i="17"/>
  <c r="CQ539" i="17"/>
  <c r="CG534" i="17"/>
  <c r="CG515" i="17"/>
  <c r="BA488" i="17"/>
  <c r="DM483" i="17"/>
  <c r="DN483" i="17" s="1"/>
  <c r="DO483" i="17" s="1"/>
  <c r="DM469" i="17"/>
  <c r="DN469" i="17" s="1"/>
  <c r="DP469" i="17" s="1"/>
  <c r="CG462" i="17"/>
  <c r="DR460" i="17"/>
  <c r="CE451" i="17"/>
  <c r="CQ435" i="17"/>
  <c r="CQ414" i="17"/>
  <c r="Y414" i="17"/>
  <c r="DM407" i="17"/>
  <c r="DN407" i="17" s="1"/>
  <c r="DO407" i="17" s="1"/>
  <c r="BA352" i="17"/>
  <c r="DM351" i="17"/>
  <c r="DN351" i="17" s="1"/>
  <c r="DO351" i="17" s="1"/>
  <c r="CQ343" i="17"/>
  <c r="Y338" i="17"/>
  <c r="DR315" i="17"/>
  <c r="R315" i="17"/>
  <c r="DS315" i="17" s="1"/>
  <c r="DM215" i="17"/>
  <c r="DN215" i="17" s="1"/>
  <c r="DR208" i="17"/>
  <c r="AT208" i="17"/>
  <c r="DL208" i="17" s="1"/>
  <c r="DM192" i="17"/>
  <c r="DN192" i="17" s="1"/>
  <c r="DP192" i="17" s="1"/>
  <c r="BA533" i="17"/>
  <c r="BA524" i="17"/>
  <c r="BA523" i="17"/>
  <c r="CG496" i="17"/>
  <c r="CQ495" i="17"/>
  <c r="CE494" i="17"/>
  <c r="BA489" i="17"/>
  <c r="DS477" i="17"/>
  <c r="CQ466" i="17"/>
  <c r="DR451" i="17"/>
  <c r="CQ448" i="17"/>
  <c r="CG446" i="17"/>
  <c r="CE444" i="17"/>
  <c r="CP430" i="17"/>
  <c r="CG424" i="17"/>
  <c r="Y424" i="17"/>
  <c r="CQ421" i="17"/>
  <c r="DM370" i="17"/>
  <c r="DN370" i="17" s="1"/>
  <c r="DP370" i="17" s="1"/>
  <c r="Y302" i="17"/>
  <c r="Y273" i="17"/>
  <c r="CG402" i="17"/>
  <c r="CQ388" i="17"/>
  <c r="CQ376" i="17"/>
  <c r="BA367" i="17"/>
  <c r="CP361" i="17"/>
  <c r="DM307" i="17"/>
  <c r="DN307" i="17" s="1"/>
  <c r="DO307" i="17" s="1"/>
  <c r="CP305" i="17"/>
  <c r="CD291" i="17"/>
  <c r="CF291" i="17" s="1"/>
  <c r="BA217" i="17"/>
  <c r="CO191" i="17"/>
  <c r="CP191" i="17" s="1"/>
  <c r="CQ191" i="17"/>
  <c r="DM180" i="17"/>
  <c r="DN180" i="17" s="1"/>
  <c r="DP180" i="17" s="1"/>
  <c r="CD108" i="17"/>
  <c r="CE108" i="17" s="1"/>
  <c r="CG108" i="17"/>
  <c r="CO89" i="17"/>
  <c r="CP89" i="17" s="1"/>
  <c r="CQ89" i="17"/>
  <c r="DM86" i="17"/>
  <c r="DN86" i="17" s="1"/>
  <c r="DO86" i="17" s="1"/>
  <c r="DM30" i="17"/>
  <c r="DN30" i="17" s="1"/>
  <c r="DP30" i="17" s="1"/>
  <c r="CG329" i="17"/>
  <c r="CP321" i="17"/>
  <c r="CQ296" i="17"/>
  <c r="DM293" i="17"/>
  <c r="DN293" i="17" s="1"/>
  <c r="DO293" i="17" s="1"/>
  <c r="CQ272" i="17"/>
  <c r="CG259" i="17"/>
  <c r="DR252" i="17"/>
  <c r="DR249" i="17"/>
  <c r="DM238" i="17"/>
  <c r="DN238" i="17" s="1"/>
  <c r="DO238" i="17" s="1"/>
  <c r="DP238" i="17" s="1"/>
  <c r="DM211" i="17"/>
  <c r="DN211" i="17" s="1"/>
  <c r="DP211" i="17" s="1"/>
  <c r="Y206" i="17"/>
  <c r="DM176" i="17"/>
  <c r="DN176" i="17" s="1"/>
  <c r="DO176" i="17" s="1"/>
  <c r="DP176" i="17" s="1"/>
  <c r="CG176" i="17"/>
  <c r="DM159" i="17"/>
  <c r="DN159" i="17" s="1"/>
  <c r="DO159" i="17" s="1"/>
  <c r="DP159" i="17" s="1"/>
  <c r="DM157" i="17"/>
  <c r="DN157" i="17" s="1"/>
  <c r="DP157" i="17" s="1"/>
  <c r="DS156" i="17"/>
  <c r="DM153" i="17"/>
  <c r="DN153" i="17" s="1"/>
  <c r="DO153" i="17" s="1"/>
  <c r="CQ82" i="17"/>
  <c r="CP82" i="17"/>
  <c r="CD37" i="17"/>
  <c r="CE37" i="17" s="1"/>
  <c r="CG37" i="17"/>
  <c r="DL224" i="17"/>
  <c r="CD200" i="17"/>
  <c r="CE200" i="17" s="1"/>
  <c r="CG200" i="17"/>
  <c r="BA192" i="17"/>
  <c r="DM100" i="17"/>
  <c r="DN100" i="17" s="1"/>
  <c r="DM56" i="17"/>
  <c r="DN56" i="17" s="1"/>
  <c r="DP56" i="17" s="1"/>
  <c r="CP22" i="17"/>
  <c r="DS422" i="17"/>
  <c r="CG413" i="17"/>
  <c r="CQ390" i="17"/>
  <c r="CP352" i="17"/>
  <c r="CE343" i="17"/>
  <c r="CG326" i="17"/>
  <c r="CQ317" i="17"/>
  <c r="DM299" i="17"/>
  <c r="DN299" i="17" s="1"/>
  <c r="DP299" i="17" s="1"/>
  <c r="DM288" i="17"/>
  <c r="DN288" i="17" s="1"/>
  <c r="DP288" i="17" s="1"/>
  <c r="DM274" i="17"/>
  <c r="DN274" i="17" s="1"/>
  <c r="DO274" i="17" s="1"/>
  <c r="DP274" i="17" s="1"/>
  <c r="DR265" i="17"/>
  <c r="CP262" i="17"/>
  <c r="BA259" i="17"/>
  <c r="DM254" i="17"/>
  <c r="DN254" i="17" s="1"/>
  <c r="DO254" i="17" s="1"/>
  <c r="CG241" i="17"/>
  <c r="CG233" i="17"/>
  <c r="DS232" i="17"/>
  <c r="AT227" i="17"/>
  <c r="DS227" i="17" s="1"/>
  <c r="DR227" i="17"/>
  <c r="CE194" i="17"/>
  <c r="DR174" i="17"/>
  <c r="BA163" i="17"/>
  <c r="CG115" i="17"/>
  <c r="DM92" i="17"/>
  <c r="DN92" i="17" s="1"/>
  <c r="DP92" i="17" s="1"/>
  <c r="DM75" i="17"/>
  <c r="DN75" i="17" s="1"/>
  <c r="CD62" i="17"/>
  <c r="CE62" i="17" s="1"/>
  <c r="CG62" i="17"/>
  <c r="DM59" i="17"/>
  <c r="DN59" i="17" s="1"/>
  <c r="DO59" i="17" s="1"/>
  <c r="DP59" i="17" s="1"/>
  <c r="CD17" i="17"/>
  <c r="CE17" i="17" s="1"/>
  <c r="CG17" i="17"/>
  <c r="DR421" i="17"/>
  <c r="CQ399" i="17"/>
  <c r="CE384" i="17"/>
  <c r="CG383" i="17"/>
  <c r="BA381" i="17"/>
  <c r="BA378" i="17"/>
  <c r="CG376" i="17"/>
  <c r="CG369" i="17"/>
  <c r="DR354" i="17"/>
  <c r="CG349" i="17"/>
  <c r="CG347" i="17"/>
  <c r="BA325" i="17"/>
  <c r="CG316" i="17"/>
  <c r="CQ314" i="17"/>
  <c r="CG302" i="17"/>
  <c r="DS295" i="17"/>
  <c r="DM280" i="17"/>
  <c r="DN280" i="17" s="1"/>
  <c r="DP280" i="17" s="1"/>
  <c r="Y265" i="17"/>
  <c r="DM214" i="17"/>
  <c r="DN214" i="17" s="1"/>
  <c r="DO214" i="17" s="1"/>
  <c r="DM183" i="17"/>
  <c r="DN183" i="17" s="1"/>
  <c r="DO183" i="17" s="1"/>
  <c r="Z157" i="17"/>
  <c r="Y157" i="17"/>
  <c r="CO129" i="17"/>
  <c r="CP129" i="17" s="1"/>
  <c r="CQ129" i="17"/>
  <c r="Y102" i="17"/>
  <c r="DM20" i="17"/>
  <c r="DN20" i="17" s="1"/>
  <c r="DP20" i="17" s="1"/>
  <c r="Y263" i="17"/>
  <c r="CG253" i="17"/>
  <c r="CQ252" i="17"/>
  <c r="CG208" i="17"/>
  <c r="CG191" i="17"/>
  <c r="CG180" i="17"/>
  <c r="DR169" i="17"/>
  <c r="DS130" i="17"/>
  <c r="BB117" i="17"/>
  <c r="BA117" i="17"/>
  <c r="CP114" i="17"/>
  <c r="DM105" i="17"/>
  <c r="DN105" i="17" s="1"/>
  <c r="DP105" i="17" s="1"/>
  <c r="AT80" i="17"/>
  <c r="BA80" i="17" s="1"/>
  <c r="DR80" i="17"/>
  <c r="BA76" i="17"/>
  <c r="CP59" i="17"/>
  <c r="CQ54" i="17"/>
  <c r="DM35" i="17"/>
  <c r="DN35" i="17" s="1"/>
  <c r="DO35" i="17" s="1"/>
  <c r="DP35" i="17" s="1"/>
  <c r="CQ22" i="17"/>
  <c r="R17" i="17"/>
  <c r="DS17" i="17" s="1"/>
  <c r="DR17" i="17"/>
  <c r="CQ214" i="17"/>
  <c r="CQ201" i="17"/>
  <c r="CQ168" i="17"/>
  <c r="DM146" i="17"/>
  <c r="DN146" i="17" s="1"/>
  <c r="DO146" i="17" s="1"/>
  <c r="DP146" i="17" s="1"/>
  <c r="CP144" i="17"/>
  <c r="CG131" i="17"/>
  <c r="CP128" i="17"/>
  <c r="CG113" i="17"/>
  <c r="CO97" i="17"/>
  <c r="CP97" i="17" s="1"/>
  <c r="CQ97" i="17"/>
  <c r="CE97" i="17"/>
  <c r="BA73" i="17"/>
  <c r="CP64" i="17"/>
  <c r="DM52" i="17"/>
  <c r="DN52" i="17" s="1"/>
  <c r="DP52" i="17" s="1"/>
  <c r="DM44" i="17"/>
  <c r="DN44" i="17" s="1"/>
  <c r="DO44" i="17" s="1"/>
  <c r="DP44" i="17" s="1"/>
  <c r="Y16" i="17"/>
  <c r="DM15" i="17"/>
  <c r="DN15" i="17" s="1"/>
  <c r="DO15" i="17" s="1"/>
  <c r="CQ181" i="17"/>
  <c r="Y170" i="17"/>
  <c r="CQ167" i="17"/>
  <c r="Y164" i="17"/>
  <c r="DM148" i="17"/>
  <c r="DN148" i="17" s="1"/>
  <c r="DO148" i="17" s="1"/>
  <c r="CQ145" i="17"/>
  <c r="CO141" i="17"/>
  <c r="CP141" i="17" s="1"/>
  <c r="CQ141" i="17"/>
  <c r="CD129" i="17"/>
  <c r="CE129" i="17" s="1"/>
  <c r="CG129" i="17"/>
  <c r="CP126" i="17"/>
  <c r="CP74" i="17"/>
  <c r="DM68" i="17"/>
  <c r="DN68" i="17" s="1"/>
  <c r="DO68" i="17" s="1"/>
  <c r="CQ58" i="17"/>
  <c r="CG282" i="17"/>
  <c r="CP259" i="17"/>
  <c r="CG254" i="17"/>
  <c r="CP251" i="17"/>
  <c r="BA243" i="17"/>
  <c r="CP236" i="17"/>
  <c r="DR228" i="17"/>
  <c r="CQ222" i="17"/>
  <c r="Y214" i="17"/>
  <c r="CG211" i="17"/>
  <c r="CQ197" i="17"/>
  <c r="CP171" i="17"/>
  <c r="DM113" i="17"/>
  <c r="DN113" i="17" s="1"/>
  <c r="DM111" i="17"/>
  <c r="DN111" i="17" s="1"/>
  <c r="DP111" i="17" s="1"/>
  <c r="DM94" i="17"/>
  <c r="DN94" i="17" s="1"/>
  <c r="DO94" i="17" s="1"/>
  <c r="BA66" i="17"/>
  <c r="BB66" i="17"/>
  <c r="DM47" i="17"/>
  <c r="DN47" i="17" s="1"/>
  <c r="DO47" i="17" s="1"/>
  <c r="DP47" i="17" s="1"/>
  <c r="DM28" i="17"/>
  <c r="DN28" i="17" s="1"/>
  <c r="DO28" i="17" s="1"/>
  <c r="DP28" i="17" s="1"/>
  <c r="CP5" i="17"/>
  <c r="CG310" i="17"/>
  <c r="BA260" i="17"/>
  <c r="Y247" i="17"/>
  <c r="Y231" i="17"/>
  <c r="CG230" i="17"/>
  <c r="R228" i="17"/>
  <c r="Y228" i="17" s="1"/>
  <c r="CQ207" i="17"/>
  <c r="BA123" i="17"/>
  <c r="CG96" i="17"/>
  <c r="CG83" i="17"/>
  <c r="CG141" i="17"/>
  <c r="Y139" i="17"/>
  <c r="CQ137" i="17"/>
  <c r="BA137" i="17"/>
  <c r="DL131" i="17"/>
  <c r="CP124" i="17"/>
  <c r="CG87" i="17"/>
  <c r="CE71" i="17"/>
  <c r="CQ42" i="17"/>
  <c r="Y40" i="17"/>
  <c r="CQ8" i="17"/>
  <c r="DR166" i="17"/>
  <c r="CE163" i="17"/>
  <c r="CG155" i="17"/>
  <c r="CG152" i="17"/>
  <c r="BA144" i="17"/>
  <c r="CE128" i="17"/>
  <c r="CQ122" i="17"/>
  <c r="CG120" i="17"/>
  <c r="BV110" i="17"/>
  <c r="CG110" i="17" s="1"/>
  <c r="CQ105" i="17"/>
  <c r="CG102" i="17"/>
  <c r="DR51" i="17"/>
  <c r="Y30" i="17"/>
  <c r="CQ153" i="17"/>
  <c r="CQ143" i="17"/>
  <c r="CP120" i="17"/>
  <c r="CE119" i="17"/>
  <c r="CQ93" i="17"/>
  <c r="BA85" i="17"/>
  <c r="BA61" i="17"/>
  <c r="DM53" i="17"/>
  <c r="DN53" i="17" s="1"/>
  <c r="DO53" i="17" s="1"/>
  <c r="DP53" i="17" s="1"/>
  <c r="CE41" i="17"/>
  <c r="BA13" i="17"/>
  <c r="Y12" i="17"/>
  <c r="Y142" i="17"/>
  <c r="BA132" i="17"/>
  <c r="DR126" i="17"/>
  <c r="DR107" i="17"/>
  <c r="CG103" i="17"/>
  <c r="CQ101" i="17"/>
  <c r="Y97" i="17"/>
  <c r="CG92" i="17"/>
  <c r="BA84" i="17"/>
  <c r="BA71" i="17"/>
  <c r="CG31" i="17"/>
  <c r="CG28" i="17"/>
  <c r="CQ9" i="17"/>
  <c r="CE517" i="17"/>
  <c r="CF517" i="17"/>
  <c r="CF518" i="17"/>
  <c r="CE518" i="17"/>
  <c r="Y530" i="17"/>
  <c r="Z530" i="17"/>
  <c r="Z436" i="17"/>
  <c r="Y436" i="17"/>
  <c r="Y494" i="17"/>
  <c r="Z494" i="17"/>
  <c r="BB536" i="17"/>
  <c r="BA536" i="17"/>
  <c r="Z535" i="17"/>
  <c r="Y535" i="17"/>
  <c r="DS531" i="17"/>
  <c r="CE417" i="17"/>
  <c r="DM530" i="17"/>
  <c r="DN530" i="17" s="1"/>
  <c r="DO530" i="17" s="1"/>
  <c r="Z510" i="17"/>
  <c r="Y510" i="17"/>
  <c r="BB480" i="17"/>
  <c r="BA480" i="17"/>
  <c r="CE478" i="17"/>
  <c r="CP451" i="17"/>
  <c r="DL448" i="17"/>
  <c r="CP446" i="17"/>
  <c r="DM415" i="17"/>
  <c r="DN415" i="17" s="1"/>
  <c r="BA394" i="17"/>
  <c r="BB394" i="17"/>
  <c r="CQ327" i="17"/>
  <c r="CO327" i="17"/>
  <c r="CP327" i="17" s="1"/>
  <c r="BX504" i="17"/>
  <c r="BV504" i="17" s="1"/>
  <c r="CG504" i="17" s="1"/>
  <c r="BA479" i="17"/>
  <c r="BB479" i="17"/>
  <c r="DM423" i="17"/>
  <c r="DN423" i="17" s="1"/>
  <c r="DP423" i="17" s="1"/>
  <c r="DP408" i="17"/>
  <c r="DM406" i="17"/>
  <c r="DN406" i="17" s="1"/>
  <c r="DO406" i="17" s="1"/>
  <c r="CD393" i="17"/>
  <c r="CG393" i="17"/>
  <c r="CQ372" i="17"/>
  <c r="CO372" i="17"/>
  <c r="CP372" i="17" s="1"/>
  <c r="BB346" i="17"/>
  <c r="BA346" i="17"/>
  <c r="DM244" i="17"/>
  <c r="DN244" i="17" s="1"/>
  <c r="DO244" i="17" s="1"/>
  <c r="DP244" i="17" s="1"/>
  <c r="CG540" i="17"/>
  <c r="DL494" i="17"/>
  <c r="Z467" i="17"/>
  <c r="CP461" i="17"/>
  <c r="DR450" i="17"/>
  <c r="DR444" i="17"/>
  <c r="R444" i="17"/>
  <c r="DS444" i="17" s="1"/>
  <c r="DM378" i="17"/>
  <c r="DN378" i="17" s="1"/>
  <c r="DR378" i="17"/>
  <c r="R378" i="17"/>
  <c r="DS378" i="17" s="1"/>
  <c r="Y287" i="17"/>
  <c r="Z287" i="17"/>
  <c r="DM255" i="17"/>
  <c r="DN255" i="17" s="1"/>
  <c r="DO255" i="17" s="1"/>
  <c r="DP255" i="17" s="1"/>
  <c r="R252" i="17"/>
  <c r="DS252" i="17" s="1"/>
  <c r="DR539" i="17"/>
  <c r="DR535" i="17"/>
  <c r="DR507" i="17"/>
  <c r="CQ491" i="17"/>
  <c r="CQ484" i="17"/>
  <c r="DR474" i="17"/>
  <c r="CP473" i="17"/>
  <c r="DM450" i="17"/>
  <c r="DN450" i="17" s="1"/>
  <c r="DO450" i="17" s="1"/>
  <c r="DR437" i="17"/>
  <c r="DL437" i="17"/>
  <c r="BB430" i="17"/>
  <c r="BA430" i="17"/>
  <c r="DM424" i="17"/>
  <c r="DN424" i="17" s="1"/>
  <c r="CQ418" i="17"/>
  <c r="DR413" i="17"/>
  <c r="CF395" i="17"/>
  <c r="CE395" i="17"/>
  <c r="DM389" i="17"/>
  <c r="DN389" i="17" s="1"/>
  <c r="DP389" i="17" s="1"/>
  <c r="DM376" i="17"/>
  <c r="DN376" i="17" s="1"/>
  <c r="DP376" i="17" s="1"/>
  <c r="CD325" i="17"/>
  <c r="CG325" i="17"/>
  <c r="DM264" i="17"/>
  <c r="DN264" i="17" s="1"/>
  <c r="DP264" i="17" s="1"/>
  <c r="CG261" i="17"/>
  <c r="CD261" i="17"/>
  <c r="CE261" i="17" s="1"/>
  <c r="Y186" i="17"/>
  <c r="Z186" i="17"/>
  <c r="CP540" i="17"/>
  <c r="DR534" i="17"/>
  <c r="DR533" i="17"/>
  <c r="CQ532" i="17"/>
  <c r="CE526" i="17"/>
  <c r="DM521" i="17"/>
  <c r="DN521" i="17" s="1"/>
  <c r="DP521" i="17" s="1"/>
  <c r="CG521" i="17"/>
  <c r="DR521" i="17"/>
  <c r="CQ517" i="17"/>
  <c r="Y517" i="17"/>
  <c r="CQ511" i="17"/>
  <c r="CO511" i="17"/>
  <c r="CP511" i="17" s="1"/>
  <c r="CF510" i="17"/>
  <c r="CG509" i="17"/>
  <c r="DM508" i="17"/>
  <c r="DN508" i="17" s="1"/>
  <c r="DO508" i="17" s="1"/>
  <c r="CJ504" i="17"/>
  <c r="CH504" i="17" s="1"/>
  <c r="CP504" i="17" s="1"/>
  <c r="DR502" i="17"/>
  <c r="CP502" i="17"/>
  <c r="BA501" i="17"/>
  <c r="CQ499" i="17"/>
  <c r="DM495" i="17"/>
  <c r="DN495" i="17" s="1"/>
  <c r="DS494" i="17"/>
  <c r="Y492" i="17"/>
  <c r="CF489" i="17"/>
  <c r="CE489" i="17"/>
  <c r="R487" i="17"/>
  <c r="Y487" i="17" s="1"/>
  <c r="DR487" i="17"/>
  <c r="Y484" i="17"/>
  <c r="CG482" i="17"/>
  <c r="CD482" i="17"/>
  <c r="CE482" i="17" s="1"/>
  <c r="CG480" i="17"/>
  <c r="DR479" i="17"/>
  <c r="CG477" i="17"/>
  <c r="CQ473" i="17"/>
  <c r="DM465" i="17"/>
  <c r="DN465" i="17" s="1"/>
  <c r="DO465" i="17" s="1"/>
  <c r="DP465" i="17" s="1"/>
  <c r="CQ463" i="17"/>
  <c r="CQ462" i="17"/>
  <c r="Y456" i="17"/>
  <c r="CG453" i="17"/>
  <c r="R451" i="17"/>
  <c r="DS451" i="17" s="1"/>
  <c r="BB450" i="17"/>
  <c r="Y450" i="17"/>
  <c r="CE445" i="17"/>
  <c r="R443" i="17"/>
  <c r="DL443" i="17" s="1"/>
  <c r="CG438" i="17"/>
  <c r="DR436" i="17"/>
  <c r="DM435" i="17"/>
  <c r="DN435" i="17" s="1"/>
  <c r="DO435" i="17" s="1"/>
  <c r="DR432" i="17"/>
  <c r="CE426" i="17"/>
  <c r="CP417" i="17"/>
  <c r="CE413" i="17"/>
  <c r="CD410" i="17"/>
  <c r="CG410" i="17"/>
  <c r="CQ404" i="17"/>
  <c r="Y399" i="17"/>
  <c r="Y395" i="17"/>
  <c r="BA369" i="17"/>
  <c r="BB369" i="17"/>
  <c r="BB329" i="17"/>
  <c r="Z198" i="17"/>
  <c r="Y198" i="17"/>
  <c r="DR197" i="17"/>
  <c r="CQ497" i="17"/>
  <c r="CO497" i="17"/>
  <c r="CP497" i="17" s="1"/>
  <c r="DL490" i="17"/>
  <c r="DS479" i="17"/>
  <c r="Z457" i="17"/>
  <c r="DR473" i="17"/>
  <c r="DM534" i="17"/>
  <c r="DN534" i="17" s="1"/>
  <c r="Z534" i="17"/>
  <c r="Y534" i="17"/>
  <c r="Z532" i="17"/>
  <c r="DR531" i="17"/>
  <c r="CD525" i="17"/>
  <c r="DM524" i="17"/>
  <c r="DN524" i="17" s="1"/>
  <c r="DO524" i="17" s="1"/>
  <c r="DP524" i="17" s="1"/>
  <c r="Y523" i="17"/>
  <c r="Y522" i="17"/>
  <c r="CG517" i="17"/>
  <c r="DM513" i="17"/>
  <c r="DN513" i="17" s="1"/>
  <c r="BA509" i="17"/>
  <c r="DR503" i="17"/>
  <c r="CO495" i="17"/>
  <c r="CP495" i="17" s="1"/>
  <c r="DR494" i="17"/>
  <c r="BA486" i="17"/>
  <c r="R486" i="17"/>
  <c r="DR486" i="17"/>
  <c r="DP482" i="17"/>
  <c r="CQ481" i="17"/>
  <c r="CO481" i="17"/>
  <c r="CP481" i="17" s="1"/>
  <c r="CQ480" i="17"/>
  <c r="BA478" i="17"/>
  <c r="CG470" i="17"/>
  <c r="CD470" i="17"/>
  <c r="CE470" i="17" s="1"/>
  <c r="R467" i="17"/>
  <c r="DS467" i="17" s="1"/>
  <c r="DR467" i="17"/>
  <c r="DR465" i="17"/>
  <c r="R457" i="17"/>
  <c r="DL457" i="17" s="1"/>
  <c r="DR457" i="17"/>
  <c r="DR452" i="17"/>
  <c r="BA451" i="17"/>
  <c r="BB451" i="17"/>
  <c r="BA437" i="17"/>
  <c r="DR433" i="17"/>
  <c r="R428" i="17"/>
  <c r="DS428" i="17" s="1"/>
  <c r="DR428" i="17"/>
  <c r="DL425" i="17"/>
  <c r="DR405" i="17"/>
  <c r="AT405" i="17"/>
  <c r="DL405" i="17" s="1"/>
  <c r="CE401" i="17"/>
  <c r="DM399" i="17"/>
  <c r="DN399" i="17" s="1"/>
  <c r="CE396" i="17"/>
  <c r="CF396" i="17"/>
  <c r="DM380" i="17"/>
  <c r="DN380" i="17" s="1"/>
  <c r="DO380" i="17" s="1"/>
  <c r="DM358" i="17"/>
  <c r="DN358" i="17" s="1"/>
  <c r="DO358" i="17" s="1"/>
  <c r="DR353" i="17"/>
  <c r="R353" i="17"/>
  <c r="DS353" i="17" s="1"/>
  <c r="DR338" i="17"/>
  <c r="AT188" i="17"/>
  <c r="DS188" i="17" s="1"/>
  <c r="DR188" i="17"/>
  <c r="DM509" i="17"/>
  <c r="DN509" i="17" s="1"/>
  <c r="BA508" i="17"/>
  <c r="CP488" i="17"/>
  <c r="CQ486" i="17"/>
  <c r="DR469" i="17"/>
  <c r="BA465" i="17"/>
  <c r="DR459" i="17"/>
  <c r="DR455" i="17"/>
  <c r="CP453" i="17"/>
  <c r="CE452" i="17"/>
  <c r="DR447" i="17"/>
  <c r="CP443" i="17"/>
  <c r="DS429" i="17"/>
  <c r="BA428" i="17"/>
  <c r="BB428" i="17"/>
  <c r="BA425" i="17"/>
  <c r="BA422" i="17"/>
  <c r="DL411" i="17"/>
  <c r="Y392" i="17"/>
  <c r="CG353" i="17"/>
  <c r="CE353" i="17"/>
  <c r="DR345" i="17"/>
  <c r="BA330" i="17"/>
  <c r="BB330" i="17"/>
  <c r="CP314" i="17"/>
  <c r="DL314" i="17"/>
  <c r="DS314" i="17"/>
  <c r="CQ275" i="17"/>
  <c r="CO275" i="17"/>
  <c r="CP275" i="17" s="1"/>
  <c r="DR271" i="17"/>
  <c r="R271" i="17"/>
  <c r="DL271" i="17" s="1"/>
  <c r="O504" i="17"/>
  <c r="T504" i="17"/>
  <c r="R504" i="17" s="1"/>
  <c r="Y504" i="17" s="1"/>
  <c r="CE486" i="17"/>
  <c r="CF486" i="17"/>
  <c r="AT468" i="17"/>
  <c r="DL468" i="17" s="1"/>
  <c r="DR468" i="17"/>
  <c r="CE462" i="17"/>
  <c r="CF462" i="17"/>
  <c r="AT458" i="17"/>
  <c r="DL458" i="17" s="1"/>
  <c r="DR458" i="17"/>
  <c r="DR517" i="17"/>
  <c r="CG461" i="17"/>
  <c r="CD461" i="17"/>
  <c r="R460" i="17"/>
  <c r="Y460" i="17" s="1"/>
  <c r="CG332" i="17"/>
  <c r="CD332" i="17"/>
  <c r="CF332" i="17" s="1"/>
  <c r="CH516" i="17"/>
  <c r="CP516" i="17" s="1"/>
  <c r="DL503" i="17"/>
  <c r="CG485" i="17"/>
  <c r="DR464" i="17"/>
  <c r="CO397" i="17"/>
  <c r="CP397" i="17" s="1"/>
  <c r="CQ397" i="17"/>
  <c r="CH394" i="17"/>
  <c r="CQ394" i="17" s="1"/>
  <c r="R518" i="17"/>
  <c r="Y518" i="17" s="1"/>
  <c r="DR518" i="17"/>
  <c r="DR510" i="17"/>
  <c r="CG541" i="17"/>
  <c r="CD541" i="17"/>
  <c r="CF541" i="17" s="1"/>
  <c r="CQ535" i="17"/>
  <c r="CG533" i="17"/>
  <c r="CE531" i="17"/>
  <c r="CP526" i="17"/>
  <c r="DR514" i="17"/>
  <c r="CG488" i="17"/>
  <c r="Y479" i="17"/>
  <c r="DL478" i="17"/>
  <c r="DS478" i="17"/>
  <c r="BA455" i="17"/>
  <c r="BA535" i="17"/>
  <c r="BA534" i="17"/>
  <c r="R532" i="17"/>
  <c r="DS532" i="17" s="1"/>
  <c r="DR532" i="17"/>
  <c r="Y531" i="17"/>
  <c r="CO525" i="17"/>
  <c r="DL517" i="17"/>
  <c r="DS517" i="17"/>
  <c r="CP510" i="17"/>
  <c r="DM504" i="17"/>
  <c r="DN504" i="17" s="1"/>
  <c r="Y499" i="17"/>
  <c r="DM498" i="17"/>
  <c r="DN498" i="17" s="1"/>
  <c r="DP498" i="17" s="1"/>
  <c r="CE497" i="17"/>
  <c r="CQ496" i="17"/>
  <c r="CP494" i="17"/>
  <c r="CQ488" i="17"/>
  <c r="CE487" i="17"/>
  <c r="CG486" i="17"/>
  <c r="DR484" i="17"/>
  <c r="CP478" i="17"/>
  <c r="BA476" i="17"/>
  <c r="AT469" i="17"/>
  <c r="BA469" i="17" s="1"/>
  <c r="BA460" i="17"/>
  <c r="AT459" i="17"/>
  <c r="BA459" i="17" s="1"/>
  <c r="CP458" i="17"/>
  <c r="BA454" i="17"/>
  <c r="Y452" i="17"/>
  <c r="CF444" i="17"/>
  <c r="BB436" i="17"/>
  <c r="Y434" i="17"/>
  <c r="DM433" i="17"/>
  <c r="DN433" i="17" s="1"/>
  <c r="DP433" i="17" s="1"/>
  <c r="CE430" i="17"/>
  <c r="DR429" i="17"/>
  <c r="DR424" i="17"/>
  <c r="Y422" i="17"/>
  <c r="Y415" i="17"/>
  <c r="Z415" i="17"/>
  <c r="DM410" i="17"/>
  <c r="DN410" i="17" s="1"/>
  <c r="DP410" i="17" s="1"/>
  <c r="BA400" i="17"/>
  <c r="BA386" i="17"/>
  <c r="CG377" i="17"/>
  <c r="CE377" i="17"/>
  <c r="CH369" i="17"/>
  <c r="DR369" i="17"/>
  <c r="CQ361" i="17"/>
  <c r="CO317" i="17"/>
  <c r="CP317" i="17" s="1"/>
  <c r="AT304" i="17"/>
  <c r="DS304" i="17" s="1"/>
  <c r="DR304" i="17"/>
  <c r="CQ235" i="17"/>
  <c r="BA443" i="17"/>
  <c r="DR430" i="17"/>
  <c r="DL419" i="17"/>
  <c r="DL403" i="17"/>
  <c r="DR392" i="17"/>
  <c r="CP387" i="17"/>
  <c r="R385" i="17"/>
  <c r="DS385" i="17" s="1"/>
  <c r="DR385" i="17"/>
  <c r="R377" i="17"/>
  <c r="Y377" i="17" s="1"/>
  <c r="DR377" i="17"/>
  <c r="BB362" i="17"/>
  <c r="BA362" i="17"/>
  <c r="BB361" i="17"/>
  <c r="BA361" i="17"/>
  <c r="CO338" i="17"/>
  <c r="CP338" i="17" s="1"/>
  <c r="CQ338" i="17"/>
  <c r="DM328" i="17"/>
  <c r="DN328" i="17" s="1"/>
  <c r="DO328" i="17" s="1"/>
  <c r="DM326" i="17"/>
  <c r="DN326" i="17" s="1"/>
  <c r="DO326" i="17" s="1"/>
  <c r="DR325" i="17"/>
  <c r="R325" i="17"/>
  <c r="Y325" i="17" s="1"/>
  <c r="BA290" i="17"/>
  <c r="BB290" i="17"/>
  <c r="DR286" i="17"/>
  <c r="CG236" i="17"/>
  <c r="DM227" i="17"/>
  <c r="DN227" i="17" s="1"/>
  <c r="DO227" i="17" s="1"/>
  <c r="DP227" i="17" s="1"/>
  <c r="CQ80" i="17"/>
  <c r="CP80" i="17"/>
  <c r="CF77" i="17"/>
  <c r="CE77" i="17"/>
  <c r="DM163" i="17"/>
  <c r="DN163" i="17" s="1"/>
  <c r="DO163" i="17" s="1"/>
  <c r="CP140" i="17"/>
  <c r="CQ140" i="17"/>
  <c r="Z10" i="17"/>
  <c r="Y10" i="17"/>
  <c r="CG536" i="17"/>
  <c r="CG526" i="17"/>
  <c r="CG519" i="17"/>
  <c r="CQ518" i="17"/>
  <c r="CG518" i="17"/>
  <c r="CG516" i="17"/>
  <c r="CQ503" i="17"/>
  <c r="CG494" i="17"/>
  <c r="CQ492" i="17"/>
  <c r="CQ487" i="17"/>
  <c r="BA485" i="17"/>
  <c r="CQ479" i="17"/>
  <c r="CQ476" i="17"/>
  <c r="DL475" i="17"/>
  <c r="CQ453" i="17"/>
  <c r="BB452" i="17"/>
  <c r="CQ445" i="17"/>
  <c r="CG445" i="17"/>
  <c r="BA435" i="17"/>
  <c r="CP434" i="17"/>
  <c r="CG434" i="17"/>
  <c r="CG431" i="17"/>
  <c r="Z428" i="17"/>
  <c r="CG425" i="17"/>
  <c r="CQ420" i="17"/>
  <c r="CG419" i="17"/>
  <c r="CQ416" i="17"/>
  <c r="CQ413" i="17"/>
  <c r="CD411" i="17"/>
  <c r="CQ410" i="17"/>
  <c r="CQ408" i="17"/>
  <c r="Z407" i="17"/>
  <c r="CQ405" i="17"/>
  <c r="DM403" i="17"/>
  <c r="DN403" i="17" s="1"/>
  <c r="DP403" i="17" s="1"/>
  <c r="CG403" i="17"/>
  <c r="CQ400" i="17"/>
  <c r="Z399" i="17"/>
  <c r="DM386" i="17"/>
  <c r="DN386" i="17" s="1"/>
  <c r="DO386" i="17" s="1"/>
  <c r="CQ385" i="17"/>
  <c r="Z375" i="17"/>
  <c r="Y375" i="17"/>
  <c r="CD370" i="17"/>
  <c r="CE370" i="17" s="1"/>
  <c r="CG370" i="17"/>
  <c r="DS368" i="17"/>
  <c r="BB367" i="17"/>
  <c r="DS362" i="17"/>
  <c r="CQ344" i="17"/>
  <c r="CP337" i="17"/>
  <c r="CQ305" i="17"/>
  <c r="Y304" i="17"/>
  <c r="DM302" i="17"/>
  <c r="DN302" i="17" s="1"/>
  <c r="CO298" i="17"/>
  <c r="CP298" i="17" s="1"/>
  <c r="CQ298" i="17"/>
  <c r="M25" i="18" s="1"/>
  <c r="DR258" i="17"/>
  <c r="DM198" i="17"/>
  <c r="DN198" i="17" s="1"/>
  <c r="DO198" i="17" s="1"/>
  <c r="DP198" i="17" s="1"/>
  <c r="DM136" i="17"/>
  <c r="DN136" i="17" s="1"/>
  <c r="DO136" i="17" s="1"/>
  <c r="DP136" i="17" s="1"/>
  <c r="R135" i="17"/>
  <c r="DL135" i="17" s="1"/>
  <c r="DR135" i="17"/>
  <c r="CO132" i="17"/>
  <c r="CP132" i="17" s="1"/>
  <c r="CQ132" i="17"/>
  <c r="R132" i="17"/>
  <c r="DS132" i="17" s="1"/>
  <c r="DR132" i="17"/>
  <c r="Z100" i="17"/>
  <c r="CO45" i="17"/>
  <c r="CP45" i="17" s="1"/>
  <c r="CQ45" i="17"/>
  <c r="CQ12" i="17"/>
  <c r="CO12" i="17"/>
  <c r="CP12" i="17" s="1"/>
  <c r="CQ449" i="17"/>
  <c r="CQ446" i="17"/>
  <c r="CG443" i="17"/>
  <c r="DR438" i="17"/>
  <c r="DM437" i="17"/>
  <c r="DN437" i="17" s="1"/>
  <c r="CE436" i="17"/>
  <c r="CQ433" i="17"/>
  <c r="CG428" i="17"/>
  <c r="DM419" i="17"/>
  <c r="DN419" i="17" s="1"/>
  <c r="DP419" i="17" s="1"/>
  <c r="CP413" i="17"/>
  <c r="CQ412" i="17"/>
  <c r="DM411" i="17"/>
  <c r="DN411" i="17" s="1"/>
  <c r="DP411" i="17" s="1"/>
  <c r="CP405" i="17"/>
  <c r="CG405" i="17"/>
  <c r="CE402" i="17"/>
  <c r="DM397" i="17"/>
  <c r="DN397" i="17" s="1"/>
  <c r="Y386" i="17"/>
  <c r="CG384" i="17"/>
  <c r="DM382" i="17"/>
  <c r="DN382" i="17" s="1"/>
  <c r="DO382" i="17" s="1"/>
  <c r="CQ377" i="17"/>
  <c r="BA376" i="17"/>
  <c r="BA368" i="17"/>
  <c r="CQ364" i="17"/>
  <c r="CO364" i="17"/>
  <c r="CP364" i="17" s="1"/>
  <c r="Z361" i="17"/>
  <c r="BA360" i="17"/>
  <c r="Y344" i="17"/>
  <c r="BA337" i="17"/>
  <c r="CP332" i="17"/>
  <c r="DR330" i="17"/>
  <c r="CD322" i="17"/>
  <c r="CG322" i="17"/>
  <c r="BB316" i="17"/>
  <c r="BA316" i="17"/>
  <c r="CO306" i="17"/>
  <c r="CP306" i="17" s="1"/>
  <c r="CQ306" i="17"/>
  <c r="DR306" i="17"/>
  <c r="R305" i="17"/>
  <c r="DS305" i="17" s="1"/>
  <c r="DR305" i="17"/>
  <c r="CP303" i="17"/>
  <c r="CQ282" i="17"/>
  <c r="Y279" i="17"/>
  <c r="CG258" i="17"/>
  <c r="CH215" i="17"/>
  <c r="CQ215" i="17" s="1"/>
  <c r="DR215" i="17"/>
  <c r="BB208" i="17"/>
  <c r="DM199" i="17"/>
  <c r="DN199" i="17" s="1"/>
  <c r="BA187" i="17"/>
  <c r="BB187" i="17"/>
  <c r="CO183" i="17"/>
  <c r="CP183" i="17" s="1"/>
  <c r="CQ183" i="17"/>
  <c r="CF171" i="17"/>
  <c r="CE171" i="17"/>
  <c r="BB167" i="17"/>
  <c r="BA167" i="17"/>
  <c r="CE535" i="17"/>
  <c r="CE516" i="17"/>
  <c r="DR515" i="17"/>
  <c r="CP489" i="17"/>
  <c r="CG489" i="17"/>
  <c r="Y475" i="17"/>
  <c r="CG473" i="17"/>
  <c r="CP470" i="17"/>
  <c r="CQ469" i="17"/>
  <c r="DR462" i="17"/>
  <c r="CQ461" i="17"/>
  <c r="CQ459" i="17"/>
  <c r="CQ452" i="17"/>
  <c r="BA438" i="17"/>
  <c r="DS436" i="17"/>
  <c r="CP431" i="17"/>
  <c r="CQ430" i="17"/>
  <c r="CG430" i="17"/>
  <c r="DL429" i="17"/>
  <c r="CP426" i="17"/>
  <c r="CG426" i="17"/>
  <c r="DS423" i="17"/>
  <c r="CP422" i="17"/>
  <c r="T398" i="17"/>
  <c r="R398" i="17" s="1"/>
  <c r="W398" i="17"/>
  <c r="X398" i="17" s="1"/>
  <c r="Z398" i="17" s="1"/>
  <c r="CE397" i="17"/>
  <c r="DS395" i="17"/>
  <c r="CQ391" i="17"/>
  <c r="CG389" i="17"/>
  <c r="BA388" i="17"/>
  <c r="CO369" i="17"/>
  <c r="CD361" i="17"/>
  <c r="CF361" i="17" s="1"/>
  <c r="CG361" i="17"/>
  <c r="DM354" i="17"/>
  <c r="DN354" i="17" s="1"/>
  <c r="CG336" i="17"/>
  <c r="CQ334" i="17"/>
  <c r="CO334" i="17"/>
  <c r="CP334" i="17" s="1"/>
  <c r="DS334" i="17"/>
  <c r="DM323" i="17"/>
  <c r="DN323" i="17" s="1"/>
  <c r="DL306" i="17"/>
  <c r="DM276" i="17"/>
  <c r="DN276" i="17" s="1"/>
  <c r="DR259" i="17"/>
  <c r="R259" i="17"/>
  <c r="DL259" i="17" s="1"/>
  <c r="CO250" i="17"/>
  <c r="CP250" i="17" s="1"/>
  <c r="CQ250" i="17"/>
  <c r="Y227" i="17"/>
  <c r="Z227" i="17"/>
  <c r="DM194" i="17"/>
  <c r="DN194" i="17" s="1"/>
  <c r="Y185" i="17"/>
  <c r="Z185" i="17"/>
  <c r="R147" i="17"/>
  <c r="DS147" i="17" s="1"/>
  <c r="DR147" i="17"/>
  <c r="DM144" i="17"/>
  <c r="DN144" i="17" s="1"/>
  <c r="DP144" i="17" s="1"/>
  <c r="CP534" i="17"/>
  <c r="CG528" i="17"/>
  <c r="CQ526" i="17"/>
  <c r="CQ515" i="17"/>
  <c r="CP506" i="17"/>
  <c r="CE503" i="17"/>
  <c r="DR501" i="17"/>
  <c r="CQ500" i="17"/>
  <c r="CG497" i="17"/>
  <c r="CQ541" i="17"/>
  <c r="CQ536" i="17"/>
  <c r="DL533" i="17"/>
  <c r="CG527" i="17"/>
  <c r="DR523" i="17"/>
  <c r="CQ519" i="17"/>
  <c r="CG512" i="17"/>
  <c r="CG511" i="17"/>
  <c r="CE502" i="17"/>
  <c r="DR497" i="17"/>
  <c r="CQ489" i="17"/>
  <c r="CG481" i="17"/>
  <c r="DR478" i="17"/>
  <c r="BA477" i="17"/>
  <c r="CG474" i="17"/>
  <c r="CG471" i="17"/>
  <c r="CQ470" i="17"/>
  <c r="CG463" i="17"/>
  <c r="Y449" i="17"/>
  <c r="CG447" i="17"/>
  <c r="CQ431" i="17"/>
  <c r="DS427" i="17"/>
  <c r="CQ425" i="17"/>
  <c r="CP421" i="17"/>
  <c r="CG421" i="17"/>
  <c r="CG397" i="17"/>
  <c r="CQ395" i="17"/>
  <c r="BA387" i="17"/>
  <c r="CD385" i="17"/>
  <c r="CG385" i="17"/>
  <c r="CG381" i="17"/>
  <c r="CD381" i="17"/>
  <c r="CE381" i="17" s="1"/>
  <c r="DR361" i="17"/>
  <c r="R361" i="17"/>
  <c r="Y361" i="17" s="1"/>
  <c r="CP345" i="17"/>
  <c r="DS342" i="17"/>
  <c r="CG338" i="17"/>
  <c r="CD330" i="17"/>
  <c r="CF330" i="17" s="1"/>
  <c r="CG330" i="17"/>
  <c r="CQ323" i="17"/>
  <c r="CO323" i="17"/>
  <c r="CP323" i="17" s="1"/>
  <c r="DR314" i="17"/>
  <c r="CQ292" i="17"/>
  <c r="CO292" i="17"/>
  <c r="CP292" i="17" s="1"/>
  <c r="AT291" i="17"/>
  <c r="DS291" i="17" s="1"/>
  <c r="DR291" i="17"/>
  <c r="CG251" i="17"/>
  <c r="CE251" i="17"/>
  <c r="DM246" i="17"/>
  <c r="DN246" i="17" s="1"/>
  <c r="DO246" i="17" s="1"/>
  <c r="CE236" i="17"/>
  <c r="DM226" i="17"/>
  <c r="DN226" i="17" s="1"/>
  <c r="DO226" i="17" s="1"/>
  <c r="DR225" i="17"/>
  <c r="R218" i="17"/>
  <c r="DL218" i="17" s="1"/>
  <c r="DR218" i="17"/>
  <c r="Z199" i="17"/>
  <c r="DS187" i="17"/>
  <c r="Z183" i="17"/>
  <c r="R168" i="17"/>
  <c r="DS168" i="17" s="1"/>
  <c r="DR168" i="17"/>
  <c r="DM39" i="17"/>
  <c r="DN39" i="17" s="1"/>
  <c r="DO39" i="17" s="1"/>
  <c r="DM7" i="17"/>
  <c r="DN7" i="17" s="1"/>
  <c r="DO7" i="17" s="1"/>
  <c r="DP7" i="17" s="1"/>
  <c r="CQ386" i="17"/>
  <c r="CQ383" i="17"/>
  <c r="CQ380" i="17"/>
  <c r="CQ379" i="17"/>
  <c r="CG379" i="17"/>
  <c r="CQ367" i="17"/>
  <c r="CP351" i="17"/>
  <c r="DM348" i="17"/>
  <c r="DN348" i="17" s="1"/>
  <c r="DP348" i="17" s="1"/>
  <c r="CD348" i="17"/>
  <c r="CE348" i="17" s="1"/>
  <c r="CG344" i="17"/>
  <c r="DR343" i="17"/>
  <c r="Y335" i="17"/>
  <c r="DR327" i="17"/>
  <c r="CD315" i="17"/>
  <c r="CG314" i="17"/>
  <c r="CD313" i="17"/>
  <c r="CE313" i="17" s="1"/>
  <c r="CG313" i="17"/>
  <c r="CD310" i="17"/>
  <c r="CE310" i="17" s="1"/>
  <c r="DS306" i="17"/>
  <c r="AT298" i="17"/>
  <c r="BA298" i="17" s="1"/>
  <c r="DR298" i="17"/>
  <c r="Y297" i="17"/>
  <c r="DR283" i="17"/>
  <c r="DR282" i="17"/>
  <c r="R282" i="17"/>
  <c r="Y282" i="17" s="1"/>
  <c r="DR270" i="17"/>
  <c r="DM266" i="17"/>
  <c r="DN266" i="17" s="1"/>
  <c r="DO266" i="17" s="1"/>
  <c r="CP258" i="17"/>
  <c r="CD250" i="17"/>
  <c r="CF250" i="17" s="1"/>
  <c r="CG250" i="17"/>
  <c r="DM249" i="17"/>
  <c r="DN249" i="17" s="1"/>
  <c r="DP249" i="17" s="1"/>
  <c r="DM243" i="17"/>
  <c r="DN243" i="17" s="1"/>
  <c r="CQ240" i="17"/>
  <c r="CG238" i="17"/>
  <c r="DS220" i="17"/>
  <c r="DM216" i="17"/>
  <c r="DN216" i="17" s="1"/>
  <c r="DP216" i="17" s="1"/>
  <c r="CD211" i="17"/>
  <c r="CE211" i="17" s="1"/>
  <c r="CD208" i="17"/>
  <c r="CE208" i="17" s="1"/>
  <c r="DR187" i="17"/>
  <c r="CD187" i="17"/>
  <c r="CE187" i="17" s="1"/>
  <c r="CG187" i="17"/>
  <c r="Y173" i="17"/>
  <c r="R171" i="17"/>
  <c r="DL171" i="17" s="1"/>
  <c r="DR171" i="17"/>
  <c r="BA155" i="17"/>
  <c r="DM122" i="17"/>
  <c r="DN122" i="17" s="1"/>
  <c r="DR117" i="17"/>
  <c r="R117" i="17"/>
  <c r="DL117" i="17" s="1"/>
  <c r="CO96" i="17"/>
  <c r="CP96" i="17" s="1"/>
  <c r="CQ96" i="17"/>
  <c r="DL386" i="17"/>
  <c r="DR383" i="17"/>
  <c r="CQ370" i="17"/>
  <c r="DR362" i="17"/>
  <c r="CG356" i="17"/>
  <c r="CG355" i="17"/>
  <c r="CD355" i="17"/>
  <c r="CQ353" i="17"/>
  <c r="CQ352" i="17"/>
  <c r="DR351" i="17"/>
  <c r="CO350" i="17"/>
  <c r="CP350" i="17" s="1"/>
  <c r="DM349" i="17"/>
  <c r="DN349" i="17" s="1"/>
  <c r="DO349" i="17" s="1"/>
  <c r="DP349" i="17" s="1"/>
  <c r="CQ347" i="17"/>
  <c r="DM346" i="17"/>
  <c r="DN346" i="17" s="1"/>
  <c r="DO346" i="17" s="1"/>
  <c r="DP346" i="17" s="1"/>
  <c r="Y345" i="17"/>
  <c r="DM343" i="17"/>
  <c r="DN343" i="17" s="1"/>
  <c r="DO343" i="17" s="1"/>
  <c r="DM338" i="17"/>
  <c r="DN338" i="17" s="1"/>
  <c r="DL336" i="17"/>
  <c r="CQ335" i="17"/>
  <c r="DM334" i="17"/>
  <c r="DN334" i="17" s="1"/>
  <c r="DO334" i="17" s="1"/>
  <c r="DM329" i="17"/>
  <c r="DN329" i="17" s="1"/>
  <c r="DO329" i="17" s="1"/>
  <c r="DP329" i="17" s="1"/>
  <c r="CQ326" i="17"/>
  <c r="DM325" i="17"/>
  <c r="DN325" i="17" s="1"/>
  <c r="DO325" i="17" s="1"/>
  <c r="DR320" i="17"/>
  <c r="CE314" i="17"/>
  <c r="Y314" i="17"/>
  <c r="Y312" i="17"/>
  <c r="CG309" i="17"/>
  <c r="CQ308" i="17"/>
  <c r="CO308" i="17"/>
  <c r="CP308" i="17" s="1"/>
  <c r="Y298" i="17"/>
  <c r="Z298" i="17"/>
  <c r="BV290" i="17"/>
  <c r="CG290" i="17" s="1"/>
  <c r="DR290" i="17"/>
  <c r="Z289" i="17"/>
  <c r="Y289" i="17"/>
  <c r="DS283" i="17"/>
  <c r="CP282" i="17"/>
  <c r="DL273" i="17"/>
  <c r="DS273" i="17"/>
  <c r="CP265" i="17"/>
  <c r="DM257" i="17"/>
  <c r="DN257" i="17" s="1"/>
  <c r="DO257" i="17" s="1"/>
  <c r="CQ253" i="17"/>
  <c r="CQ248" i="17"/>
  <c r="R234" i="17"/>
  <c r="DL234" i="17" s="1"/>
  <c r="DR234" i="17"/>
  <c r="DR199" i="17"/>
  <c r="R199" i="17"/>
  <c r="DS199" i="17" s="1"/>
  <c r="CG193" i="17"/>
  <c r="CD193" i="17"/>
  <c r="BV192" i="17"/>
  <c r="CE192" i="17" s="1"/>
  <c r="DR192" i="17"/>
  <c r="DM191" i="17"/>
  <c r="DN191" i="17" s="1"/>
  <c r="DO191" i="17" s="1"/>
  <c r="DR178" i="17"/>
  <c r="R178" i="17"/>
  <c r="DL178" i="17" s="1"/>
  <c r="DM171" i="17"/>
  <c r="DN171" i="17" s="1"/>
  <c r="DO171" i="17" s="1"/>
  <c r="DP171" i="17" s="1"/>
  <c r="CD151" i="17"/>
  <c r="CF151" i="17" s="1"/>
  <c r="CG151" i="17"/>
  <c r="DM149" i="17"/>
  <c r="DN149" i="17" s="1"/>
  <c r="BB126" i="17"/>
  <c r="BA126" i="17"/>
  <c r="CQ371" i="17"/>
  <c r="CQ362" i="17"/>
  <c r="DL362" i="17"/>
  <c r="CP360" i="17"/>
  <c r="CP355" i="17"/>
  <c r="BA354" i="17"/>
  <c r="CP348" i="17"/>
  <c r="CE338" i="17"/>
  <c r="CQ337" i="17"/>
  <c r="CQ336" i="17"/>
  <c r="CP335" i="17"/>
  <c r="CG331" i="17"/>
  <c r="CQ330" i="17"/>
  <c r="CQ321" i="17"/>
  <c r="CG317" i="17"/>
  <c r="CQ316" i="17"/>
  <c r="Y306" i="17"/>
  <c r="CQ304" i="17"/>
  <c r="CQ300" i="17"/>
  <c r="CO300" i="17"/>
  <c r="CP300" i="17" s="1"/>
  <c r="DS299" i="17"/>
  <c r="DR297" i="17"/>
  <c r="BV297" i="17"/>
  <c r="CG297" i="17" s="1"/>
  <c r="CQ295" i="17"/>
  <c r="CP290" i="17"/>
  <c r="BA282" i="17"/>
  <c r="CD281" i="17"/>
  <c r="CF281" i="17" s="1"/>
  <c r="CG281" i="17"/>
  <c r="DR276" i="17"/>
  <c r="AT276" i="17"/>
  <c r="DL276" i="17" s="1"/>
  <c r="CO274" i="17"/>
  <c r="CP274" i="17" s="1"/>
  <c r="CQ274" i="17"/>
  <c r="CE271" i="17"/>
  <c r="DL263" i="17"/>
  <c r="DR260" i="17"/>
  <c r="BA258" i="17"/>
  <c r="DS256" i="17"/>
  <c r="DL256" i="17"/>
  <c r="Y233" i="17"/>
  <c r="Z233" i="17"/>
  <c r="DM228" i="17"/>
  <c r="DN228" i="17" s="1"/>
  <c r="DO228" i="17" s="1"/>
  <c r="DP228" i="17" s="1"/>
  <c r="CQ220" i="17"/>
  <c r="CQ204" i="17"/>
  <c r="CO204" i="17"/>
  <c r="CP204" i="17" s="1"/>
  <c r="Z189" i="17"/>
  <c r="Y189" i="17"/>
  <c r="CP187" i="17"/>
  <c r="CE180" i="17"/>
  <c r="DR173" i="17"/>
  <c r="BV173" i="17"/>
  <c r="DL173" i="17" s="1"/>
  <c r="CE168" i="17"/>
  <c r="CF168" i="17"/>
  <c r="CE160" i="17"/>
  <c r="CQ157" i="17"/>
  <c r="CP157" i="17"/>
  <c r="DM131" i="17"/>
  <c r="DN131" i="17" s="1"/>
  <c r="CG396" i="17"/>
  <c r="DL395" i="17"/>
  <c r="CP393" i="17"/>
  <c r="DR391" i="17"/>
  <c r="CQ387" i="17"/>
  <c r="CG387" i="17"/>
  <c r="BA384" i="17"/>
  <c r="DL376" i="17"/>
  <c r="DR375" i="17"/>
  <c r="Y369" i="17"/>
  <c r="Y368" i="17"/>
  <c r="DR364" i="17"/>
  <c r="CQ356" i="17"/>
  <c r="CQ355" i="17"/>
  <c r="CQ348" i="17"/>
  <c r="DR340" i="17"/>
  <c r="DR336" i="17"/>
  <c r="Y329" i="17"/>
  <c r="Y328" i="17"/>
  <c r="CG327" i="17"/>
  <c r="CQ322" i="17"/>
  <c r="DR317" i="17"/>
  <c r="CP307" i="17"/>
  <c r="BA299" i="17"/>
  <c r="BA297" i="17"/>
  <c r="BB284" i="17"/>
  <c r="BA284" i="17"/>
  <c r="R275" i="17"/>
  <c r="Y275" i="17" s="1"/>
  <c r="DR275" i="17"/>
  <c r="CG271" i="17"/>
  <c r="CO267" i="17"/>
  <c r="CP267" i="17" s="1"/>
  <c r="CQ267" i="17"/>
  <c r="R267" i="17"/>
  <c r="Y267" i="17" s="1"/>
  <c r="DR267" i="17"/>
  <c r="DM263" i="17"/>
  <c r="DN263" i="17" s="1"/>
  <c r="DO263" i="17" s="1"/>
  <c r="DP263" i="17" s="1"/>
  <c r="R260" i="17"/>
  <c r="DL260" i="17" s="1"/>
  <c r="DS258" i="17"/>
  <c r="Y256" i="17"/>
  <c r="Z256" i="17"/>
  <c r="BV244" i="17"/>
  <c r="DS244" i="17" s="1"/>
  <c r="DR244" i="17"/>
  <c r="CG237" i="17"/>
  <c r="CD237" i="17"/>
  <c r="CE237" i="17" s="1"/>
  <c r="DM236" i="17"/>
  <c r="DN236" i="17" s="1"/>
  <c r="DO236" i="17" s="1"/>
  <c r="DP236" i="17" s="1"/>
  <c r="CD235" i="17"/>
  <c r="CG235" i="17"/>
  <c r="R235" i="17"/>
  <c r="Y235" i="17" s="1"/>
  <c r="DR235" i="17"/>
  <c r="BA228" i="17"/>
  <c r="DM205" i="17"/>
  <c r="DN205" i="17" s="1"/>
  <c r="DO205" i="17" s="1"/>
  <c r="CQ196" i="17"/>
  <c r="CO196" i="17"/>
  <c r="CP196" i="17" s="1"/>
  <c r="DM154" i="17"/>
  <c r="DN154" i="17" s="1"/>
  <c r="DO154" i="17" s="1"/>
  <c r="CG371" i="17"/>
  <c r="Y359" i="17"/>
  <c r="DR352" i="17"/>
  <c r="CQ332" i="17"/>
  <c r="CQ325" i="17"/>
  <c r="CQ307" i="17"/>
  <c r="CG306" i="17"/>
  <c r="CQ301" i="17"/>
  <c r="CO301" i="17"/>
  <c r="CP301" i="17" s="1"/>
  <c r="BA296" i="17"/>
  <c r="DR296" i="17"/>
  <c r="R296" i="17"/>
  <c r="DL296" i="17" s="1"/>
  <c r="CQ287" i="17"/>
  <c r="CO287" i="17"/>
  <c r="CP287" i="17" s="1"/>
  <c r="CG284" i="17"/>
  <c r="DL279" i="17"/>
  <c r="DM268" i="17"/>
  <c r="DN268" i="17" s="1"/>
  <c r="CE259" i="17"/>
  <c r="R243" i="17"/>
  <c r="Y243" i="17" s="1"/>
  <c r="DR243" i="17"/>
  <c r="DM232" i="17"/>
  <c r="DN232" i="17" s="1"/>
  <c r="DO232" i="17" s="1"/>
  <c r="DP232" i="17" s="1"/>
  <c r="CP227" i="17"/>
  <c r="Y225" i="17"/>
  <c r="Y221" i="17"/>
  <c r="DL211" i="17"/>
  <c r="DM207" i="17"/>
  <c r="DN207" i="17" s="1"/>
  <c r="DO207" i="17" s="1"/>
  <c r="DR207" i="17"/>
  <c r="DS206" i="17"/>
  <c r="CP198" i="17"/>
  <c r="DM195" i="17"/>
  <c r="DN195" i="17" s="1"/>
  <c r="DP195" i="17" s="1"/>
  <c r="DM185" i="17"/>
  <c r="DN185" i="17" s="1"/>
  <c r="CG174" i="17"/>
  <c r="DS174" i="17"/>
  <c r="CQ171" i="17"/>
  <c r="CG165" i="17"/>
  <c r="CO160" i="17"/>
  <c r="CP160" i="17" s="1"/>
  <c r="CQ160" i="17"/>
  <c r="CP154" i="17"/>
  <c r="DS150" i="17"/>
  <c r="CQ149" i="17"/>
  <c r="CO149" i="17"/>
  <c r="CP149" i="17" s="1"/>
  <c r="CO139" i="17"/>
  <c r="CP139" i="17" s="1"/>
  <c r="CQ139" i="17"/>
  <c r="BA134" i="17"/>
  <c r="DM129" i="17"/>
  <c r="DN129" i="17" s="1"/>
  <c r="DP129" i="17" s="1"/>
  <c r="BA111" i="17"/>
  <c r="CD107" i="17"/>
  <c r="CE107" i="17" s="1"/>
  <c r="CG107" i="17"/>
  <c r="BA253" i="17"/>
  <c r="DR238" i="17"/>
  <c r="CD234" i="17"/>
  <c r="CE234" i="17" s="1"/>
  <c r="CG234" i="17"/>
  <c r="DM231" i="17"/>
  <c r="DN231" i="17" s="1"/>
  <c r="CQ230" i="17"/>
  <c r="CQ224" i="17"/>
  <c r="CO224" i="17"/>
  <c r="CP224" i="17" s="1"/>
  <c r="CG218" i="17"/>
  <c r="CP207" i="17"/>
  <c r="CP200" i="17"/>
  <c r="CQ199" i="17"/>
  <c r="CP188" i="17"/>
  <c r="CQ187" i="17"/>
  <c r="CP185" i="17"/>
  <c r="DL180" i="17"/>
  <c r="CP175" i="17"/>
  <c r="CG168" i="17"/>
  <c r="Y166" i="17"/>
  <c r="DR165" i="17"/>
  <c r="Z162" i="17"/>
  <c r="Y162" i="17"/>
  <c r="CG159" i="17"/>
  <c r="CD159" i="17"/>
  <c r="CE159" i="17" s="1"/>
  <c r="CG154" i="17"/>
  <c r="CE152" i="17"/>
  <c r="CF138" i="17"/>
  <c r="CE138" i="17"/>
  <c r="DM137" i="17"/>
  <c r="DN137" i="17" s="1"/>
  <c r="DO137" i="17" s="1"/>
  <c r="DL123" i="17"/>
  <c r="AT109" i="17"/>
  <c r="BA109" i="17" s="1"/>
  <c r="DR109" i="17"/>
  <c r="CG89" i="17"/>
  <c r="CD89" i="17"/>
  <c r="CE89" i="17" s="1"/>
  <c r="CF14" i="17"/>
  <c r="CE14" i="17"/>
  <c r="CG285" i="17"/>
  <c r="CQ280" i="17"/>
  <c r="BA275" i="17"/>
  <c r="CQ268" i="17"/>
  <c r="CG262" i="17"/>
  <c r="CQ259" i="17"/>
  <c r="CP252" i="17"/>
  <c r="DR251" i="17"/>
  <c r="AT249" i="17"/>
  <c r="DS249" i="17" s="1"/>
  <c r="CQ242" i="17"/>
  <c r="DS239" i="17"/>
  <c r="R238" i="17"/>
  <c r="DS238" i="17" s="1"/>
  <c r="DM219" i="17"/>
  <c r="DN219" i="17" s="1"/>
  <c r="DP219" i="17" s="1"/>
  <c r="CP217" i="17"/>
  <c r="CP213" i="17"/>
  <c r="DR206" i="17"/>
  <c r="DL186" i="17"/>
  <c r="BA184" i="17"/>
  <c r="R183" i="17"/>
  <c r="Y183" i="17" s="1"/>
  <c r="DR183" i="17"/>
  <c r="CQ175" i="17"/>
  <c r="CE172" i="17"/>
  <c r="DM168" i="17"/>
  <c r="DN168" i="17" s="1"/>
  <c r="DM166" i="17"/>
  <c r="DN166" i="17" s="1"/>
  <c r="DP166" i="17" s="1"/>
  <c r="CO156" i="17"/>
  <c r="CP156" i="17" s="1"/>
  <c r="CQ156" i="17"/>
  <c r="BA153" i="17"/>
  <c r="CP137" i="17"/>
  <c r="DR299" i="17"/>
  <c r="Y295" i="17"/>
  <c r="Z295" i="17"/>
  <c r="BA289" i="17"/>
  <c r="CQ284" i="17"/>
  <c r="CE276" i="17"/>
  <c r="CF275" i="17"/>
  <c r="CE275" i="17"/>
  <c r="CD267" i="17"/>
  <c r="CE267" i="17" s="1"/>
  <c r="CG267" i="17"/>
  <c r="Y262" i="17"/>
  <c r="DS251" i="17"/>
  <c r="Y249" i="17"/>
  <c r="DM248" i="17"/>
  <c r="DN248" i="17" s="1"/>
  <c r="DO248" i="17" s="1"/>
  <c r="DP248" i="17" s="1"/>
  <c r="Y242" i="17"/>
  <c r="DR236" i="17"/>
  <c r="R236" i="17"/>
  <c r="DS236" i="17" s="1"/>
  <c r="CG229" i="17"/>
  <c r="BA189" i="17"/>
  <c r="DM167" i="17"/>
  <c r="DN167" i="17" s="1"/>
  <c r="DO167" i="17" s="1"/>
  <c r="CQ165" i="17"/>
  <c r="CO165" i="17"/>
  <c r="CP165" i="17" s="1"/>
  <c r="BA151" i="17"/>
  <c r="Z147" i="17"/>
  <c r="CG138" i="17"/>
  <c r="DM133" i="17"/>
  <c r="DN133" i="17" s="1"/>
  <c r="BA130" i="17"/>
  <c r="BB130" i="17"/>
  <c r="R126" i="17"/>
  <c r="DS126" i="17" s="1"/>
  <c r="CO113" i="17"/>
  <c r="CP113" i="17" s="1"/>
  <c r="CQ113" i="17"/>
  <c r="CQ71" i="17"/>
  <c r="CP71" i="17"/>
  <c r="BB31" i="17"/>
  <c r="CP194" i="17"/>
  <c r="CG194" i="17"/>
  <c r="Y194" i="17"/>
  <c r="BB191" i="17"/>
  <c r="BA191" i="17"/>
  <c r="DR185" i="17"/>
  <c r="DR182" i="17"/>
  <c r="BA174" i="17"/>
  <c r="CP172" i="17"/>
  <c r="BA172" i="17"/>
  <c r="CP168" i="17"/>
  <c r="DR158" i="17"/>
  <c r="CD148" i="17"/>
  <c r="CF148" i="17" s="1"/>
  <c r="CG148" i="17"/>
  <c r="R136" i="17"/>
  <c r="DL136" i="17" s="1"/>
  <c r="DR136" i="17"/>
  <c r="CP122" i="17"/>
  <c r="Z102" i="17"/>
  <c r="CF94" i="17"/>
  <c r="CE94" i="17"/>
  <c r="CD81" i="17"/>
  <c r="CE81" i="17" s="1"/>
  <c r="CG81" i="17"/>
  <c r="DM80" i="17"/>
  <c r="DN80" i="17" s="1"/>
  <c r="DM72" i="17"/>
  <c r="DN72" i="17" s="1"/>
  <c r="DO72" i="17" s="1"/>
  <c r="DP72" i="17" s="1"/>
  <c r="R46" i="17"/>
  <c r="DL46" i="17" s="1"/>
  <c r="DR46" i="17"/>
  <c r="BA103" i="17"/>
  <c r="R100" i="17"/>
  <c r="Y100" i="17" s="1"/>
  <c r="DR100" i="17"/>
  <c r="CG72" i="17"/>
  <c r="DM69" i="17"/>
  <c r="DN69" i="17" s="1"/>
  <c r="DO69" i="17" s="1"/>
  <c r="DP69" i="17" s="1"/>
  <c r="DR31" i="17"/>
  <c r="AT31" i="17"/>
  <c r="DL31" i="17" s="1"/>
  <c r="DM27" i="17"/>
  <c r="DN27" i="17" s="1"/>
  <c r="CQ315" i="17"/>
  <c r="CG305" i="17"/>
  <c r="CQ293" i="17"/>
  <c r="BA292" i="17"/>
  <c r="CQ262" i="17"/>
  <c r="CQ254" i="17"/>
  <c r="CO249" i="17"/>
  <c r="CP249" i="17" s="1"/>
  <c r="CQ249" i="17"/>
  <c r="CQ246" i="17"/>
  <c r="BA241" i="17"/>
  <c r="CP233" i="17"/>
  <c r="CQ226" i="17"/>
  <c r="CG209" i="17"/>
  <c r="DR198" i="17"/>
  <c r="CQ192" i="17"/>
  <c r="Z188" i="17"/>
  <c r="Y188" i="17"/>
  <c r="CP184" i="17"/>
  <c r="Y161" i="17"/>
  <c r="BA135" i="17"/>
  <c r="DL134" i="17"/>
  <c r="AT124" i="17"/>
  <c r="DS124" i="17" s="1"/>
  <c r="CE123" i="17"/>
  <c r="Z95" i="17"/>
  <c r="DS94" i="17"/>
  <c r="CP79" i="17"/>
  <c r="BA67" i="17"/>
  <c r="DM66" i="17"/>
  <c r="DN66" i="17" s="1"/>
  <c r="DP66" i="17" s="1"/>
  <c r="DR66" i="17"/>
  <c r="R66" i="17"/>
  <c r="DL66" i="17" s="1"/>
  <c r="CE64" i="17"/>
  <c r="CF64" i="17"/>
  <c r="BA52" i="17"/>
  <c r="BB52" i="17"/>
  <c r="BA133" i="17"/>
  <c r="DM123" i="17"/>
  <c r="DN123" i="17" s="1"/>
  <c r="DO123" i="17" s="1"/>
  <c r="DR122" i="17"/>
  <c r="CE121" i="17"/>
  <c r="DM118" i="17"/>
  <c r="DN118" i="17" s="1"/>
  <c r="DO118" i="17" s="1"/>
  <c r="DP118" i="17" s="1"/>
  <c r="CG104" i="17"/>
  <c r="CD104" i="17"/>
  <c r="CE104" i="17" s="1"/>
  <c r="Y104" i="17"/>
  <c r="DR101" i="17"/>
  <c r="R101" i="17"/>
  <c r="DS101" i="17" s="1"/>
  <c r="BB80" i="17"/>
  <c r="DR79" i="17"/>
  <c r="R79" i="17"/>
  <c r="Y79" i="17" s="1"/>
  <c r="CO50" i="17"/>
  <c r="CP50" i="17" s="1"/>
  <c r="CQ50" i="17"/>
  <c r="CG26" i="17"/>
  <c r="CD26" i="17"/>
  <c r="CE26" i="17" s="1"/>
  <c r="BA12" i="17"/>
  <c r="DM8" i="17"/>
  <c r="DN8" i="17" s="1"/>
  <c r="DO8" i="17" s="1"/>
  <c r="CG160" i="17"/>
  <c r="CP153" i="17"/>
  <c r="DM147" i="17"/>
  <c r="DN147" i="17" s="1"/>
  <c r="DP147" i="17" s="1"/>
  <c r="CE144" i="17"/>
  <c r="DS142" i="17"/>
  <c r="Y130" i="17"/>
  <c r="CG121" i="17"/>
  <c r="DR119" i="17"/>
  <c r="R119" i="17"/>
  <c r="DS119" i="17" s="1"/>
  <c r="DR89" i="17"/>
  <c r="AT89" i="17"/>
  <c r="DS89" i="17" s="1"/>
  <c r="CD88" i="17"/>
  <c r="CE88" i="17" s="1"/>
  <c r="CG88" i="17"/>
  <c r="R83" i="17"/>
  <c r="DS83" i="17" s="1"/>
  <c r="DR83" i="17"/>
  <c r="CD67" i="17"/>
  <c r="CF67" i="17" s="1"/>
  <c r="CG67" i="17"/>
  <c r="CG65" i="17"/>
  <c r="CD65" i="17"/>
  <c r="CF65" i="17" s="1"/>
  <c r="BB51" i="17"/>
  <c r="BA51" i="17"/>
  <c r="CE39" i="17"/>
  <c r="CF28" i="17"/>
  <c r="CE28" i="17"/>
  <c r="BA308" i="17"/>
  <c r="BA300" i="17"/>
  <c r="CP297" i="17"/>
  <c r="DR285" i="17"/>
  <c r="CG278" i="17"/>
  <c r="CG268" i="17"/>
  <c r="CP266" i="17"/>
  <c r="DR242" i="17"/>
  <c r="CQ237" i="17"/>
  <c r="CO237" i="17"/>
  <c r="CP237" i="17" s="1"/>
  <c r="BA219" i="17"/>
  <c r="CP214" i="17"/>
  <c r="BV169" i="17"/>
  <c r="DS169" i="17" s="1"/>
  <c r="CQ161" i="17"/>
  <c r="CO161" i="17"/>
  <c r="CP161" i="17" s="1"/>
  <c r="CG150" i="17"/>
  <c r="CG144" i="17"/>
  <c r="BA136" i="17"/>
  <c r="CQ126" i="17"/>
  <c r="DM125" i="17"/>
  <c r="DN125" i="17" s="1"/>
  <c r="CE120" i="17"/>
  <c r="DM112" i="17"/>
  <c r="DN112" i="17" s="1"/>
  <c r="DP112" i="17" s="1"/>
  <c r="R51" i="17"/>
  <c r="Y51" i="17" s="1"/>
  <c r="R49" i="17"/>
  <c r="Y49" i="17" s="1"/>
  <c r="DR49" i="17"/>
  <c r="R42" i="17"/>
  <c r="DL42" i="17" s="1"/>
  <c r="DR42" i="17"/>
  <c r="CD35" i="17"/>
  <c r="CF35" i="17" s="1"/>
  <c r="CG35" i="17"/>
  <c r="CO34" i="17"/>
  <c r="CP34" i="17" s="1"/>
  <c r="CQ34" i="17"/>
  <c r="DM19" i="17"/>
  <c r="DN19" i="17" s="1"/>
  <c r="DM18" i="17"/>
  <c r="DN18" i="17" s="1"/>
  <c r="DO18" i="17" s="1"/>
  <c r="DP18" i="17" s="1"/>
  <c r="BA244" i="17"/>
  <c r="CG215" i="17"/>
  <c r="CG210" i="17"/>
  <c r="CQ202" i="17"/>
  <c r="BA201" i="17"/>
  <c r="BA198" i="17"/>
  <c r="BA182" i="17"/>
  <c r="CQ173" i="17"/>
  <c r="BA164" i="17"/>
  <c r="CG162" i="17"/>
  <c r="CE149" i="17"/>
  <c r="CG143" i="17"/>
  <c r="CG142" i="17"/>
  <c r="CO130" i="17"/>
  <c r="CP130" i="17" s="1"/>
  <c r="CQ130" i="17"/>
  <c r="CQ120" i="17"/>
  <c r="DM99" i="17"/>
  <c r="DN99" i="17" s="1"/>
  <c r="DR97" i="17"/>
  <c r="AT97" i="17"/>
  <c r="DL97" i="17" s="1"/>
  <c r="DM96" i="17"/>
  <c r="DN96" i="17" s="1"/>
  <c r="DO96" i="17" s="1"/>
  <c r="DM95" i="17"/>
  <c r="DN95" i="17" s="1"/>
  <c r="DP95" i="17" s="1"/>
  <c r="DL94" i="17"/>
  <c r="CE90" i="17"/>
  <c r="BA88" i="17"/>
  <c r="DS68" i="17"/>
  <c r="CE50" i="17"/>
  <c r="CF50" i="17"/>
  <c r="DM40" i="17"/>
  <c r="DN40" i="17" s="1"/>
  <c r="DO40" i="17" s="1"/>
  <c r="DP40" i="17" s="1"/>
  <c r="CG40" i="17"/>
  <c r="DL40" i="17"/>
  <c r="BA11" i="17"/>
  <c r="BB11" i="17"/>
  <c r="Y220" i="17"/>
  <c r="BA205" i="17"/>
  <c r="CG201" i="17"/>
  <c r="BA197" i="17"/>
  <c r="CQ194" i="17"/>
  <c r="CQ193" i="17"/>
  <c r="DL187" i="17"/>
  <c r="CQ185" i="17"/>
  <c r="CG185" i="17"/>
  <c r="CQ170" i="17"/>
  <c r="BA166" i="17"/>
  <c r="CP151" i="17"/>
  <c r="CP148" i="17"/>
  <c r="CQ142" i="17"/>
  <c r="DR142" i="17"/>
  <c r="BA131" i="17"/>
  <c r="CP125" i="17"/>
  <c r="BA116" i="17"/>
  <c r="CP93" i="17"/>
  <c r="CP90" i="17"/>
  <c r="DR82" i="17"/>
  <c r="R82" i="17"/>
  <c r="Y82" i="17" s="1"/>
  <c r="DM64" i="17"/>
  <c r="DN64" i="17" s="1"/>
  <c r="DP64" i="17" s="1"/>
  <c r="DM61" i="17"/>
  <c r="DN61" i="17" s="1"/>
  <c r="CO43" i="17"/>
  <c r="CP43" i="17" s="1"/>
  <c r="CQ43" i="17"/>
  <c r="Z31" i="17"/>
  <c r="Y31" i="17"/>
  <c r="CG19" i="17"/>
  <c r="CE141" i="17"/>
  <c r="CG130" i="17"/>
  <c r="CQ124" i="17"/>
  <c r="CQ116" i="17"/>
  <c r="CQ111" i="17"/>
  <c r="BA106" i="17"/>
  <c r="CO99" i="17"/>
  <c r="CP99" i="17" s="1"/>
  <c r="CQ99" i="17"/>
  <c r="CQ52" i="17"/>
  <c r="CO52" i="17"/>
  <c r="CP52" i="17" s="1"/>
  <c r="CD51" i="17"/>
  <c r="CE51" i="17" s="1"/>
  <c r="CG51" i="17"/>
  <c r="CQ27" i="17"/>
  <c r="DM23" i="17"/>
  <c r="DN23" i="17" s="1"/>
  <c r="DR22" i="17"/>
  <c r="R22" i="17"/>
  <c r="DS22" i="17" s="1"/>
  <c r="DS9" i="17"/>
  <c r="BA9" i="17"/>
  <c r="CE103" i="17"/>
  <c r="BA99" i="17"/>
  <c r="DM87" i="17"/>
  <c r="DN87" i="17" s="1"/>
  <c r="DO87" i="17" s="1"/>
  <c r="BA79" i="17"/>
  <c r="DM67" i="17"/>
  <c r="DN67" i="17" s="1"/>
  <c r="DO67" i="17" s="1"/>
  <c r="DM63" i="17"/>
  <c r="DN63" i="17" s="1"/>
  <c r="BA60" i="17"/>
  <c r="Y58" i="17"/>
  <c r="CD47" i="17"/>
  <c r="CG47" i="17"/>
  <c r="CE46" i="17"/>
  <c r="DM45" i="17"/>
  <c r="DN45" i="17" s="1"/>
  <c r="DO45" i="17" s="1"/>
  <c r="DP45" i="17" s="1"/>
  <c r="CQ18" i="17"/>
  <c r="CP15" i="17"/>
  <c r="DR113" i="17"/>
  <c r="CP109" i="17"/>
  <c r="Y107" i="17"/>
  <c r="DS106" i="17"/>
  <c r="CP98" i="17"/>
  <c r="CG97" i="17"/>
  <c r="DR88" i="17"/>
  <c r="Y80" i="17"/>
  <c r="CG78" i="17"/>
  <c r="R69" i="17"/>
  <c r="DL69" i="17" s="1"/>
  <c r="DR69" i="17"/>
  <c r="DM46" i="17"/>
  <c r="DN46" i="17" s="1"/>
  <c r="DO46" i="17" s="1"/>
  <c r="DP46" i="17" s="1"/>
  <c r="BA39" i="17"/>
  <c r="DR25" i="17"/>
  <c r="AT25" i="17"/>
  <c r="DS25" i="17" s="1"/>
  <c r="CQ19" i="17"/>
  <c r="CG16" i="17"/>
  <c r="DL9" i="17"/>
  <c r="CG116" i="17"/>
  <c r="CG61" i="17"/>
  <c r="CP54" i="17"/>
  <c r="DR39" i="17"/>
  <c r="CG36" i="17"/>
  <c r="CD36" i="17"/>
  <c r="DR16" i="17"/>
  <c r="DM12" i="17"/>
  <c r="DN12" i="17" s="1"/>
  <c r="CE12" i="17"/>
  <c r="CG8" i="17"/>
  <c r="Y103" i="17"/>
  <c r="CE96" i="17"/>
  <c r="CQ85" i="17"/>
  <c r="BA81" i="17"/>
  <c r="CQ78" i="17"/>
  <c r="BA78" i="17"/>
  <c r="CO66" i="17"/>
  <c r="CP66" i="17" s="1"/>
  <c r="CQ66" i="17"/>
  <c r="CQ63" i="17"/>
  <c r="CP62" i="17"/>
  <c r="CQ55" i="17"/>
  <c r="CQ36" i="17"/>
  <c r="CO36" i="17"/>
  <c r="CP36" i="17" s="1"/>
  <c r="Y34" i="17"/>
  <c r="CO30" i="17"/>
  <c r="CP30" i="17" s="1"/>
  <c r="CQ30" i="17"/>
  <c r="DR26" i="17"/>
  <c r="DM25" i="17"/>
  <c r="DN25" i="17" s="1"/>
  <c r="CP18" i="17"/>
  <c r="DM16" i="17"/>
  <c r="DN16" i="17" s="1"/>
  <c r="DO16" i="17" s="1"/>
  <c r="AT10" i="17"/>
  <c r="BA10" i="17" s="1"/>
  <c r="DR10" i="17"/>
  <c r="CP9" i="17"/>
  <c r="BA113" i="17"/>
  <c r="DS104" i="17"/>
  <c r="Y86" i="17"/>
  <c r="CP33" i="17"/>
  <c r="R26" i="17"/>
  <c r="Y26" i="17" s="1"/>
  <c r="Y74" i="17"/>
  <c r="CG71" i="17"/>
  <c r="DL68" i="17"/>
  <c r="CG64" i="17"/>
  <c r="DR50" i="17"/>
  <c r="CE44" i="17"/>
  <c r="DR18" i="17"/>
  <c r="CP58" i="17"/>
  <c r="DR54" i="17"/>
  <c r="R50" i="17"/>
  <c r="Y50" i="17" s="1"/>
  <c r="CG48" i="17"/>
  <c r="CQ47" i="17"/>
  <c r="CG43" i="17"/>
  <c r="BA40" i="17"/>
  <c r="DR33" i="17"/>
  <c r="CG30" i="17"/>
  <c r="BA26" i="17"/>
  <c r="R18" i="17"/>
  <c r="Y18" i="17" s="1"/>
  <c r="CG13" i="17"/>
  <c r="DM9" i="17"/>
  <c r="DN9" i="17" s="1"/>
  <c r="DO9" i="17" s="1"/>
  <c r="DP9" i="17" s="1"/>
  <c r="CG9" i="17"/>
  <c r="BA77" i="17"/>
  <c r="CE68" i="17"/>
  <c r="BA57" i="17"/>
  <c r="CE30" i="17"/>
  <c r="DL21" i="17"/>
  <c r="CQ13" i="17"/>
  <c r="CE9" i="17"/>
  <c r="CG5" i="17"/>
  <c r="CP538" i="17"/>
  <c r="CQ538" i="17"/>
  <c r="DL485" i="17"/>
  <c r="CE464" i="17"/>
  <c r="CF464" i="17"/>
  <c r="DL499" i="17"/>
  <c r="DS492" i="17"/>
  <c r="BA487" i="17"/>
  <c r="BB487" i="17"/>
  <c r="CP450" i="17"/>
  <c r="DS450" i="17"/>
  <c r="CQ450" i="17"/>
  <c r="CQ289" i="17"/>
  <c r="DS289" i="17"/>
  <c r="CP530" i="17"/>
  <c r="CQ530" i="17"/>
  <c r="CP508" i="17"/>
  <c r="CQ508" i="17"/>
  <c r="BA504" i="17"/>
  <c r="BB504" i="17"/>
  <c r="DL500" i="17"/>
  <c r="DS483" i="17"/>
  <c r="DL483" i="17"/>
  <c r="BA439" i="17"/>
  <c r="BB439" i="17"/>
  <c r="BB532" i="17"/>
  <c r="BA532" i="17"/>
  <c r="Z488" i="17"/>
  <c r="BA518" i="17"/>
  <c r="BB518" i="17"/>
  <c r="CQ493" i="17"/>
  <c r="CP493" i="17"/>
  <c r="CF537" i="17"/>
  <c r="CE537" i="17"/>
  <c r="CP524" i="17"/>
  <c r="CQ524" i="17"/>
  <c r="DS522" i="17"/>
  <c r="DL522" i="17"/>
  <c r="BB496" i="17"/>
  <c r="BA496" i="17"/>
  <c r="CP485" i="17"/>
  <c r="CQ485" i="17"/>
  <c r="Z444" i="17"/>
  <c r="DS505" i="17"/>
  <c r="DL505" i="17"/>
  <c r="DL449" i="17"/>
  <c r="Z536" i="17"/>
  <c r="DS499" i="17"/>
  <c r="DL477" i="17"/>
  <c r="DS476" i="17"/>
  <c r="CG476" i="17"/>
  <c r="DL476" i="17"/>
  <c r="DS471" i="17"/>
  <c r="DL471" i="17"/>
  <c r="CP467" i="17"/>
  <c r="CP457" i="17"/>
  <c r="Z430" i="17"/>
  <c r="BB541" i="17"/>
  <c r="BA541" i="17"/>
  <c r="BA527" i="17"/>
  <c r="BB527" i="17"/>
  <c r="CP501" i="17"/>
  <c r="CQ501" i="17"/>
  <c r="CQ477" i="17"/>
  <c r="CP477" i="17"/>
  <c r="CG435" i="17"/>
  <c r="DL435" i="17"/>
  <c r="DS435" i="17"/>
  <c r="BA471" i="17"/>
  <c r="BB471" i="17"/>
  <c r="DS454" i="17"/>
  <c r="DL454" i="17"/>
  <c r="DS500" i="17"/>
  <c r="DL530" i="17"/>
  <c r="DS530" i="17"/>
  <c r="CG530" i="17"/>
  <c r="CE505" i="17"/>
  <c r="CF505" i="17"/>
  <c r="DS475" i="17"/>
  <c r="BB461" i="17"/>
  <c r="BA461" i="17"/>
  <c r="Z408" i="17"/>
  <c r="Y408" i="17"/>
  <c r="CD499" i="17"/>
  <c r="CE499" i="17" s="1"/>
  <c r="CG499" i="17"/>
  <c r="CI472" i="17"/>
  <c r="Y454" i="17"/>
  <c r="CP449" i="17"/>
  <c r="BA410" i="17"/>
  <c r="BB410" i="17"/>
  <c r="DS388" i="17"/>
  <c r="DL388" i="17"/>
  <c r="Z385" i="17"/>
  <c r="T529" i="17"/>
  <c r="CD522" i="17"/>
  <c r="CG522" i="17"/>
  <c r="CO505" i="17"/>
  <c r="CP505" i="17" s="1"/>
  <c r="CQ505" i="17"/>
  <c r="O442" i="17"/>
  <c r="R433" i="17"/>
  <c r="Y433" i="17" s="1"/>
  <c r="AT421" i="17"/>
  <c r="DS421" i="17" s="1"/>
  <c r="Y411" i="17"/>
  <c r="Z411" i="17"/>
  <c r="DR404" i="17"/>
  <c r="R404" i="17"/>
  <c r="Y404" i="17" s="1"/>
  <c r="BA402" i="17"/>
  <c r="BB402" i="17"/>
  <c r="CD382" i="17"/>
  <c r="CG382" i="17"/>
  <c r="Y350" i="17"/>
  <c r="Z350" i="17"/>
  <c r="Z346" i="17"/>
  <c r="Y346" i="17"/>
  <c r="Z316" i="17"/>
  <c r="DS225" i="17"/>
  <c r="DL225" i="17"/>
  <c r="CG225" i="17"/>
  <c r="DR223" i="17"/>
  <c r="R223" i="17"/>
  <c r="Y223" i="17" s="1"/>
  <c r="DR538" i="17"/>
  <c r="DR536" i="17"/>
  <c r="R536" i="17"/>
  <c r="Y536" i="17" s="1"/>
  <c r="R514" i="17"/>
  <c r="Y514" i="17" s="1"/>
  <c r="Z512" i="17"/>
  <c r="CG459" i="17"/>
  <c r="CQ458" i="17"/>
  <c r="Z441" i="17"/>
  <c r="CP436" i="17"/>
  <c r="BA431" i="17"/>
  <c r="BB431" i="17"/>
  <c r="CG423" i="17"/>
  <c r="DL406" i="17"/>
  <c r="BA404" i="17"/>
  <c r="BB404" i="17"/>
  <c r="Z282" i="17"/>
  <c r="CO112" i="17"/>
  <c r="CP112" i="17" s="1"/>
  <c r="CQ112" i="17"/>
  <c r="BA538" i="17"/>
  <c r="BB538" i="17"/>
  <c r="CE528" i="17"/>
  <c r="CF528" i="17"/>
  <c r="DR527" i="17"/>
  <c r="DR506" i="17"/>
  <c r="CG503" i="17"/>
  <c r="CQ502" i="17"/>
  <c r="CO498" i="17"/>
  <c r="CP498" i="17" s="1"/>
  <c r="CQ498" i="17"/>
  <c r="R497" i="17"/>
  <c r="Y497" i="17" s="1"/>
  <c r="BV484" i="17"/>
  <c r="CG484" i="17" s="1"/>
  <c r="DR477" i="17"/>
  <c r="CQ475" i="17"/>
  <c r="Z470" i="17"/>
  <c r="CG467" i="17"/>
  <c r="AT456" i="17"/>
  <c r="DL456" i="17" s="1"/>
  <c r="CG452" i="17"/>
  <c r="CQ451" i="17"/>
  <c r="R447" i="17"/>
  <c r="Y447" i="17" s="1"/>
  <c r="CQ437" i="17"/>
  <c r="DS425" i="17"/>
  <c r="DL414" i="17"/>
  <c r="DS406" i="17"/>
  <c r="BB396" i="17"/>
  <c r="BA396" i="17"/>
  <c r="BV375" i="17"/>
  <c r="DL375" i="17" s="1"/>
  <c r="Y364" i="17"/>
  <c r="Z364" i="17"/>
  <c r="Z339" i="17"/>
  <c r="DR331" i="17"/>
  <c r="R331" i="17"/>
  <c r="Y331" i="17" s="1"/>
  <c r="CE283" i="17"/>
  <c r="CF283" i="17"/>
  <c r="CD248" i="17"/>
  <c r="CG248" i="17"/>
  <c r="DO539" i="17"/>
  <c r="DP539" i="17"/>
  <c r="DL534" i="17"/>
  <c r="CP531" i="17"/>
  <c r="R527" i="17"/>
  <c r="Y527" i="17" s="1"/>
  <c r="BA521" i="17"/>
  <c r="BB521" i="17"/>
  <c r="R521" i="17"/>
  <c r="Y521" i="17" s="1"/>
  <c r="Y515" i="17"/>
  <c r="Y513" i="17"/>
  <c r="CP512" i="17"/>
  <c r="DR512" i="17"/>
  <c r="CE509" i="17"/>
  <c r="R506" i="17"/>
  <c r="DR498" i="17"/>
  <c r="BA497" i="17"/>
  <c r="BB497" i="17"/>
  <c r="DR496" i="17"/>
  <c r="R496" i="17"/>
  <c r="Y496" i="17" s="1"/>
  <c r="DS493" i="17"/>
  <c r="DR492" i="17"/>
  <c r="CP491" i="17"/>
  <c r="DS485" i="17"/>
  <c r="CP483" i="17"/>
  <c r="Z481" i="17"/>
  <c r="CO474" i="17"/>
  <c r="CP474" i="17" s="1"/>
  <c r="CQ474" i="17"/>
  <c r="BA474" i="17"/>
  <c r="BB474" i="17"/>
  <c r="R474" i="17"/>
  <c r="Y474" i="17" s="1"/>
  <c r="BA473" i="17"/>
  <c r="BB473" i="17"/>
  <c r="AV472" i="17"/>
  <c r="AT472" i="17" s="1"/>
  <c r="W472" i="17"/>
  <c r="X472" i="17" s="1"/>
  <c r="CE469" i="17"/>
  <c r="CE468" i="17"/>
  <c r="CP466" i="17"/>
  <c r="Z461" i="17"/>
  <c r="CE459" i="17"/>
  <c r="CE458" i="17"/>
  <c r="CP456" i="17"/>
  <c r="DS449" i="17"/>
  <c r="CP441" i="17"/>
  <c r="DR441" i="17"/>
  <c r="CE440" i="17"/>
  <c r="CF440" i="17"/>
  <c r="Z438" i="17"/>
  <c r="CE437" i="17"/>
  <c r="BB434" i="17"/>
  <c r="CO432" i="17"/>
  <c r="CP432" i="17" s="1"/>
  <c r="CQ432" i="17"/>
  <c r="BA432" i="17"/>
  <c r="BB432" i="17"/>
  <c r="CG429" i="17"/>
  <c r="CQ428" i="17"/>
  <c r="BA424" i="17"/>
  <c r="BB424" i="17"/>
  <c r="DS424" i="17"/>
  <c r="DL424" i="17"/>
  <c r="CE423" i="17"/>
  <c r="DR422" i="17"/>
  <c r="CP415" i="17"/>
  <c r="AT415" i="17"/>
  <c r="DS415" i="17" s="1"/>
  <c r="DR415" i="17"/>
  <c r="DS414" i="17"/>
  <c r="BB409" i="17"/>
  <c r="BA409" i="17"/>
  <c r="DR406" i="17"/>
  <c r="CP399" i="17"/>
  <c r="AT399" i="17"/>
  <c r="DS399" i="17" s="1"/>
  <c r="DR399" i="17"/>
  <c r="BW398" i="17"/>
  <c r="BX398" i="17" s="1"/>
  <c r="AY398" i="17"/>
  <c r="AZ398" i="17" s="1"/>
  <c r="DM396" i="17"/>
  <c r="DN396" i="17" s="1"/>
  <c r="DL384" i="17"/>
  <c r="DS384" i="17"/>
  <c r="BA377" i="17"/>
  <c r="DS376" i="17"/>
  <c r="BA373" i="17"/>
  <c r="BB373" i="17"/>
  <c r="DR373" i="17"/>
  <c r="R373" i="17"/>
  <c r="Y373" i="17" s="1"/>
  <c r="CO365" i="17"/>
  <c r="CP365" i="17" s="1"/>
  <c r="CQ365" i="17"/>
  <c r="BA365" i="17"/>
  <c r="BB365" i="17"/>
  <c r="DS356" i="17"/>
  <c r="DL356" i="17"/>
  <c r="Y352" i="17"/>
  <c r="Z352" i="17"/>
  <c r="Z348" i="17"/>
  <c r="BA338" i="17"/>
  <c r="BB338" i="17"/>
  <c r="BA335" i="17"/>
  <c r="BB335" i="17"/>
  <c r="BB331" i="17"/>
  <c r="BA331" i="17"/>
  <c r="CE329" i="17"/>
  <c r="CF329" i="17"/>
  <c r="BA317" i="17"/>
  <c r="BB317" i="17"/>
  <c r="CD311" i="17"/>
  <c r="CG311" i="17"/>
  <c r="DR301" i="17"/>
  <c r="R301" i="17"/>
  <c r="Y301" i="17" s="1"/>
  <c r="CQ285" i="17"/>
  <c r="CO285" i="17"/>
  <c r="CP285" i="17" s="1"/>
  <c r="DS285" i="17"/>
  <c r="DL285" i="17"/>
  <c r="BB276" i="17"/>
  <c r="CG249" i="17"/>
  <c r="CQ229" i="17"/>
  <c r="CO229" i="17"/>
  <c r="CP229" i="17" s="1"/>
  <c r="BV226" i="17"/>
  <c r="CG226" i="17" s="1"/>
  <c r="DR226" i="17"/>
  <c r="DS513" i="17"/>
  <c r="DR511" i="17"/>
  <c r="R511" i="17"/>
  <c r="Y511" i="17" s="1"/>
  <c r="Z497" i="17"/>
  <c r="BA483" i="17"/>
  <c r="CE477" i="17"/>
  <c r="CQ455" i="17"/>
  <c r="Z445" i="17"/>
  <c r="CO440" i="17"/>
  <c r="CP440" i="17" s="1"/>
  <c r="CQ440" i="17"/>
  <c r="DM393" i="17"/>
  <c r="DN393" i="17" s="1"/>
  <c r="CQ328" i="17"/>
  <c r="CP328" i="17"/>
  <c r="CP281" i="17"/>
  <c r="CQ281" i="17"/>
  <c r="BA268" i="17"/>
  <c r="BB268" i="17"/>
  <c r="Z204" i="17"/>
  <c r="CE539" i="17"/>
  <c r="DR530" i="17"/>
  <c r="BV524" i="17"/>
  <c r="CE524" i="17" s="1"/>
  <c r="BV523" i="17"/>
  <c r="CE523" i="17" s="1"/>
  <c r="BA514" i="17"/>
  <c r="BV508" i="17"/>
  <c r="CE508" i="17" s="1"/>
  <c r="CP484" i="17"/>
  <c r="DR480" i="17"/>
  <c r="R480" i="17"/>
  <c r="CO464" i="17"/>
  <c r="CP464" i="17" s="1"/>
  <c r="CQ464" i="17"/>
  <c r="DM392" i="17"/>
  <c r="DN392" i="17" s="1"/>
  <c r="CO341" i="17"/>
  <c r="CP341" i="17" s="1"/>
  <c r="CQ341" i="17"/>
  <c r="AT539" i="17"/>
  <c r="DS539" i="17" s="1"/>
  <c r="AV529" i="17"/>
  <c r="AT529" i="17" s="1"/>
  <c r="BA529" i="17" s="1"/>
  <c r="Z526" i="17"/>
  <c r="AT515" i="17"/>
  <c r="DL515" i="17" s="1"/>
  <c r="CE493" i="17"/>
  <c r="CE485" i="17"/>
  <c r="DR476" i="17"/>
  <c r="DR446" i="17"/>
  <c r="R446" i="17"/>
  <c r="Y446" i="17" s="1"/>
  <c r="DR420" i="17"/>
  <c r="R420" i="17"/>
  <c r="Y420" i="17" s="1"/>
  <c r="Y419" i="17"/>
  <c r="Z419" i="17"/>
  <c r="Y403" i="17"/>
  <c r="Z403" i="17"/>
  <c r="BV392" i="17"/>
  <c r="CE392" i="17" s="1"/>
  <c r="DS383" i="17"/>
  <c r="CE345" i="17"/>
  <c r="CG345" i="17"/>
  <c r="DS328" i="17"/>
  <c r="CQ309" i="17"/>
  <c r="CO309" i="17"/>
  <c r="CP309" i="17" s="1"/>
  <c r="DR293" i="17"/>
  <c r="R293" i="17"/>
  <c r="Y293" i="17" s="1"/>
  <c r="BA225" i="17"/>
  <c r="BB225" i="17"/>
  <c r="CG502" i="17"/>
  <c r="CE500" i="17"/>
  <c r="R473" i="17"/>
  <c r="Y473" i="17" s="1"/>
  <c r="DR471" i="17"/>
  <c r="CP468" i="17"/>
  <c r="AT466" i="17"/>
  <c r="DL466" i="17" s="1"/>
  <c r="R465" i="17"/>
  <c r="CG460" i="17"/>
  <c r="CG457" i="17"/>
  <c r="DL450" i="17"/>
  <c r="BA449" i="17"/>
  <c r="BB449" i="17"/>
  <c r="CO447" i="17"/>
  <c r="CP447" i="17" s="1"/>
  <c r="CQ447" i="17"/>
  <c r="Z439" i="17"/>
  <c r="BA380" i="17"/>
  <c r="BB380" i="17"/>
  <c r="Z370" i="17"/>
  <c r="Y370" i="17"/>
  <c r="DS365" i="17"/>
  <c r="DL365" i="17"/>
  <c r="CG301" i="17"/>
  <c r="CD301" i="17"/>
  <c r="Y539" i="17"/>
  <c r="DO538" i="17"/>
  <c r="DP538" i="17"/>
  <c r="CE534" i="17"/>
  <c r="DS533" i="17"/>
  <c r="CG532" i="17"/>
  <c r="DR541" i="17"/>
  <c r="R541" i="17"/>
  <c r="Y541" i="17" s="1"/>
  <c r="CO536" i="17"/>
  <c r="CP536" i="17" s="1"/>
  <c r="CD536" i="17"/>
  <c r="Y533" i="17"/>
  <c r="BX529" i="17"/>
  <c r="BV529" i="17" s="1"/>
  <c r="CG529" i="17" s="1"/>
  <c r="BA526" i="17"/>
  <c r="DR526" i="17"/>
  <c r="R526" i="17"/>
  <c r="BA522" i="17"/>
  <c r="DR522" i="17"/>
  <c r="CE520" i="17"/>
  <c r="CO519" i="17"/>
  <c r="CP519" i="17" s="1"/>
  <c r="CD519" i="17"/>
  <c r="CD514" i="17"/>
  <c r="CG514" i="17"/>
  <c r="DL513" i="17"/>
  <c r="CQ512" i="17"/>
  <c r="R512" i="17"/>
  <c r="DS510" i="17"/>
  <c r="DL510" i="17"/>
  <c r="Y505" i="17"/>
  <c r="CP500" i="17"/>
  <c r="BA499" i="17"/>
  <c r="DR499" i="17"/>
  <c r="BA498" i="17"/>
  <c r="R498" i="17"/>
  <c r="Y498" i="17" s="1"/>
  <c r="Y495" i="17"/>
  <c r="DR493" i="17"/>
  <c r="BA492" i="17"/>
  <c r="CO490" i="17"/>
  <c r="CP490" i="17" s="1"/>
  <c r="CQ490" i="17"/>
  <c r="BA490" i="17"/>
  <c r="BB490" i="17"/>
  <c r="DR490" i="17"/>
  <c r="DR485" i="17"/>
  <c r="BA484" i="17"/>
  <c r="CQ483" i="17"/>
  <c r="CG479" i="17"/>
  <c r="CQ478" i="17"/>
  <c r="CE476" i="17"/>
  <c r="BA475" i="17"/>
  <c r="DR475" i="17"/>
  <c r="BX472" i="17"/>
  <c r="BV472" i="17" s="1"/>
  <c r="AY472" i="17"/>
  <c r="AZ472" i="17" s="1"/>
  <c r="CC472" i="17"/>
  <c r="BA470" i="17"/>
  <c r="CE467" i="17"/>
  <c r="CD465" i="17"/>
  <c r="CG465" i="17"/>
  <c r="CO463" i="17"/>
  <c r="CP463" i="17" s="1"/>
  <c r="R462" i="17"/>
  <c r="Y462" i="17" s="1"/>
  <c r="CE457" i="17"/>
  <c r="CD455" i="17"/>
  <c r="CG455" i="17"/>
  <c r="BA453" i="17"/>
  <c r="CE450" i="17"/>
  <c r="CF450" i="17"/>
  <c r="DM449" i="17"/>
  <c r="DN449" i="17" s="1"/>
  <c r="DR449" i="17"/>
  <c r="CD448" i="17"/>
  <c r="CE448" i="17" s="1"/>
  <c r="CG448" i="17"/>
  <c r="Y448" i="17"/>
  <c r="Z448" i="17"/>
  <c r="CD446" i="17"/>
  <c r="CO445" i="17"/>
  <c r="CP445" i="17" s="1"/>
  <c r="CQ443" i="17"/>
  <c r="CQ441" i="17"/>
  <c r="BA441" i="17"/>
  <c r="R441" i="17"/>
  <c r="Y441" i="17" s="1"/>
  <c r="CG440" i="17"/>
  <c r="DR439" i="17"/>
  <c r="R439" i="17"/>
  <c r="DS437" i="17"/>
  <c r="DR435" i="17"/>
  <c r="CD433" i="17"/>
  <c r="CG433" i="17"/>
  <c r="CD431" i="17"/>
  <c r="DS426" i="17"/>
  <c r="DL426" i="17"/>
  <c r="CD425" i="17"/>
  <c r="CP423" i="17"/>
  <c r="Z423" i="17"/>
  <c r="BB417" i="17"/>
  <c r="BA417" i="17"/>
  <c r="DR414" i="17"/>
  <c r="CP408" i="17"/>
  <c r="BB401" i="17"/>
  <c r="BA401" i="17"/>
  <c r="Z387" i="17"/>
  <c r="DR376" i="17"/>
  <c r="Y376" i="17"/>
  <c r="CO373" i="17"/>
  <c r="CP373" i="17" s="1"/>
  <c r="CQ373" i="17"/>
  <c r="BA363" i="17"/>
  <c r="DR363" i="17"/>
  <c r="R363" i="17"/>
  <c r="Y363" i="17" s="1"/>
  <c r="BA326" i="17"/>
  <c r="BB291" i="17"/>
  <c r="DR289" i="17"/>
  <c r="BA285" i="17"/>
  <c r="BB285" i="17"/>
  <c r="DS448" i="17"/>
  <c r="AV442" i="17"/>
  <c r="AT442" i="17" s="1"/>
  <c r="BA442" i="17" s="1"/>
  <c r="T442" i="17"/>
  <c r="BA440" i="17"/>
  <c r="BB440" i="17"/>
  <c r="BA433" i="17"/>
  <c r="Z420" i="17"/>
  <c r="CQ340" i="17"/>
  <c r="CO340" i="17"/>
  <c r="CP340" i="17" s="1"/>
  <c r="CG339" i="17"/>
  <c r="CD339" i="17"/>
  <c r="CQ324" i="17"/>
  <c r="CO324" i="17"/>
  <c r="CP324" i="17" s="1"/>
  <c r="Z269" i="17"/>
  <c r="DS268" i="17"/>
  <c r="DL268" i="17"/>
  <c r="DR257" i="17"/>
  <c r="BV257" i="17"/>
  <c r="CE76" i="17"/>
  <c r="Z527" i="17"/>
  <c r="CE515" i="17"/>
  <c r="CH507" i="17"/>
  <c r="CQ507" i="17" s="1"/>
  <c r="BV501" i="17"/>
  <c r="CE501" i="17" s="1"/>
  <c r="BA500" i="17"/>
  <c r="Z496" i="17"/>
  <c r="CE490" i="17"/>
  <c r="CF490" i="17"/>
  <c r="BA464" i="17"/>
  <c r="BB464" i="17"/>
  <c r="BA418" i="17"/>
  <c r="BB418" i="17"/>
  <c r="DR355" i="17"/>
  <c r="R355" i="17"/>
  <c r="Y355" i="17" s="1"/>
  <c r="R340" i="17"/>
  <c r="Y340" i="17" s="1"/>
  <c r="DR333" i="17"/>
  <c r="R333" i="17"/>
  <c r="Y333" i="17" s="1"/>
  <c r="CQ241" i="17"/>
  <c r="DS241" i="17"/>
  <c r="DL241" i="17"/>
  <c r="DM217" i="17"/>
  <c r="DN217" i="17" s="1"/>
  <c r="Y197" i="17"/>
  <c r="Z197" i="17"/>
  <c r="Z541" i="17"/>
  <c r="DP523" i="17"/>
  <c r="DR488" i="17"/>
  <c r="R488" i="17"/>
  <c r="CP475" i="17"/>
  <c r="R463" i="17"/>
  <c r="Y463" i="17" s="1"/>
  <c r="DM421" i="17"/>
  <c r="DN421" i="17" s="1"/>
  <c r="BA344" i="17"/>
  <c r="BB344" i="17"/>
  <c r="CO294" i="17"/>
  <c r="CP294" i="17" s="1"/>
  <c r="CQ294" i="17"/>
  <c r="DL281" i="17"/>
  <c r="CG263" i="17"/>
  <c r="CD263" i="17"/>
  <c r="R538" i="17"/>
  <c r="Y538" i="17" s="1"/>
  <c r="CG531" i="17"/>
  <c r="CP515" i="17"/>
  <c r="DP467" i="17"/>
  <c r="DR454" i="17"/>
  <c r="CG451" i="17"/>
  <c r="R432" i="17"/>
  <c r="Y432" i="17" s="1"/>
  <c r="DL422" i="17"/>
  <c r="BA420" i="17"/>
  <c r="BB420" i="17"/>
  <c r="CP407" i="17"/>
  <c r="DM394" i="17"/>
  <c r="DN394" i="17" s="1"/>
  <c r="DO394" i="17" s="1"/>
  <c r="DP394" i="17" s="1"/>
  <c r="CG372" i="17"/>
  <c r="CD372" i="17"/>
  <c r="CQ368" i="17"/>
  <c r="CP368" i="17"/>
  <c r="Z363" i="17"/>
  <c r="Y360" i="17"/>
  <c r="CE337" i="17"/>
  <c r="CG337" i="17"/>
  <c r="CG328" i="17"/>
  <c r="DL328" i="17"/>
  <c r="DS317" i="17"/>
  <c r="DL317" i="17"/>
  <c r="CQ276" i="17"/>
  <c r="CO276" i="17"/>
  <c r="CP276" i="17" s="1"/>
  <c r="CG265" i="17"/>
  <c r="DS265" i="17"/>
  <c r="CE227" i="17"/>
  <c r="CG227" i="17"/>
  <c r="DP540" i="17"/>
  <c r="CD538" i="17"/>
  <c r="CG538" i="17"/>
  <c r="CG537" i="17"/>
  <c r="DL531" i="17"/>
  <c r="CE530" i="17"/>
  <c r="DR528" i="17"/>
  <c r="CF526" i="17"/>
  <c r="CP523" i="17"/>
  <c r="Z520" i="17"/>
  <c r="BB517" i="17"/>
  <c r="BA512" i="17"/>
  <c r="BB512" i="17"/>
  <c r="DM506" i="17"/>
  <c r="DN506" i="17" s="1"/>
  <c r="CG505" i="17"/>
  <c r="DL502" i="17"/>
  <c r="Y500" i="17"/>
  <c r="DM499" i="17"/>
  <c r="DN499" i="17" s="1"/>
  <c r="BB495" i="17"/>
  <c r="BB494" i="17"/>
  <c r="DL492" i="17"/>
  <c r="BA491" i="17"/>
  <c r="DR491" i="17"/>
  <c r="DS490" i="17"/>
  <c r="DR489" i="17"/>
  <c r="CG487" i="17"/>
  <c r="BB485" i="17"/>
  <c r="Y483" i="17"/>
  <c r="DR482" i="17"/>
  <c r="DR481" i="17"/>
  <c r="Z480" i="17"/>
  <c r="CF479" i="17"/>
  <c r="CF478" i="17"/>
  <c r="DR470" i="17"/>
  <c r="R470" i="17"/>
  <c r="Y470" i="17" s="1"/>
  <c r="CG464" i="17"/>
  <c r="CE454" i="17"/>
  <c r="DS452" i="17"/>
  <c r="CE449" i="17"/>
  <c r="CG444" i="17"/>
  <c r="DR440" i="17"/>
  <c r="DR434" i="17"/>
  <c r="Z431" i="17"/>
  <c r="CE429" i="17"/>
  <c r="CE428" i="17"/>
  <c r="DR427" i="17"/>
  <c r="CF424" i="17"/>
  <c r="BA419" i="17"/>
  <c r="CP416" i="17"/>
  <c r="CP410" i="17"/>
  <c r="BV408" i="17"/>
  <c r="CE408" i="17" s="1"/>
  <c r="DR408" i="17"/>
  <c r="CG407" i="17"/>
  <c r="CE407" i="17"/>
  <c r="CD406" i="17"/>
  <c r="CE406" i="17" s="1"/>
  <c r="CG406" i="17"/>
  <c r="Y405" i="17"/>
  <c r="BA403" i="17"/>
  <c r="CP400" i="17"/>
  <c r="Y383" i="17"/>
  <c r="BB379" i="17"/>
  <c r="BA379" i="17"/>
  <c r="DR368" i="17"/>
  <c r="CG368" i="17"/>
  <c r="DL368" i="17"/>
  <c r="CG352" i="17"/>
  <c r="DS352" i="17"/>
  <c r="DL344" i="17"/>
  <c r="AT322" i="17"/>
  <c r="DL322" i="17" s="1"/>
  <c r="DR322" i="17"/>
  <c r="DL319" i="17"/>
  <c r="DS319" i="17"/>
  <c r="DR318" i="17"/>
  <c r="R318" i="17"/>
  <c r="Y318" i="17" s="1"/>
  <c r="CP313" i="17"/>
  <c r="CQ313" i="17"/>
  <c r="CG312" i="17"/>
  <c r="DS312" i="17"/>
  <c r="BA286" i="17"/>
  <c r="BB286" i="17"/>
  <c r="CD256" i="17"/>
  <c r="CG256" i="17"/>
  <c r="CG255" i="17"/>
  <c r="CD255" i="17"/>
  <c r="DS254" i="17"/>
  <c r="DL254" i="17"/>
  <c r="BB235" i="17"/>
  <c r="BA235" i="17"/>
  <c r="Z519" i="17"/>
  <c r="DR505" i="17"/>
  <c r="DR500" i="17"/>
  <c r="DR483" i="17"/>
  <c r="CD475" i="17"/>
  <c r="CG475" i="17"/>
  <c r="CE474" i="17"/>
  <c r="CF474" i="17"/>
  <c r="Z473" i="17"/>
  <c r="CQ465" i="17"/>
  <c r="BA448" i="17"/>
  <c r="R431" i="17"/>
  <c r="DR431" i="17"/>
  <c r="DS418" i="17"/>
  <c r="DL418" i="17"/>
  <c r="CE405" i="17"/>
  <c r="CF405" i="17"/>
  <c r="DS402" i="17"/>
  <c r="DL402" i="17"/>
  <c r="AT397" i="17"/>
  <c r="BA397" i="17" s="1"/>
  <c r="DR397" i="17"/>
  <c r="BV367" i="17"/>
  <c r="CG367" i="17" s="1"/>
  <c r="DR367" i="17"/>
  <c r="Y332" i="17"/>
  <c r="Z332" i="17"/>
  <c r="Z330" i="17"/>
  <c r="Y330" i="17"/>
  <c r="CG296" i="17"/>
  <c r="AT288" i="17"/>
  <c r="DL288" i="17" s="1"/>
  <c r="DR288" i="17"/>
  <c r="R537" i="17"/>
  <c r="Y537" i="17" s="1"/>
  <c r="R520" i="17"/>
  <c r="Y520" i="17" s="1"/>
  <c r="BA505" i="17"/>
  <c r="BB505" i="17"/>
  <c r="CP492" i="17"/>
  <c r="Y471" i="17"/>
  <c r="Z471" i="17"/>
  <c r="R464" i="17"/>
  <c r="Y464" i="17" s="1"/>
  <c r="CO454" i="17"/>
  <c r="CP454" i="17" s="1"/>
  <c r="CQ454" i="17"/>
  <c r="CP435" i="17"/>
  <c r="CE421" i="17"/>
  <c r="CF421" i="17"/>
  <c r="CE419" i="17"/>
  <c r="CF419" i="17"/>
  <c r="Y413" i="17"/>
  <c r="DM405" i="17"/>
  <c r="DN405" i="17" s="1"/>
  <c r="Y367" i="17"/>
  <c r="O529" i="17"/>
  <c r="BA520" i="17"/>
  <c r="BB520" i="17"/>
  <c r="CD491" i="17"/>
  <c r="CG491" i="17"/>
  <c r="CG469" i="17"/>
  <c r="DM442" i="17"/>
  <c r="DN442" i="17" s="1"/>
  <c r="CD441" i="17"/>
  <c r="CE441" i="17" s="1"/>
  <c r="CG441" i="17"/>
  <c r="CG437" i="17"/>
  <c r="DM413" i="17"/>
  <c r="DN413" i="17" s="1"/>
  <c r="DR389" i="17"/>
  <c r="R389" i="17"/>
  <c r="Y389" i="17" s="1"/>
  <c r="CQ270" i="17"/>
  <c r="CO270" i="17"/>
  <c r="CP270" i="17" s="1"/>
  <c r="CO108" i="17"/>
  <c r="CP108" i="17" s="1"/>
  <c r="CQ108" i="17"/>
  <c r="BA21" i="17"/>
  <c r="BB21" i="17"/>
  <c r="CP522" i="17"/>
  <c r="CO521" i="17"/>
  <c r="CP521" i="17" s="1"/>
  <c r="CQ521" i="17"/>
  <c r="DR519" i="17"/>
  <c r="R519" i="17"/>
  <c r="CE513" i="17"/>
  <c r="CF513" i="17"/>
  <c r="BA506" i="17"/>
  <c r="CD483" i="17"/>
  <c r="CE483" i="17" s="1"/>
  <c r="CG483" i="17"/>
  <c r="R455" i="17"/>
  <c r="Y455" i="17" s="1"/>
  <c r="DL436" i="17"/>
  <c r="AT413" i="17"/>
  <c r="DL413" i="17" s="1"/>
  <c r="AT407" i="17"/>
  <c r="DS407" i="17" s="1"/>
  <c r="DR407" i="17"/>
  <c r="CG364" i="17"/>
  <c r="CD364" i="17"/>
  <c r="DR328" i="17"/>
  <c r="DM281" i="17"/>
  <c r="DN281" i="17" s="1"/>
  <c r="BV274" i="17"/>
  <c r="CG274" i="17" s="1"/>
  <c r="DR274" i="17"/>
  <c r="DL250" i="17"/>
  <c r="DS250" i="17"/>
  <c r="Z537" i="17"/>
  <c r="CF535" i="17"/>
  <c r="CO541" i="17"/>
  <c r="CP541" i="17" s="1"/>
  <c r="DS540" i="17"/>
  <c r="DL540" i="17"/>
  <c r="CO537" i="17"/>
  <c r="CP537" i="17" s="1"/>
  <c r="DS535" i="17"/>
  <c r="DL535" i="17"/>
  <c r="DS534" i="17"/>
  <c r="CJ529" i="17"/>
  <c r="CH529" i="17" s="1"/>
  <c r="CQ529" i="17" s="1"/>
  <c r="BB529" i="17"/>
  <c r="CO528" i="17"/>
  <c r="CP528" i="17" s="1"/>
  <c r="CQ528" i="17"/>
  <c r="BA528" i="17"/>
  <c r="BB528" i="17"/>
  <c r="R528" i="17"/>
  <c r="Y528" i="17" s="1"/>
  <c r="CG520" i="17"/>
  <c r="CP514" i="17"/>
  <c r="CO513" i="17"/>
  <c r="CP513" i="17" s="1"/>
  <c r="CQ513" i="17"/>
  <c r="BA513" i="17"/>
  <c r="BB513" i="17"/>
  <c r="DR513" i="17"/>
  <c r="CD506" i="17"/>
  <c r="CG506" i="17"/>
  <c r="CO496" i="17"/>
  <c r="CP496" i="17" s="1"/>
  <c r="CD496" i="17"/>
  <c r="CE496" i="17" s="1"/>
  <c r="CE492" i="17"/>
  <c r="R491" i="17"/>
  <c r="Y491" i="17" s="1"/>
  <c r="R489" i="17"/>
  <c r="Y489" i="17" s="1"/>
  <c r="CO482" i="17"/>
  <c r="CP482" i="17" s="1"/>
  <c r="CQ482" i="17"/>
  <c r="BA482" i="17"/>
  <c r="BB482" i="17"/>
  <c r="R482" i="17"/>
  <c r="Y482" i="17" s="1"/>
  <c r="R481" i="17"/>
  <c r="Y481" i="17" s="1"/>
  <c r="CF477" i="17"/>
  <c r="CP476" i="17"/>
  <c r="DM475" i="17"/>
  <c r="DN475" i="17" s="1"/>
  <c r="CD473" i="17"/>
  <c r="CE471" i="17"/>
  <c r="BB466" i="17"/>
  <c r="CP465" i="17"/>
  <c r="DR461" i="17"/>
  <c r="R461" i="17"/>
  <c r="Y461" i="17" s="1"/>
  <c r="CP455" i="17"/>
  <c r="CG454" i="17"/>
  <c r="CD453" i="17"/>
  <c r="DR453" i="17"/>
  <c r="R453" i="17"/>
  <c r="Z449" i="17"/>
  <c r="CP448" i="17"/>
  <c r="DR448" i="17"/>
  <c r="CD447" i="17"/>
  <c r="CE443" i="17"/>
  <c r="CJ442" i="17"/>
  <c r="CH442" i="17" s="1"/>
  <c r="CQ442" i="17" s="1"/>
  <c r="R440" i="17"/>
  <c r="CF435" i="17"/>
  <c r="CE435" i="17"/>
  <c r="DM434" i="17"/>
  <c r="DN434" i="17" s="1"/>
  <c r="DO434" i="17" s="1"/>
  <c r="DP434" i="17" s="1"/>
  <c r="CE434" i="17"/>
  <c r="AT434" i="17"/>
  <c r="DL434" i="17" s="1"/>
  <c r="BB427" i="17"/>
  <c r="BA427" i="17"/>
  <c r="DL427" i="17"/>
  <c r="DR426" i="17"/>
  <c r="BA426" i="17"/>
  <c r="CO425" i="17"/>
  <c r="CP425" i="17" s="1"/>
  <c r="Y425" i="17"/>
  <c r="CD422" i="17"/>
  <c r="CG422" i="17"/>
  <c r="Y421" i="17"/>
  <c r="CP418" i="17"/>
  <c r="BV416" i="17"/>
  <c r="CE416" i="17" s="1"/>
  <c r="DR416" i="17"/>
  <c r="Y416" i="17"/>
  <c r="CE415" i="17"/>
  <c r="CG415" i="17"/>
  <c r="CD414" i="17"/>
  <c r="CG414" i="17"/>
  <c r="DS410" i="17"/>
  <c r="DL410" i="17"/>
  <c r="CE409" i="17"/>
  <c r="Z409" i="17"/>
  <c r="Y406" i="17"/>
  <c r="Z404" i="17"/>
  <c r="CP402" i="17"/>
  <c r="BV400" i="17"/>
  <c r="DS400" i="17" s="1"/>
  <c r="DR400" i="17"/>
  <c r="Y400" i="17"/>
  <c r="CE399" i="17"/>
  <c r="CG399" i="17"/>
  <c r="DM390" i="17"/>
  <c r="DN390" i="17" s="1"/>
  <c r="DR387" i="17"/>
  <c r="R387" i="17"/>
  <c r="CP384" i="17"/>
  <c r="CQ384" i="17"/>
  <c r="DR371" i="17"/>
  <c r="R371" i="17"/>
  <c r="CE369" i="17"/>
  <c r="CF369" i="17"/>
  <c r="CH359" i="17"/>
  <c r="CP359" i="17" s="1"/>
  <c r="DR359" i="17"/>
  <c r="CG357" i="17"/>
  <c r="CD357" i="17"/>
  <c r="BA347" i="17"/>
  <c r="DS345" i="17"/>
  <c r="DO344" i="17"/>
  <c r="DP344" i="17"/>
  <c r="BA315" i="17"/>
  <c r="BB315" i="17"/>
  <c r="CF314" i="17"/>
  <c r="CG308" i="17"/>
  <c r="CD308" i="17"/>
  <c r="Z277" i="17"/>
  <c r="CO239" i="17"/>
  <c r="CP239" i="17" s="1"/>
  <c r="CQ239" i="17"/>
  <c r="BB236" i="17"/>
  <c r="BA236" i="17"/>
  <c r="Z213" i="17"/>
  <c r="Y213" i="17"/>
  <c r="CG203" i="17"/>
  <c r="CD203" i="17"/>
  <c r="DR412" i="17"/>
  <c r="DR390" i="17"/>
  <c r="R390" i="17"/>
  <c r="Y390" i="17" s="1"/>
  <c r="CO378" i="17"/>
  <c r="CP378" i="17" s="1"/>
  <c r="CQ378" i="17"/>
  <c r="CD374" i="17"/>
  <c r="CG374" i="17"/>
  <c r="DS350" i="17"/>
  <c r="DS344" i="17"/>
  <c r="DS326" i="17"/>
  <c r="CO318" i="17"/>
  <c r="CP318" i="17" s="1"/>
  <c r="CQ318" i="17"/>
  <c r="DM313" i="17"/>
  <c r="DN313" i="17" s="1"/>
  <c r="DR203" i="17"/>
  <c r="R203" i="17"/>
  <c r="Y203" i="17" s="1"/>
  <c r="Z538" i="17"/>
  <c r="DM536" i="17"/>
  <c r="DN536" i="17" s="1"/>
  <c r="CF529" i="17"/>
  <c r="Z528" i="17"/>
  <c r="DM526" i="17"/>
  <c r="DN526" i="17" s="1"/>
  <c r="T525" i="17"/>
  <c r="BB522" i="17"/>
  <c r="Z521" i="17"/>
  <c r="DM519" i="17"/>
  <c r="DN519" i="17" s="1"/>
  <c r="CF515" i="17"/>
  <c r="BB514" i="17"/>
  <c r="DM511" i="17"/>
  <c r="DN511" i="17" s="1"/>
  <c r="CF507" i="17"/>
  <c r="BB506" i="17"/>
  <c r="Z505" i="17"/>
  <c r="CF500" i="17"/>
  <c r="Z498" i="17"/>
  <c r="DM496" i="17"/>
  <c r="DN496" i="17" s="1"/>
  <c r="CF492" i="17"/>
  <c r="BB491" i="17"/>
  <c r="DM488" i="17"/>
  <c r="DN488" i="17" s="1"/>
  <c r="CF484" i="17"/>
  <c r="Z482" i="17"/>
  <c r="DM480" i="17"/>
  <c r="DN480" i="17" s="1"/>
  <c r="CF476" i="17"/>
  <c r="Z474" i="17"/>
  <c r="DM472" i="17"/>
  <c r="DN472" i="17" s="1"/>
  <c r="DM470" i="17"/>
  <c r="DN470" i="17" s="1"/>
  <c r="Z464" i="17"/>
  <c r="DM462" i="17"/>
  <c r="DN462" i="17" s="1"/>
  <c r="DM461" i="17"/>
  <c r="DN461" i="17" s="1"/>
  <c r="CF456" i="17"/>
  <c r="BB448" i="17"/>
  <c r="Z447" i="17"/>
  <c r="DM445" i="17"/>
  <c r="DN445" i="17" s="1"/>
  <c r="R445" i="17"/>
  <c r="BB441" i="17"/>
  <c r="Z440" i="17"/>
  <c r="DM438" i="17"/>
  <c r="DN438" i="17" s="1"/>
  <c r="R438" i="17"/>
  <c r="Y438" i="17" s="1"/>
  <c r="CF434" i="17"/>
  <c r="BB433" i="17"/>
  <c r="Z432" i="17"/>
  <c r="DM430" i="17"/>
  <c r="DN430" i="17" s="1"/>
  <c r="R430" i="17"/>
  <c r="Y430" i="17" s="1"/>
  <c r="Y426" i="17"/>
  <c r="DR423" i="17"/>
  <c r="Z422" i="17"/>
  <c r="DM420" i="17"/>
  <c r="DN420" i="17" s="1"/>
  <c r="Y418" i="17"/>
  <c r="DM417" i="17"/>
  <c r="DN417" i="17" s="1"/>
  <c r="CF417" i="17"/>
  <c r="DR417" i="17"/>
  <c r="R417" i="17"/>
  <c r="Y417" i="17" s="1"/>
  <c r="Z414" i="17"/>
  <c r="R412" i="17"/>
  <c r="CO411" i="17"/>
  <c r="CP411" i="17" s="1"/>
  <c r="CQ411" i="17"/>
  <c r="Y410" i="17"/>
  <c r="DM409" i="17"/>
  <c r="DN409" i="17" s="1"/>
  <c r="CF409" i="17"/>
  <c r="DR409" i="17"/>
  <c r="R409" i="17"/>
  <c r="Z406" i="17"/>
  <c r="DM404" i="17"/>
  <c r="DN404" i="17" s="1"/>
  <c r="Y402" i="17"/>
  <c r="DM401" i="17"/>
  <c r="DN401" i="17" s="1"/>
  <c r="CF401" i="17"/>
  <c r="DR401" i="17"/>
  <c r="R401" i="17"/>
  <c r="Y401" i="17" s="1"/>
  <c r="CO395" i="17"/>
  <c r="CP395" i="17" s="1"/>
  <c r="Y393" i="17"/>
  <c r="BA392" i="17"/>
  <c r="BV391" i="17"/>
  <c r="CG391" i="17" s="1"/>
  <c r="DM385" i="17"/>
  <c r="DN385" i="17" s="1"/>
  <c r="BA385" i="17"/>
  <c r="CF384" i="17"/>
  <c r="CP383" i="17"/>
  <c r="CD380" i="17"/>
  <c r="Z379" i="17"/>
  <c r="Z376" i="17"/>
  <c r="BA375" i="17"/>
  <c r="CD371" i="17"/>
  <c r="CE368" i="17"/>
  <c r="CF368" i="17"/>
  <c r="CP366" i="17"/>
  <c r="Y365" i="17"/>
  <c r="DM359" i="17"/>
  <c r="DN359" i="17" s="1"/>
  <c r="Z359" i="17"/>
  <c r="CO356" i="17"/>
  <c r="CP356" i="17" s="1"/>
  <c r="CD356" i="17"/>
  <c r="CE356" i="17" s="1"/>
  <c r="CO354" i="17"/>
  <c r="CP354" i="17" s="1"/>
  <c r="CQ354" i="17"/>
  <c r="CP353" i="17"/>
  <c r="Z353" i="17"/>
  <c r="BV351" i="17"/>
  <c r="CG351" i="17" s="1"/>
  <c r="CD347" i="17"/>
  <c r="CQ346" i="17"/>
  <c r="AT343" i="17"/>
  <c r="DL343" i="17" s="1"/>
  <c r="CG341" i="17"/>
  <c r="CD341" i="17"/>
  <c r="CQ339" i="17"/>
  <c r="CO339" i="17"/>
  <c r="CP339" i="17" s="1"/>
  <c r="BA336" i="17"/>
  <c r="DR335" i="17"/>
  <c r="DS332" i="17"/>
  <c r="DL332" i="17"/>
  <c r="CE328" i="17"/>
  <c r="CF328" i="17"/>
  <c r="R327" i="17"/>
  <c r="Y327" i="17" s="1"/>
  <c r="DR312" i="17"/>
  <c r="CE306" i="17"/>
  <c r="CF306" i="17"/>
  <c r="DL299" i="17"/>
  <c r="CE299" i="17"/>
  <c r="CG299" i="17"/>
  <c r="CD295" i="17"/>
  <c r="CG295" i="17"/>
  <c r="Y291" i="17"/>
  <c r="DL289" i="17"/>
  <c r="Z278" i="17"/>
  <c r="CD272" i="17"/>
  <c r="CG272" i="17"/>
  <c r="CO260" i="17"/>
  <c r="CP260" i="17" s="1"/>
  <c r="CQ260" i="17"/>
  <c r="CE260" i="17"/>
  <c r="CG260" i="17"/>
  <c r="CP234" i="17"/>
  <c r="CQ234" i="17"/>
  <c r="DR221" i="17"/>
  <c r="AT221" i="17"/>
  <c r="DS221" i="17" s="1"/>
  <c r="CG205" i="17"/>
  <c r="DM196" i="17"/>
  <c r="DN196" i="17" s="1"/>
  <c r="Y167" i="17"/>
  <c r="Z167" i="17"/>
  <c r="CO419" i="17"/>
  <c r="CP419" i="17" s="1"/>
  <c r="CQ419" i="17"/>
  <c r="BA412" i="17"/>
  <c r="BB412" i="17"/>
  <c r="CO403" i="17"/>
  <c r="CP403" i="17" s="1"/>
  <c r="CQ403" i="17"/>
  <c r="BA390" i="17"/>
  <c r="CE305" i="17"/>
  <c r="CF305" i="17"/>
  <c r="BA203" i="17"/>
  <c r="BB203" i="17"/>
  <c r="AV525" i="17"/>
  <c r="AT525" i="17" s="1"/>
  <c r="BA525" i="17" s="1"/>
  <c r="Y427" i="17"/>
  <c r="DM425" i="17"/>
  <c r="DN425" i="17" s="1"/>
  <c r="DR419" i="17"/>
  <c r="DR418" i="17"/>
  <c r="BA411" i="17"/>
  <c r="DR411" i="17"/>
  <c r="DR410" i="17"/>
  <c r="DR403" i="17"/>
  <c r="DR402" i="17"/>
  <c r="Z396" i="17"/>
  <c r="CD389" i="17"/>
  <c r="CE389" i="17" s="1"/>
  <c r="CO386" i="17"/>
  <c r="CP386" i="17" s="1"/>
  <c r="Y384" i="17"/>
  <c r="Z384" i="17"/>
  <c r="BA382" i="17"/>
  <c r="DR382" i="17"/>
  <c r="R382" i="17"/>
  <c r="DM374" i="17"/>
  <c r="DN374" i="17" s="1"/>
  <c r="DO374" i="17" s="1"/>
  <c r="DP374" i="17" s="1"/>
  <c r="CG373" i="17"/>
  <c r="CD373" i="17"/>
  <c r="CO371" i="17"/>
  <c r="CP371" i="17" s="1"/>
  <c r="CP370" i="17"/>
  <c r="CQ366" i="17"/>
  <c r="DR366" i="17"/>
  <c r="R366" i="17"/>
  <c r="CE365" i="17"/>
  <c r="CF365" i="17"/>
  <c r="DS364" i="17"/>
  <c r="DL364" i="17"/>
  <c r="CG363" i="17"/>
  <c r="CD363" i="17"/>
  <c r="CO362" i="17"/>
  <c r="CP362" i="17" s="1"/>
  <c r="Z362" i="17"/>
  <c r="Y362" i="17"/>
  <c r="CQ360" i="17"/>
  <c r="Y356" i="17"/>
  <c r="Z356" i="17"/>
  <c r="Z355" i="17"/>
  <c r="DL354" i="17"/>
  <c r="CG354" i="17"/>
  <c r="CD350" i="17"/>
  <c r="CG350" i="17"/>
  <c r="CD349" i="17"/>
  <c r="CO347" i="17"/>
  <c r="CP347" i="17" s="1"/>
  <c r="CP346" i="17"/>
  <c r="CQ342" i="17"/>
  <c r="DR342" i="17"/>
  <c r="DR341" i="17"/>
  <c r="DL335" i="17"/>
  <c r="DS335" i="17"/>
  <c r="CE333" i="17"/>
  <c r="CF333" i="17"/>
  <c r="CO331" i="17"/>
  <c r="CP331" i="17" s="1"/>
  <c r="CD331" i="17"/>
  <c r="CP330" i="17"/>
  <c r="DS330" i="17"/>
  <c r="CD327" i="17"/>
  <c r="DL326" i="17"/>
  <c r="CE326" i="17"/>
  <c r="Y323" i="17"/>
  <c r="CO315" i="17"/>
  <c r="CP315" i="17" s="1"/>
  <c r="CF309" i="17"/>
  <c r="CE309" i="17"/>
  <c r="DR308" i="17"/>
  <c r="R308" i="17"/>
  <c r="Y308" i="17" s="1"/>
  <c r="CE307" i="17"/>
  <c r="CF307" i="17"/>
  <c r="DM303" i="17"/>
  <c r="DN303" i="17" s="1"/>
  <c r="DL302" i="17"/>
  <c r="CO299" i="17"/>
  <c r="CP299" i="17" s="1"/>
  <c r="CQ299" i="17"/>
  <c r="DL295" i="17"/>
  <c r="DL287" i="17"/>
  <c r="DS287" i="17"/>
  <c r="BA283" i="17"/>
  <c r="DS281" i="17"/>
  <c r="CD278" i="17"/>
  <c r="CG277" i="17"/>
  <c r="CD277" i="17"/>
  <c r="CE277" i="17" s="1"/>
  <c r="DR245" i="17"/>
  <c r="R245" i="17"/>
  <c r="Z222" i="17"/>
  <c r="CG189" i="17"/>
  <c r="DS189" i="17"/>
  <c r="CG378" i="17"/>
  <c r="BA353" i="17"/>
  <c r="DL352" i="17"/>
  <c r="Y342" i="17"/>
  <c r="Z342" i="17"/>
  <c r="BB321" i="17"/>
  <c r="BA321" i="17"/>
  <c r="BA230" i="17"/>
  <c r="BB230" i="17"/>
  <c r="BB229" i="17"/>
  <c r="BA229" i="17"/>
  <c r="CE228" i="17"/>
  <c r="CG228" i="17"/>
  <c r="CO178" i="17"/>
  <c r="CP178" i="17" s="1"/>
  <c r="CQ178" i="17"/>
  <c r="Z169" i="17"/>
  <c r="Y169" i="17"/>
  <c r="DL423" i="17"/>
  <c r="CD420" i="17"/>
  <c r="CG420" i="17"/>
  <c r="DS419" i="17"/>
  <c r="DS411" i="17"/>
  <c r="CD404" i="17"/>
  <c r="CG404" i="17"/>
  <c r="DS403" i="17"/>
  <c r="BB397" i="17"/>
  <c r="Y394" i="17"/>
  <c r="Z394" i="17"/>
  <c r="BA391" i="17"/>
  <c r="CP376" i="17"/>
  <c r="CP374" i="17"/>
  <c r="BA372" i="17"/>
  <c r="BA366" i="17"/>
  <c r="BA364" i="17"/>
  <c r="BB364" i="17"/>
  <c r="BA358" i="17"/>
  <c r="DR358" i="17"/>
  <c r="R358" i="17"/>
  <c r="Y358" i="17" s="1"/>
  <c r="BA351" i="17"/>
  <c r="DL350" i="17"/>
  <c r="BA348" i="17"/>
  <c r="DL346" i="17"/>
  <c r="Y343" i="17"/>
  <c r="BA342" i="17"/>
  <c r="DL342" i="17"/>
  <c r="DP341" i="17"/>
  <c r="DO341" i="17"/>
  <c r="DS341" i="17"/>
  <c r="DL341" i="17"/>
  <c r="DM336" i="17"/>
  <c r="DN336" i="17" s="1"/>
  <c r="DS336" i="17"/>
  <c r="CE335" i="17"/>
  <c r="CD334" i="17"/>
  <c r="CG334" i="17"/>
  <c r="BA332" i="17"/>
  <c r="BB332" i="17"/>
  <c r="DL330" i="17"/>
  <c r="CG324" i="17"/>
  <c r="CD324" i="17"/>
  <c r="BV323" i="17"/>
  <c r="CG323" i="17" s="1"/>
  <c r="DR323" i="17"/>
  <c r="BA305" i="17"/>
  <c r="CE302" i="17"/>
  <c r="CF302" i="17"/>
  <c r="CG292" i="17"/>
  <c r="CD292" i="17"/>
  <c r="CG286" i="17"/>
  <c r="CD286" i="17"/>
  <c r="Z284" i="17"/>
  <c r="BB281" i="17"/>
  <c r="BA281" i="17"/>
  <c r="CD280" i="17"/>
  <c r="CG280" i="17"/>
  <c r="CG279" i="17"/>
  <c r="CD279" i="17"/>
  <c r="DR278" i="17"/>
  <c r="R278" i="17"/>
  <c r="Y278" i="17" s="1"/>
  <c r="CG270" i="17"/>
  <c r="CD270" i="17"/>
  <c r="CQ269" i="17"/>
  <c r="CO269" i="17"/>
  <c r="CP269" i="17" s="1"/>
  <c r="Y250" i="17"/>
  <c r="CQ245" i="17"/>
  <c r="CO245" i="17"/>
  <c r="CP245" i="17" s="1"/>
  <c r="CF229" i="17"/>
  <c r="CE229" i="17"/>
  <c r="Y224" i="17"/>
  <c r="Z224" i="17"/>
  <c r="CG223" i="17"/>
  <c r="CD223" i="17"/>
  <c r="CQ210" i="17"/>
  <c r="CO210" i="17"/>
  <c r="CP210" i="17" s="1"/>
  <c r="Z208" i="17"/>
  <c r="Y208" i="17"/>
  <c r="CH205" i="17"/>
  <c r="CQ205" i="17" s="1"/>
  <c r="DR205" i="17"/>
  <c r="CD175" i="17"/>
  <c r="CG175" i="17"/>
  <c r="Z175" i="17"/>
  <c r="Y175" i="17"/>
  <c r="CP174" i="17"/>
  <c r="CQ174" i="17"/>
  <c r="CQ427" i="17"/>
  <c r="DR381" i="17"/>
  <c r="R381" i="17"/>
  <c r="Y381" i="17" s="1"/>
  <c r="CD358" i="17"/>
  <c r="CG358" i="17"/>
  <c r="CP344" i="17"/>
  <c r="DM342" i="17"/>
  <c r="DN342" i="17" s="1"/>
  <c r="BA340" i="17"/>
  <c r="BB340" i="17"/>
  <c r="Z283" i="17"/>
  <c r="Y283" i="17"/>
  <c r="CG247" i="17"/>
  <c r="CD247" i="17"/>
  <c r="BB237" i="17"/>
  <c r="BA237" i="17"/>
  <c r="CO228" i="17"/>
  <c r="CP228" i="17" s="1"/>
  <c r="CQ228" i="17"/>
  <c r="DR425" i="17"/>
  <c r="CP420" i="17"/>
  <c r="CQ417" i="17"/>
  <c r="CG417" i="17"/>
  <c r="CD412" i="17"/>
  <c r="CG412" i="17"/>
  <c r="CQ409" i="17"/>
  <c r="CG409" i="17"/>
  <c r="CP404" i="17"/>
  <c r="CQ401" i="17"/>
  <c r="CG401" i="17"/>
  <c r="DR396" i="17"/>
  <c r="R396" i="17"/>
  <c r="Y396" i="17" s="1"/>
  <c r="BA393" i="17"/>
  <c r="DL393" i="17"/>
  <c r="DS393" i="17"/>
  <c r="CF392" i="17"/>
  <c r="CD390" i="17"/>
  <c r="CE390" i="17" s="1"/>
  <c r="CG390" i="17"/>
  <c r="DR380" i="17"/>
  <c r="R380" i="17"/>
  <c r="Y380" i="17" s="1"/>
  <c r="DR379" i="17"/>
  <c r="R379" i="17"/>
  <c r="Y379" i="17" s="1"/>
  <c r="CE378" i="17"/>
  <c r="CP375" i="17"/>
  <c r="CQ374" i="17"/>
  <c r="Z371" i="17"/>
  <c r="DR365" i="17"/>
  <c r="CQ363" i="17"/>
  <c r="CO363" i="17"/>
  <c r="CP363" i="17" s="1"/>
  <c r="BV360" i="17"/>
  <c r="CE360" i="17" s="1"/>
  <c r="DR360" i="17"/>
  <c r="DM350" i="17"/>
  <c r="DN350" i="17" s="1"/>
  <c r="DR344" i="17"/>
  <c r="BA341" i="17"/>
  <c r="BB341" i="17"/>
  <c r="CG340" i="17"/>
  <c r="CD340" i="17"/>
  <c r="CE340" i="17" s="1"/>
  <c r="Z340" i="17"/>
  <c r="Z331" i="17"/>
  <c r="Y326" i="17"/>
  <c r="CD321" i="17"/>
  <c r="CG321" i="17"/>
  <c r="CG300" i="17"/>
  <c r="CD300" i="17"/>
  <c r="Z292" i="17"/>
  <c r="CE282" i="17"/>
  <c r="CF282" i="17"/>
  <c r="R270" i="17"/>
  <c r="Y270" i="17" s="1"/>
  <c r="BB269" i="17"/>
  <c r="BA269" i="17"/>
  <c r="CQ261" i="17"/>
  <c r="CO261" i="17"/>
  <c r="CP261" i="17" s="1"/>
  <c r="BB245" i="17"/>
  <c r="BA245" i="17"/>
  <c r="DR222" i="17"/>
  <c r="R222" i="17"/>
  <c r="CP382" i="17"/>
  <c r="BA374" i="17"/>
  <c r="DR374" i="17"/>
  <c r="DR372" i="17"/>
  <c r="CP358" i="17"/>
  <c r="DR357" i="17"/>
  <c r="DR349" i="17"/>
  <c r="DR348" i="17"/>
  <c r="Z347" i="17"/>
  <c r="CP343" i="17"/>
  <c r="DR339" i="17"/>
  <c r="R339" i="17"/>
  <c r="DS338" i="17"/>
  <c r="CG333" i="17"/>
  <c r="BA323" i="17"/>
  <c r="CE320" i="17"/>
  <c r="CF320" i="17"/>
  <c r="BA314" i="17"/>
  <c r="BB314" i="17"/>
  <c r="CG307" i="17"/>
  <c r="BA301" i="17"/>
  <c r="BB301" i="17"/>
  <c r="DR300" i="17"/>
  <c r="R300" i="17"/>
  <c r="DM295" i="17"/>
  <c r="DN295" i="17" s="1"/>
  <c r="CG294" i="17"/>
  <c r="CD294" i="17"/>
  <c r="BA293" i="17"/>
  <c r="Z275" i="17"/>
  <c r="DR261" i="17"/>
  <c r="R261" i="17"/>
  <c r="Y261" i="17" s="1"/>
  <c r="CE243" i="17"/>
  <c r="CG243" i="17"/>
  <c r="Y241" i="17"/>
  <c r="Z241" i="17"/>
  <c r="DM234" i="17"/>
  <c r="DN234" i="17" s="1"/>
  <c r="DL232" i="17"/>
  <c r="BV214" i="17"/>
  <c r="CG214" i="17" s="1"/>
  <c r="DR214" i="17"/>
  <c r="DR213" i="17"/>
  <c r="BV213" i="17"/>
  <c r="DL213" i="17" s="1"/>
  <c r="DM204" i="17"/>
  <c r="DN204" i="17" s="1"/>
  <c r="CE201" i="17"/>
  <c r="CF201" i="17"/>
  <c r="DL197" i="17"/>
  <c r="CG197" i="17"/>
  <c r="DS197" i="17"/>
  <c r="DM184" i="17"/>
  <c r="DN184" i="17" s="1"/>
  <c r="AY179" i="17"/>
  <c r="AZ179" i="17" s="1"/>
  <c r="W179" i="17"/>
  <c r="X179" i="17" s="1"/>
  <c r="Z179" i="17" s="1"/>
  <c r="T179" i="17"/>
  <c r="AV179" i="17"/>
  <c r="AT179" i="17" s="1"/>
  <c r="CF177" i="17"/>
  <c r="CE177" i="17"/>
  <c r="DL154" i="17"/>
  <c r="DS154" i="17"/>
  <c r="CQ150" i="17"/>
  <c r="CO150" i="17"/>
  <c r="CP150" i="17" s="1"/>
  <c r="Y64" i="17"/>
  <c r="Z64" i="17"/>
  <c r="BA62" i="17"/>
  <c r="BB62" i="17"/>
  <c r="DM21" i="17"/>
  <c r="DN21" i="17" s="1"/>
  <c r="CQ396" i="17"/>
  <c r="DR393" i="17"/>
  <c r="CO389" i="17"/>
  <c r="CP389" i="17" s="1"/>
  <c r="CQ389" i="17"/>
  <c r="Y388" i="17"/>
  <c r="Z388" i="17"/>
  <c r="DR384" i="17"/>
  <c r="BA383" i="17"/>
  <c r="CQ382" i="17"/>
  <c r="CO381" i="17"/>
  <c r="CP381" i="17" s="1"/>
  <c r="CQ381" i="17"/>
  <c r="R374" i="17"/>
  <c r="R372" i="17"/>
  <c r="Y372" i="17" s="1"/>
  <c r="CP367" i="17"/>
  <c r="DM366" i="17"/>
  <c r="DN366" i="17" s="1"/>
  <c r="BA359" i="17"/>
  <c r="CQ358" i="17"/>
  <c r="CO357" i="17"/>
  <c r="CP357" i="17" s="1"/>
  <c r="CQ357" i="17"/>
  <c r="BA357" i="17"/>
  <c r="BB357" i="17"/>
  <c r="R357" i="17"/>
  <c r="DR356" i="17"/>
  <c r="BA350" i="17"/>
  <c r="DR350" i="17"/>
  <c r="CO349" i="17"/>
  <c r="CP349" i="17" s="1"/>
  <c r="CQ349" i="17"/>
  <c r="BA349" i="17"/>
  <c r="BB349" i="17"/>
  <c r="R349" i="17"/>
  <c r="R348" i="17"/>
  <c r="Y348" i="17" s="1"/>
  <c r="DL345" i="17"/>
  <c r="CE344" i="17"/>
  <c r="CD342" i="17"/>
  <c r="CG342" i="17"/>
  <c r="Y341" i="17"/>
  <c r="DL338" i="17"/>
  <c r="Y334" i="17"/>
  <c r="DR332" i="17"/>
  <c r="CP326" i="17"/>
  <c r="R321" i="17"/>
  <c r="DR321" i="17"/>
  <c r="DM320" i="17"/>
  <c r="DN320" i="17" s="1"/>
  <c r="DO320" i="17" s="1"/>
  <c r="DP320" i="17" s="1"/>
  <c r="AT320" i="17"/>
  <c r="DS320" i="17" s="1"/>
  <c r="DR316" i="17"/>
  <c r="R316" i="17"/>
  <c r="Y316" i="17" s="1"/>
  <c r="DM311" i="17"/>
  <c r="DN311" i="17" s="1"/>
  <c r="CP295" i="17"/>
  <c r="CP289" i="17"/>
  <c r="Y288" i="17"/>
  <c r="R286" i="17"/>
  <c r="Y286" i="17" s="1"/>
  <c r="DM272" i="17"/>
  <c r="DN272" i="17" s="1"/>
  <c r="BA270" i="17"/>
  <c r="BB270" i="17"/>
  <c r="DM256" i="17"/>
  <c r="DN256" i="17" s="1"/>
  <c r="DO256" i="17" s="1"/>
  <c r="DP256" i="17" s="1"/>
  <c r="Z253" i="17"/>
  <c r="BA251" i="17"/>
  <c r="BB251" i="17"/>
  <c r="DL251" i="17"/>
  <c r="BA246" i="17"/>
  <c r="CO244" i="17"/>
  <c r="CP244" i="17" s="1"/>
  <c r="CQ244" i="17"/>
  <c r="DS242" i="17"/>
  <c r="BA215" i="17"/>
  <c r="DR204" i="17"/>
  <c r="R204" i="17"/>
  <c r="CG202" i="17"/>
  <c r="CD202" i="17"/>
  <c r="Z202" i="17"/>
  <c r="CE188" i="17"/>
  <c r="CG188" i="17"/>
  <c r="R155" i="17"/>
  <c r="DR155" i="17"/>
  <c r="CP391" i="17"/>
  <c r="BA389" i="17"/>
  <c r="DR388" i="17"/>
  <c r="CE383" i="17"/>
  <c r="CE376" i="17"/>
  <c r="CD366" i="17"/>
  <c r="CE366" i="17" s="1"/>
  <c r="CG366" i="17"/>
  <c r="CG365" i="17"/>
  <c r="CE359" i="17"/>
  <c r="CE352" i="17"/>
  <c r="DR347" i="17"/>
  <c r="R347" i="17"/>
  <c r="Y347" i="17" s="1"/>
  <c r="DS346" i="17"/>
  <c r="CP342" i="17"/>
  <c r="BA334" i="17"/>
  <c r="DR334" i="17"/>
  <c r="CO333" i="17"/>
  <c r="CP333" i="17" s="1"/>
  <c r="CQ333" i="17"/>
  <c r="BA333" i="17"/>
  <c r="BB333" i="17"/>
  <c r="CF323" i="17"/>
  <c r="BB322" i="17"/>
  <c r="DM321" i="17"/>
  <c r="DN321" i="17" s="1"/>
  <c r="DO321" i="17" s="1"/>
  <c r="DP321" i="17" s="1"/>
  <c r="Y320" i="17"/>
  <c r="CQ319" i="17"/>
  <c r="DR319" i="17"/>
  <c r="CE318" i="17"/>
  <c r="CF318" i="17"/>
  <c r="BA313" i="17"/>
  <c r="BB313" i="17"/>
  <c r="DL313" i="17"/>
  <c r="DS313" i="17"/>
  <c r="DL312" i="17"/>
  <c r="DL310" i="17"/>
  <c r="Y309" i="17"/>
  <c r="Z309" i="17"/>
  <c r="BA306" i="17"/>
  <c r="CD303" i="17"/>
  <c r="CG303" i="17"/>
  <c r="Z301" i="17"/>
  <c r="CE298" i="17"/>
  <c r="CF298" i="17"/>
  <c r="CF297" i="17"/>
  <c r="DR294" i="17"/>
  <c r="R294" i="17"/>
  <c r="Y294" i="17" s="1"/>
  <c r="CG293" i="17"/>
  <c r="CD293" i="17"/>
  <c r="Z293" i="17"/>
  <c r="CP291" i="17"/>
  <c r="CO286" i="17"/>
  <c r="CP286" i="17" s="1"/>
  <c r="CQ286" i="17"/>
  <c r="DR253" i="17"/>
  <c r="R253" i="17"/>
  <c r="Y253" i="17" s="1"/>
  <c r="CG245" i="17"/>
  <c r="CD245" i="17"/>
  <c r="Z245" i="17"/>
  <c r="CQ238" i="17"/>
  <c r="CO238" i="17"/>
  <c r="CP238" i="17" s="1"/>
  <c r="DM233" i="17"/>
  <c r="DN233" i="17" s="1"/>
  <c r="DO233" i="17" s="1"/>
  <c r="DP233" i="17" s="1"/>
  <c r="Z229" i="17"/>
  <c r="DM224" i="17"/>
  <c r="DN224" i="17" s="1"/>
  <c r="CG222" i="17"/>
  <c r="CD222" i="17"/>
  <c r="R191" i="17"/>
  <c r="Y191" i="17" s="1"/>
  <c r="DR191" i="17"/>
  <c r="BA177" i="17"/>
  <c r="BB177" i="17"/>
  <c r="CF391" i="17"/>
  <c r="Z389" i="17"/>
  <c r="DM387" i="17"/>
  <c r="DN387" i="17" s="1"/>
  <c r="CF383" i="17"/>
  <c r="BB382" i="17"/>
  <c r="DM379" i="17"/>
  <c r="DN379" i="17" s="1"/>
  <c r="BB374" i="17"/>
  <c r="DM371" i="17"/>
  <c r="DN371" i="17" s="1"/>
  <c r="CF367" i="17"/>
  <c r="BB366" i="17"/>
  <c r="Z365" i="17"/>
  <c r="DM363" i="17"/>
  <c r="DN363" i="17" s="1"/>
  <c r="BB358" i="17"/>
  <c r="Z357" i="17"/>
  <c r="DM355" i="17"/>
  <c r="DN355" i="17" s="1"/>
  <c r="Z349" i="17"/>
  <c r="DM347" i="17"/>
  <c r="DN347" i="17" s="1"/>
  <c r="DO347" i="17" s="1"/>
  <c r="DP347" i="17" s="1"/>
  <c r="CF343" i="17"/>
  <c r="Z341" i="17"/>
  <c r="DM339" i="17"/>
  <c r="DN339" i="17" s="1"/>
  <c r="CF335" i="17"/>
  <c r="BB334" i="17"/>
  <c r="Z333" i="17"/>
  <c r="DM331" i="17"/>
  <c r="DN331" i="17" s="1"/>
  <c r="DO331" i="17" s="1"/>
  <c r="DP331" i="17" s="1"/>
  <c r="DR326" i="17"/>
  <c r="CF326" i="17"/>
  <c r="Z322" i="17"/>
  <c r="DM319" i="17"/>
  <c r="DN319" i="17" s="1"/>
  <c r="DO319" i="17" s="1"/>
  <c r="DP319" i="17" s="1"/>
  <c r="Z314" i="17"/>
  <c r="CP311" i="17"/>
  <c r="DR309" i="17"/>
  <c r="BB307" i="17"/>
  <c r="BB305" i="17"/>
  <c r="CQ303" i="17"/>
  <c r="DR302" i="17"/>
  <c r="BB297" i="17"/>
  <c r="BA295" i="17"/>
  <c r="DR295" i="17"/>
  <c r="BA294" i="17"/>
  <c r="CQ291" i="17"/>
  <c r="CF290" i="17"/>
  <c r="BA287" i="17"/>
  <c r="DR287" i="17"/>
  <c r="DR284" i="17"/>
  <c r="R284" i="17"/>
  <c r="Y284" i="17" s="1"/>
  <c r="CO278" i="17"/>
  <c r="CP278" i="17" s="1"/>
  <c r="CQ277" i="17"/>
  <c r="CO277" i="17"/>
  <c r="CP277" i="17" s="1"/>
  <c r="DR273" i="17"/>
  <c r="Y266" i="17"/>
  <c r="CD264" i="17"/>
  <c r="CG264" i="17"/>
  <c r="CD262" i="17"/>
  <c r="CE262" i="17" s="1"/>
  <c r="CE258" i="17"/>
  <c r="DL258" i="17"/>
  <c r="CP256" i="17"/>
  <c r="CD254" i="17"/>
  <c r="BA250" i="17"/>
  <c r="BB250" i="17"/>
  <c r="DL247" i="17"/>
  <c r="CO246" i="17"/>
  <c r="CP246" i="17" s="1"/>
  <c r="Y246" i="17"/>
  <c r="Z246" i="17"/>
  <c r="BA242" i="17"/>
  <c r="DM240" i="17"/>
  <c r="DN240" i="17" s="1"/>
  <c r="DO240" i="17" s="1"/>
  <c r="DP240" i="17" s="1"/>
  <c r="CG239" i="17"/>
  <c r="CD239" i="17"/>
  <c r="BA238" i="17"/>
  <c r="BB238" i="17"/>
  <c r="CO223" i="17"/>
  <c r="CP223" i="17" s="1"/>
  <c r="CQ223" i="17"/>
  <c r="CO222" i="17"/>
  <c r="CP222" i="17" s="1"/>
  <c r="DR219" i="17"/>
  <c r="BA216" i="17"/>
  <c r="BA210" i="17"/>
  <c r="BB210" i="17"/>
  <c r="BB193" i="17"/>
  <c r="BA193" i="17"/>
  <c r="BA180" i="17"/>
  <c r="CF163" i="17"/>
  <c r="Z145" i="17"/>
  <c r="DR144" i="17"/>
  <c r="R144" i="17"/>
  <c r="Z122" i="17"/>
  <c r="Y122" i="17"/>
  <c r="DM327" i="17"/>
  <c r="DN327" i="17" s="1"/>
  <c r="DM324" i="17"/>
  <c r="DN324" i="17" s="1"/>
  <c r="CD319" i="17"/>
  <c r="CG319" i="17"/>
  <c r="CG318" i="17"/>
  <c r="CD317" i="17"/>
  <c r="CO316" i="17"/>
  <c r="CP316" i="17" s="1"/>
  <c r="CD316" i="17"/>
  <c r="DR313" i="17"/>
  <c r="BA312" i="17"/>
  <c r="CQ311" i="17"/>
  <c r="DR310" i="17"/>
  <c r="DS309" i="17"/>
  <c r="DL309" i="17"/>
  <c r="CO302" i="17"/>
  <c r="CP302" i="17" s="1"/>
  <c r="CQ302" i="17"/>
  <c r="BA302" i="17"/>
  <c r="BB302" i="17"/>
  <c r="DS302" i="17"/>
  <c r="CE296" i="17"/>
  <c r="CP288" i="17"/>
  <c r="DM287" i="17"/>
  <c r="DN287" i="17" s="1"/>
  <c r="BA278" i="17"/>
  <c r="BB278" i="17"/>
  <c r="BV266" i="17"/>
  <c r="CE266" i="17" s="1"/>
  <c r="DR266" i="17"/>
  <c r="Z249" i="17"/>
  <c r="DL242" i="17"/>
  <c r="Z237" i="17"/>
  <c r="DR233" i="17"/>
  <c r="DR229" i="17"/>
  <c r="R229" i="17"/>
  <c r="BA226" i="17"/>
  <c r="DS219" i="17"/>
  <c r="DL219" i="17"/>
  <c r="CF218" i="17"/>
  <c r="CE218" i="17"/>
  <c r="CP206" i="17"/>
  <c r="CQ206" i="17"/>
  <c r="DR160" i="17"/>
  <c r="R160" i="17"/>
  <c r="Y160" i="17" s="1"/>
  <c r="AT121" i="17"/>
  <c r="DS121" i="17" s="1"/>
  <c r="DR121" i="17"/>
  <c r="Y317" i="17"/>
  <c r="Z317" i="17"/>
  <c r="BA311" i="17"/>
  <c r="DR311" i="17"/>
  <c r="CO310" i="17"/>
  <c r="CP310" i="17" s="1"/>
  <c r="CQ310" i="17"/>
  <c r="BA310" i="17"/>
  <c r="BB310" i="17"/>
  <c r="DS310" i="17"/>
  <c r="BA309" i="17"/>
  <c r="BB309" i="17"/>
  <c r="CE304" i="17"/>
  <c r="BA303" i="17"/>
  <c r="DR303" i="17"/>
  <c r="CE289" i="17"/>
  <c r="CD285" i="17"/>
  <c r="CO284" i="17"/>
  <c r="CP284" i="17" s="1"/>
  <c r="CD284" i="17"/>
  <c r="DL283" i="17"/>
  <c r="DR281" i="17"/>
  <c r="BB277" i="17"/>
  <c r="BA277" i="17"/>
  <c r="CP273" i="17"/>
  <c r="Z270" i="17"/>
  <c r="CP264" i="17"/>
  <c r="Y244" i="17"/>
  <c r="DR241" i="17"/>
  <c r="DR240" i="17"/>
  <c r="R240" i="17"/>
  <c r="Y240" i="17" s="1"/>
  <c r="DL239" i="17"/>
  <c r="DR239" i="17"/>
  <c r="Z236" i="17"/>
  <c r="AT233" i="17"/>
  <c r="DL233" i="17" s="1"/>
  <c r="CD232" i="17"/>
  <c r="CG232" i="17"/>
  <c r="DL231" i="17"/>
  <c r="CO230" i="17"/>
  <c r="CP230" i="17" s="1"/>
  <c r="CD230" i="17"/>
  <c r="CE230" i="17" s="1"/>
  <c r="Y230" i="17"/>
  <c r="Z230" i="17"/>
  <c r="CD224" i="17"/>
  <c r="CG224" i="17"/>
  <c r="DS224" i="17"/>
  <c r="BA222" i="17"/>
  <c r="BB222" i="17"/>
  <c r="CF219" i="17"/>
  <c r="Z217" i="17"/>
  <c r="CO195" i="17"/>
  <c r="CP195" i="17" s="1"/>
  <c r="CQ195" i="17"/>
  <c r="CD183" i="17"/>
  <c r="CG183" i="17"/>
  <c r="DM165" i="17"/>
  <c r="DN165" i="17" s="1"/>
  <c r="CF165" i="17"/>
  <c r="CE165" i="17"/>
  <c r="CO127" i="17"/>
  <c r="CP127" i="17" s="1"/>
  <c r="CQ127" i="17"/>
  <c r="CE126" i="17"/>
  <c r="CF126" i="17"/>
  <c r="DR324" i="17"/>
  <c r="R324" i="17"/>
  <c r="CP319" i="17"/>
  <c r="Y319" i="17"/>
  <c r="CE312" i="17"/>
  <c r="R311" i="17"/>
  <c r="Y311" i="17" s="1"/>
  <c r="CP304" i="17"/>
  <c r="R303" i="17"/>
  <c r="Y303" i="17" s="1"/>
  <c r="CP296" i="17"/>
  <c r="DR292" i="17"/>
  <c r="R292" i="17"/>
  <c r="Y292" i="17" s="1"/>
  <c r="CD287" i="17"/>
  <c r="CE287" i="17" s="1"/>
  <c r="CG287" i="17"/>
  <c r="Y285" i="17"/>
  <c r="Z285" i="17"/>
  <c r="Y274" i="17"/>
  <c r="CG269" i="17"/>
  <c r="CD269" i="17"/>
  <c r="DL265" i="17"/>
  <c r="DM250" i="17"/>
  <c r="DN250" i="17" s="1"/>
  <c r="DO250" i="17" s="1"/>
  <c r="DP250" i="17" s="1"/>
  <c r="BA240" i="17"/>
  <c r="BA239" i="17"/>
  <c r="BB239" i="17"/>
  <c r="Z235" i="17"/>
  <c r="CE233" i="17"/>
  <c r="BA214" i="17"/>
  <c r="CQ209" i="17"/>
  <c r="CO209" i="17"/>
  <c r="CP209" i="17" s="1"/>
  <c r="DS207" i="17"/>
  <c r="CG207" i="17"/>
  <c r="DL206" i="17"/>
  <c r="BA202" i="17"/>
  <c r="BV198" i="17"/>
  <c r="CG198" i="17" s="1"/>
  <c r="Z191" i="17"/>
  <c r="Y187" i="17"/>
  <c r="Z187" i="17"/>
  <c r="Z163" i="17"/>
  <c r="Y163" i="17"/>
  <c r="DM161" i="17"/>
  <c r="DN161" i="17" s="1"/>
  <c r="BB319" i="17"/>
  <c r="DM316" i="17"/>
  <c r="DN316" i="17" s="1"/>
  <c r="CF312" i="17"/>
  <c r="BB311" i="17"/>
  <c r="Z310" i="17"/>
  <c r="DM308" i="17"/>
  <c r="DN308" i="17" s="1"/>
  <c r="Z302" i="17"/>
  <c r="DM300" i="17"/>
  <c r="DN300" i="17" s="1"/>
  <c r="CF296" i="17"/>
  <c r="BB295" i="17"/>
  <c r="Z294" i="17"/>
  <c r="DM292" i="17"/>
  <c r="DN292" i="17" s="1"/>
  <c r="Z286" i="17"/>
  <c r="DM284" i="17"/>
  <c r="DN284" i="17" s="1"/>
  <c r="CP280" i="17"/>
  <c r="DR277" i="17"/>
  <c r="R277" i="17"/>
  <c r="BA273" i="17"/>
  <c r="CP272" i="17"/>
  <c r="CO271" i="17"/>
  <c r="CP271" i="17" s="1"/>
  <c r="CQ271" i="17"/>
  <c r="DR269" i="17"/>
  <c r="R269" i="17"/>
  <c r="BA265" i="17"/>
  <c r="CQ264" i="17"/>
  <c r="BA257" i="17"/>
  <c r="CQ256" i="17"/>
  <c r="CO253" i="17"/>
  <c r="CP253" i="17" s="1"/>
  <c r="CD253" i="17"/>
  <c r="CE253" i="17" s="1"/>
  <c r="Z251" i="17"/>
  <c r="Z250" i="17"/>
  <c r="CP248" i="17"/>
  <c r="CE241" i="17"/>
  <c r="DR237" i="17"/>
  <c r="R237" i="17"/>
  <c r="Y237" i="17" s="1"/>
  <c r="BA224" i="17"/>
  <c r="DR224" i="17"/>
  <c r="BA223" i="17"/>
  <c r="DM212" i="17"/>
  <c r="DN212" i="17" s="1"/>
  <c r="DO212" i="17" s="1"/>
  <c r="DP212" i="17" s="1"/>
  <c r="CO203" i="17"/>
  <c r="CP203" i="17" s="1"/>
  <c r="CQ203" i="17"/>
  <c r="CQ200" i="17"/>
  <c r="BB197" i="17"/>
  <c r="CO193" i="17"/>
  <c r="CP193" i="17" s="1"/>
  <c r="Z193" i="17"/>
  <c r="DL189" i="17"/>
  <c r="CD184" i="17"/>
  <c r="CE184" i="17" s="1"/>
  <c r="CG184" i="17"/>
  <c r="CG181" i="17"/>
  <c r="CD181" i="17"/>
  <c r="DR175" i="17"/>
  <c r="DM172" i="17"/>
  <c r="DN172" i="17" s="1"/>
  <c r="DM158" i="17"/>
  <c r="DN158" i="17" s="1"/>
  <c r="DO158" i="17" s="1"/>
  <c r="DP158" i="17" s="1"/>
  <c r="CO279" i="17"/>
  <c r="CP279" i="17" s="1"/>
  <c r="CQ279" i="17"/>
  <c r="DR279" i="17"/>
  <c r="Y276" i="17"/>
  <c r="BA271" i="17"/>
  <c r="BB271" i="17"/>
  <c r="Y268" i="17"/>
  <c r="CO263" i="17"/>
  <c r="CP263" i="17" s="1"/>
  <c r="CQ263" i="17"/>
  <c r="DR263" i="17"/>
  <c r="DR262" i="17"/>
  <c r="BA256" i="17"/>
  <c r="DR256" i="17"/>
  <c r="CO255" i="17"/>
  <c r="CP255" i="17" s="1"/>
  <c r="CQ255" i="17"/>
  <c r="Y254" i="17"/>
  <c r="DR250" i="17"/>
  <c r="DR247" i="17"/>
  <c r="DR246" i="17"/>
  <c r="CE238" i="17"/>
  <c r="CP232" i="17"/>
  <c r="Y232" i="17"/>
  <c r="DR231" i="17"/>
  <c r="DR230" i="17"/>
  <c r="CE225" i="17"/>
  <c r="DL220" i="17"/>
  <c r="CO218" i="17"/>
  <c r="CP218" i="17" s="1"/>
  <c r="CP216" i="17"/>
  <c r="CD212" i="17"/>
  <c r="CG212" i="17"/>
  <c r="CD210" i="17"/>
  <c r="Z210" i="17"/>
  <c r="CD209" i="17"/>
  <c r="CO202" i="17"/>
  <c r="CP202" i="17" s="1"/>
  <c r="DR202" i="17"/>
  <c r="R202" i="17"/>
  <c r="Y202" i="17" s="1"/>
  <c r="CO201" i="17"/>
  <c r="CP201" i="17" s="1"/>
  <c r="Z201" i="17"/>
  <c r="CP199" i="17"/>
  <c r="DR196" i="17"/>
  <c r="R196" i="17"/>
  <c r="Y196" i="17" s="1"/>
  <c r="CG195" i="17"/>
  <c r="CD195" i="17"/>
  <c r="CE195" i="17" s="1"/>
  <c r="BA194" i="17"/>
  <c r="BB194" i="17"/>
  <c r="DR189" i="17"/>
  <c r="Y184" i="17"/>
  <c r="Z184" i="17"/>
  <c r="DS175" i="17"/>
  <c r="DL175" i="17"/>
  <c r="CE166" i="17"/>
  <c r="CF166" i="17"/>
  <c r="DR161" i="17"/>
  <c r="BV161" i="17"/>
  <c r="CG161" i="17" s="1"/>
  <c r="CG158" i="17"/>
  <c r="CD158" i="17"/>
  <c r="BA280" i="17"/>
  <c r="DR280" i="17"/>
  <c r="BA279" i="17"/>
  <c r="DS279" i="17"/>
  <c r="CE273" i="17"/>
  <c r="BA272" i="17"/>
  <c r="DR272" i="17"/>
  <c r="CE265" i="17"/>
  <c r="BA264" i="17"/>
  <c r="DR264" i="17"/>
  <c r="BA263" i="17"/>
  <c r="DS263" i="17"/>
  <c r="BA262" i="17"/>
  <c r="DS262" i="17"/>
  <c r="DL262" i="17"/>
  <c r="BA255" i="17"/>
  <c r="DR255" i="17"/>
  <c r="BA248" i="17"/>
  <c r="DR248" i="17"/>
  <c r="CO247" i="17"/>
  <c r="CP247" i="17" s="1"/>
  <c r="CQ247" i="17"/>
  <c r="BA247" i="17"/>
  <c r="BB247" i="17"/>
  <c r="DS247" i="17"/>
  <c r="DS246" i="17"/>
  <c r="DL246" i="17"/>
  <c r="CP241" i="17"/>
  <c r="CQ232" i="17"/>
  <c r="CO231" i="17"/>
  <c r="CP231" i="17" s="1"/>
  <c r="CQ231" i="17"/>
  <c r="BA231" i="17"/>
  <c r="BB231" i="17"/>
  <c r="DS231" i="17"/>
  <c r="DS230" i="17"/>
  <c r="DL230" i="17"/>
  <c r="CP225" i="17"/>
  <c r="CO221" i="17"/>
  <c r="CP221" i="17" s="1"/>
  <c r="CQ221" i="17"/>
  <c r="CE221" i="17"/>
  <c r="CG221" i="17"/>
  <c r="CQ216" i="17"/>
  <c r="BV216" i="17"/>
  <c r="DS216" i="17" s="1"/>
  <c r="DR216" i="17"/>
  <c r="CP208" i="17"/>
  <c r="Y205" i="17"/>
  <c r="Z205" i="17"/>
  <c r="BA196" i="17"/>
  <c r="Y190" i="17"/>
  <c r="CF185" i="17"/>
  <c r="CE185" i="17"/>
  <c r="AT185" i="17"/>
  <c r="DS185" i="17" s="1"/>
  <c r="DL182" i="17"/>
  <c r="DS182" i="17"/>
  <c r="Y182" i="17"/>
  <c r="Y174" i="17"/>
  <c r="Z174" i="17"/>
  <c r="DR140" i="17"/>
  <c r="R140" i="17"/>
  <c r="Y140" i="17" s="1"/>
  <c r="DR139" i="17"/>
  <c r="BV139" i="17"/>
  <c r="DS139" i="17" s="1"/>
  <c r="CE131" i="17"/>
  <c r="CF131" i="17"/>
  <c r="BB105" i="17"/>
  <c r="CO104" i="17"/>
  <c r="CP104" i="17" s="1"/>
  <c r="CQ104" i="17"/>
  <c r="R280" i="17"/>
  <c r="Y280" i="17" s="1"/>
  <c r="R272" i="17"/>
  <c r="Y272" i="17" s="1"/>
  <c r="R264" i="17"/>
  <c r="CP257" i="17"/>
  <c r="R255" i="17"/>
  <c r="Y255" i="17" s="1"/>
  <c r="DR254" i="17"/>
  <c r="CG252" i="17"/>
  <c r="CE249" i="17"/>
  <c r="R248" i="17"/>
  <c r="Y248" i="17" s="1"/>
  <c r="CE242" i="17"/>
  <c r="CD240" i="17"/>
  <c r="CG240" i="17"/>
  <c r="Y239" i="17"/>
  <c r="Z238" i="17"/>
  <c r="BA232" i="17"/>
  <c r="DR232" i="17"/>
  <c r="DR210" i="17"/>
  <c r="R210" i="17"/>
  <c r="CQ208" i="17"/>
  <c r="CE207" i="17"/>
  <c r="CE199" i="17"/>
  <c r="CG199" i="17"/>
  <c r="DR195" i="17"/>
  <c r="R195" i="17"/>
  <c r="CP189" i="17"/>
  <c r="CG186" i="17"/>
  <c r="DS186" i="17"/>
  <c r="BA168" i="17"/>
  <c r="DR159" i="17"/>
  <c r="AT159" i="17"/>
  <c r="DS159" i="17" s="1"/>
  <c r="BB146" i="17"/>
  <c r="DM134" i="17"/>
  <c r="DN134" i="17" s="1"/>
  <c r="BV133" i="17"/>
  <c r="DS133" i="17" s="1"/>
  <c r="DR133" i="17"/>
  <c r="CE130" i="17"/>
  <c r="CF130" i="17"/>
  <c r="DM124" i="17"/>
  <c r="DN124" i="17" s="1"/>
  <c r="BB119" i="17"/>
  <c r="BA119" i="17"/>
  <c r="Y109" i="17"/>
  <c r="Z109" i="17"/>
  <c r="BB280" i="17"/>
  <c r="Z279" i="17"/>
  <c r="DM277" i="17"/>
  <c r="DN277" i="17" s="1"/>
  <c r="CF273" i="17"/>
  <c r="BB272" i="17"/>
  <c r="DM269" i="17"/>
  <c r="DN269" i="17" s="1"/>
  <c r="CF265" i="17"/>
  <c r="Z263" i="17"/>
  <c r="DM261" i="17"/>
  <c r="DN261" i="17" s="1"/>
  <c r="BB256" i="17"/>
  <c r="DM253" i="17"/>
  <c r="DN253" i="17" s="1"/>
  <c r="CF249" i="17"/>
  <c r="BB248" i="17"/>
  <c r="Z247" i="17"/>
  <c r="DM245" i="17"/>
  <c r="DN245" i="17" s="1"/>
  <c r="DO245" i="17" s="1"/>
  <c r="DP245" i="17" s="1"/>
  <c r="CF241" i="17"/>
  <c r="BB240" i="17"/>
  <c r="Z239" i="17"/>
  <c r="DM237" i="17"/>
  <c r="DN237" i="17" s="1"/>
  <c r="DO237" i="17" s="1"/>
  <c r="DP237" i="17" s="1"/>
  <c r="CF233" i="17"/>
  <c r="BB232" i="17"/>
  <c r="Z231" i="17"/>
  <c r="DM229" i="17"/>
  <c r="DN229" i="17" s="1"/>
  <c r="DO229" i="17" s="1"/>
  <c r="DP229" i="17" s="1"/>
  <c r="BB224" i="17"/>
  <c r="Z223" i="17"/>
  <c r="DM220" i="17"/>
  <c r="DN220" i="17" s="1"/>
  <c r="BA220" i="17"/>
  <c r="DR220" i="17"/>
  <c r="CG219" i="17"/>
  <c r="DR217" i="17"/>
  <c r="R217" i="17"/>
  <c r="Y217" i="17" s="1"/>
  <c r="CF216" i="17"/>
  <c r="CP212" i="17"/>
  <c r="DR211" i="17"/>
  <c r="CF207" i="17"/>
  <c r="CE205" i="17"/>
  <c r="CE197" i="17"/>
  <c r="BA195" i="17"/>
  <c r="DR194" i="17"/>
  <c r="CF192" i="17"/>
  <c r="DM190" i="17"/>
  <c r="DN190" i="17" s="1"/>
  <c r="CD190" i="17"/>
  <c r="CG190" i="17"/>
  <c r="AT190" i="17"/>
  <c r="DS190" i="17" s="1"/>
  <c r="DR190" i="17"/>
  <c r="BB188" i="17"/>
  <c r="CQ184" i="17"/>
  <c r="CO181" i="17"/>
  <c r="CP181" i="17" s="1"/>
  <c r="DS180" i="17"/>
  <c r="DR177" i="17"/>
  <c r="R177" i="17"/>
  <c r="Y177" i="17" s="1"/>
  <c r="Y172" i="17"/>
  <c r="Z171" i="17"/>
  <c r="BA160" i="17"/>
  <c r="BB160" i="17"/>
  <c r="BB150" i="17"/>
  <c r="BA150" i="17"/>
  <c r="BB142" i="17"/>
  <c r="BA142" i="17"/>
  <c r="AT141" i="17"/>
  <c r="BA141" i="17" s="1"/>
  <c r="DR141" i="17"/>
  <c r="DR112" i="17"/>
  <c r="R112" i="17"/>
  <c r="DR95" i="17"/>
  <c r="BV95" i="17"/>
  <c r="CE95" i="17" s="1"/>
  <c r="CQ217" i="17"/>
  <c r="CG217" i="17"/>
  <c r="BA213" i="17"/>
  <c r="CQ212" i="17"/>
  <c r="CO211" i="17"/>
  <c r="CP211" i="17" s="1"/>
  <c r="CQ211" i="17"/>
  <c r="BA211" i="17"/>
  <c r="BB211" i="17"/>
  <c r="DS211" i="17"/>
  <c r="BA209" i="17"/>
  <c r="DS194" i="17"/>
  <c r="DL194" i="17"/>
  <c r="DM189" i="17"/>
  <c r="DN189" i="17" s="1"/>
  <c r="DO187" i="17"/>
  <c r="DP187" i="17"/>
  <c r="BA186" i="17"/>
  <c r="DR184" i="17"/>
  <c r="BA183" i="17"/>
  <c r="BA175" i="17"/>
  <c r="BB175" i="17"/>
  <c r="DM170" i="17"/>
  <c r="DN170" i="17" s="1"/>
  <c r="AT170" i="17"/>
  <c r="BA170" i="17" s="1"/>
  <c r="DR170" i="17"/>
  <c r="CQ164" i="17"/>
  <c r="CO164" i="17"/>
  <c r="CP164" i="17" s="1"/>
  <c r="CD162" i="17"/>
  <c r="AT149" i="17"/>
  <c r="BA149" i="17" s="1"/>
  <c r="DR149" i="17"/>
  <c r="DL148" i="17"/>
  <c r="DS148" i="17"/>
  <c r="CF141" i="17"/>
  <c r="Y134" i="17"/>
  <c r="Z134" i="17"/>
  <c r="DM128" i="17"/>
  <c r="DN128" i="17" s="1"/>
  <c r="AT92" i="17"/>
  <c r="BA92" i="17" s="1"/>
  <c r="DR92" i="17"/>
  <c r="CO219" i="17"/>
  <c r="CP219" i="17" s="1"/>
  <c r="CQ219" i="17"/>
  <c r="Y219" i="17"/>
  <c r="BA218" i="17"/>
  <c r="BA212" i="17"/>
  <c r="DR212" i="17"/>
  <c r="DL207" i="17"/>
  <c r="CE206" i="17"/>
  <c r="CP197" i="17"/>
  <c r="CP190" i="17"/>
  <c r="CP186" i="17"/>
  <c r="CQ186" i="17"/>
  <c r="DL184" i="17"/>
  <c r="BA181" i="17"/>
  <c r="BB181" i="17"/>
  <c r="CQ177" i="17"/>
  <c r="CO177" i="17"/>
  <c r="CP177" i="17" s="1"/>
  <c r="CE176" i="17"/>
  <c r="DM169" i="17"/>
  <c r="DN169" i="17" s="1"/>
  <c r="CO166" i="17"/>
  <c r="CP166" i="17" s="1"/>
  <c r="CQ166" i="17"/>
  <c r="CH163" i="17"/>
  <c r="CQ163" i="17" s="1"/>
  <c r="DR163" i="17"/>
  <c r="Z152" i="17"/>
  <c r="CF143" i="17"/>
  <c r="CE143" i="17"/>
  <c r="DM135" i="17"/>
  <c r="DN135" i="17" s="1"/>
  <c r="Z127" i="17"/>
  <c r="BB97" i="17"/>
  <c r="AT96" i="17"/>
  <c r="DL96" i="17" s="1"/>
  <c r="DR96" i="17"/>
  <c r="DM91" i="17"/>
  <c r="DN91" i="17" s="1"/>
  <c r="CP220" i="17"/>
  <c r="CD220" i="17"/>
  <c r="CE220" i="17" s="1"/>
  <c r="CG220" i="17"/>
  <c r="R212" i="17"/>
  <c r="Y212" i="17" s="1"/>
  <c r="DR209" i="17"/>
  <c r="R209" i="17"/>
  <c r="Y209" i="17" s="1"/>
  <c r="CD204" i="17"/>
  <c r="CG204" i="17"/>
  <c r="DR201" i="17"/>
  <c r="R201" i="17"/>
  <c r="Y201" i="17" s="1"/>
  <c r="CD196" i="17"/>
  <c r="CG196" i="17"/>
  <c r="DR193" i="17"/>
  <c r="R193" i="17"/>
  <c r="CQ190" i="17"/>
  <c r="CE189" i="17"/>
  <c r="DS184" i="17"/>
  <c r="CE182" i="17"/>
  <c r="CF182" i="17"/>
  <c r="DL172" i="17"/>
  <c r="DS172" i="17"/>
  <c r="CP169" i="17"/>
  <c r="DM162" i="17"/>
  <c r="DN162" i="17" s="1"/>
  <c r="BA161" i="17"/>
  <c r="DM160" i="17"/>
  <c r="DN160" i="17" s="1"/>
  <c r="DO160" i="17" s="1"/>
  <c r="DP160" i="17" s="1"/>
  <c r="DM151" i="17"/>
  <c r="DN151" i="17" s="1"/>
  <c r="BB212" i="17"/>
  <c r="Z211" i="17"/>
  <c r="DM209" i="17"/>
  <c r="DN209" i="17" s="1"/>
  <c r="BB204" i="17"/>
  <c r="DM201" i="17"/>
  <c r="DN201" i="17" s="1"/>
  <c r="CF197" i="17"/>
  <c r="BB196" i="17"/>
  <c r="Z195" i="17"/>
  <c r="DM193" i="17"/>
  <c r="DN193" i="17" s="1"/>
  <c r="DO193" i="17" s="1"/>
  <c r="DP193" i="17" s="1"/>
  <c r="BB183" i="17"/>
  <c r="DR181" i="17"/>
  <c r="R181" i="17"/>
  <c r="Y181" i="17" s="1"/>
  <c r="DR180" i="17"/>
  <c r="BA178" i="17"/>
  <c r="CQ169" i="17"/>
  <c r="DS164" i="17"/>
  <c r="CO162" i="17"/>
  <c r="CP162" i="17" s="1"/>
  <c r="CQ162" i="17"/>
  <c r="CF160" i="17"/>
  <c r="CQ159" i="17"/>
  <c r="CQ158" i="17"/>
  <c r="CO158" i="17"/>
  <c r="CP158" i="17" s="1"/>
  <c r="CD157" i="17"/>
  <c r="CG157" i="17"/>
  <c r="BA148" i="17"/>
  <c r="CD147" i="17"/>
  <c r="CG147" i="17"/>
  <c r="CD140" i="17"/>
  <c r="CG140" i="17"/>
  <c r="CP135" i="17"/>
  <c r="CG127" i="17"/>
  <c r="CD127" i="17"/>
  <c r="CP123" i="17"/>
  <c r="BA114" i="17"/>
  <c r="DM107" i="17"/>
  <c r="DN107" i="17" s="1"/>
  <c r="DL103" i="17"/>
  <c r="Z67" i="17"/>
  <c r="CQ182" i="17"/>
  <c r="CC179" i="17"/>
  <c r="DR176" i="17"/>
  <c r="AT176" i="17"/>
  <c r="BA176" i="17" s="1"/>
  <c r="CP173" i="17"/>
  <c r="DS166" i="17"/>
  <c r="DL166" i="17"/>
  <c r="DR162" i="17"/>
  <c r="CP159" i="17"/>
  <c r="CP155" i="17"/>
  <c r="DR153" i="17"/>
  <c r="R153" i="17"/>
  <c r="Y153" i="17" s="1"/>
  <c r="Y150" i="17"/>
  <c r="Z150" i="17"/>
  <c r="BA143" i="17"/>
  <c r="BB143" i="17"/>
  <c r="BB138" i="17"/>
  <c r="DS137" i="17"/>
  <c r="DL137" i="17"/>
  <c r="CP133" i="17"/>
  <c r="CQ133" i="17"/>
  <c r="R127" i="17"/>
  <c r="Y127" i="17" s="1"/>
  <c r="DR127" i="17"/>
  <c r="Z118" i="17"/>
  <c r="Y118" i="17"/>
  <c r="Z111" i="17"/>
  <c r="Y111" i="17"/>
  <c r="DM110" i="17"/>
  <c r="DN110" i="17" s="1"/>
  <c r="DO110" i="17" s="1"/>
  <c r="DP110" i="17" s="1"/>
  <c r="CP103" i="17"/>
  <c r="BA87" i="17"/>
  <c r="BB87" i="17"/>
  <c r="R87" i="17"/>
  <c r="DR87" i="17"/>
  <c r="CE186" i="17"/>
  <c r="CP182" i="17"/>
  <c r="CQ180" i="17"/>
  <c r="CE178" i="17"/>
  <c r="CF178" i="17"/>
  <c r="CG177" i="17"/>
  <c r="Z177" i="17"/>
  <c r="Y176" i="17"/>
  <c r="Z176" i="17"/>
  <c r="CE174" i="17"/>
  <c r="DL174" i="17"/>
  <c r="CQ172" i="17"/>
  <c r="BA171" i="17"/>
  <c r="BB171" i="17"/>
  <c r="CG166" i="17"/>
  <c r="BA165" i="17"/>
  <c r="DS165" i="17"/>
  <c r="BA162" i="17"/>
  <c r="BB162" i="17"/>
  <c r="DL162" i="17"/>
  <c r="DS162" i="17"/>
  <c r="BB158" i="17"/>
  <c r="BA158" i="17"/>
  <c r="DS157" i="17"/>
  <c r="DL157" i="17"/>
  <c r="CE156" i="17"/>
  <c r="CF156" i="17"/>
  <c r="CQ155" i="17"/>
  <c r="CD136" i="17"/>
  <c r="CG136" i="17"/>
  <c r="Z135" i="17"/>
  <c r="Y123" i="17"/>
  <c r="Z123" i="17"/>
  <c r="Z113" i="17"/>
  <c r="Y113" i="17"/>
  <c r="CQ110" i="17"/>
  <c r="CO110" i="17"/>
  <c r="CP110" i="17" s="1"/>
  <c r="Y110" i="17"/>
  <c r="Z110" i="17"/>
  <c r="CO102" i="17"/>
  <c r="CP102" i="17" s="1"/>
  <c r="CQ102" i="17"/>
  <c r="DM88" i="17"/>
  <c r="DN88" i="17" s="1"/>
  <c r="DO88" i="17" s="1"/>
  <c r="DP88" i="17" s="1"/>
  <c r="DM73" i="17"/>
  <c r="DN73" i="17" s="1"/>
  <c r="DR186" i="17"/>
  <c r="DM181" i="17"/>
  <c r="DN181" i="17" s="1"/>
  <c r="CQ176" i="17"/>
  <c r="DL165" i="17"/>
  <c r="CG164" i="17"/>
  <c r="CD164" i="17"/>
  <c r="Y159" i="17"/>
  <c r="R158" i="17"/>
  <c r="Y158" i="17" s="1"/>
  <c r="DR157" i="17"/>
  <c r="BA157" i="17"/>
  <c r="BB157" i="17"/>
  <c r="DR156" i="17"/>
  <c r="R151" i="17"/>
  <c r="DR151" i="17"/>
  <c r="Y149" i="17"/>
  <c r="Y148" i="17"/>
  <c r="Z148" i="17"/>
  <c r="CP146" i="17"/>
  <c r="CG146" i="17"/>
  <c r="CE146" i="17"/>
  <c r="DR138" i="17"/>
  <c r="AT138" i="17"/>
  <c r="DL138" i="17" s="1"/>
  <c r="CG125" i="17"/>
  <c r="CD125" i="17"/>
  <c r="CE125" i="17" s="1"/>
  <c r="CE124" i="17"/>
  <c r="CF124" i="17"/>
  <c r="DM119" i="17"/>
  <c r="DN119" i="17" s="1"/>
  <c r="R116" i="17"/>
  <c r="Y116" i="17" s="1"/>
  <c r="DR116" i="17"/>
  <c r="BA115" i="17"/>
  <c r="BB115" i="17"/>
  <c r="CQ109" i="17"/>
  <c r="Y88" i="17"/>
  <c r="Z88" i="17"/>
  <c r="DR85" i="17"/>
  <c r="R85" i="17"/>
  <c r="Y85" i="17" s="1"/>
  <c r="R67" i="17"/>
  <c r="Y67" i="17" s="1"/>
  <c r="DR67" i="17"/>
  <c r="DM177" i="17"/>
  <c r="DN177" i="17" s="1"/>
  <c r="DR172" i="17"/>
  <c r="CG170" i="17"/>
  <c r="DM164" i="17"/>
  <c r="DN164" i="17" s="1"/>
  <c r="Y156" i="17"/>
  <c r="CE154" i="17"/>
  <c r="DR154" i="17"/>
  <c r="DR150" i="17"/>
  <c r="CE135" i="17"/>
  <c r="Y131" i="17"/>
  <c r="Z131" i="17"/>
  <c r="DL130" i="17"/>
  <c r="BA127" i="17"/>
  <c r="BB127" i="17"/>
  <c r="BA125" i="17"/>
  <c r="BB125" i="17"/>
  <c r="R125" i="17"/>
  <c r="Y125" i="17" s="1"/>
  <c r="DR125" i="17"/>
  <c r="CG123" i="17"/>
  <c r="DS123" i="17"/>
  <c r="DL115" i="17"/>
  <c r="DS115" i="17"/>
  <c r="CE113" i="17"/>
  <c r="CF113" i="17"/>
  <c r="BA112" i="17"/>
  <c r="BB112" i="17"/>
  <c r="R99" i="17"/>
  <c r="Y99" i="17" s="1"/>
  <c r="DR99" i="17"/>
  <c r="Z93" i="17"/>
  <c r="BA83" i="17"/>
  <c r="BB83" i="17"/>
  <c r="DM77" i="17"/>
  <c r="DN77" i="17" s="1"/>
  <c r="CG10" i="17"/>
  <c r="CE10" i="17"/>
  <c r="CQ154" i="17"/>
  <c r="DR152" i="17"/>
  <c r="R152" i="17"/>
  <c r="Y152" i="17" s="1"/>
  <c r="CP147" i="17"/>
  <c r="DR146" i="17"/>
  <c r="AT146" i="17"/>
  <c r="BA146" i="17" s="1"/>
  <c r="CP138" i="17"/>
  <c r="CG137" i="17"/>
  <c r="CD137" i="17"/>
  <c r="CE137" i="17" s="1"/>
  <c r="DS131" i="17"/>
  <c r="Z121" i="17"/>
  <c r="Y121" i="17"/>
  <c r="BV118" i="17"/>
  <c r="CG118" i="17" s="1"/>
  <c r="DR118" i="17"/>
  <c r="Z114" i="17"/>
  <c r="BV111" i="17"/>
  <c r="DR111" i="17"/>
  <c r="CG106" i="17"/>
  <c r="CD106" i="17"/>
  <c r="Y106" i="17"/>
  <c r="Z106" i="17"/>
  <c r="DR105" i="17"/>
  <c r="AT105" i="17"/>
  <c r="DL105" i="17" s="1"/>
  <c r="CF95" i="17"/>
  <c r="Y92" i="17"/>
  <c r="R84" i="17"/>
  <c r="DR84" i="17"/>
  <c r="R59" i="17"/>
  <c r="Y59" i="17" s="1"/>
  <c r="DR59" i="17"/>
  <c r="DM57" i="17"/>
  <c r="DN57" i="17" s="1"/>
  <c r="DM34" i="17"/>
  <c r="DN34" i="17" s="1"/>
  <c r="CG172" i="17"/>
  <c r="CE150" i="17"/>
  <c r="BA147" i="17"/>
  <c r="BB147" i="17"/>
  <c r="Z144" i="17"/>
  <c r="R143" i="17"/>
  <c r="DR143" i="17"/>
  <c r="CE142" i="17"/>
  <c r="DM140" i="17"/>
  <c r="DN140" i="17" s="1"/>
  <c r="CD122" i="17"/>
  <c r="CE122" i="17" s="1"/>
  <c r="CG122" i="17"/>
  <c r="AT122" i="17"/>
  <c r="DL122" i="17" s="1"/>
  <c r="BA120" i="17"/>
  <c r="BB120" i="17"/>
  <c r="BA118" i="17"/>
  <c r="DM106" i="17"/>
  <c r="DN106" i="17" s="1"/>
  <c r="DO106" i="17" s="1"/>
  <c r="DP106" i="17" s="1"/>
  <c r="DM101" i="17"/>
  <c r="DN101" i="17" s="1"/>
  <c r="DO101" i="17" s="1"/>
  <c r="DP101" i="17" s="1"/>
  <c r="BA93" i="17"/>
  <c r="R91" i="17"/>
  <c r="DR91" i="17"/>
  <c r="CO84" i="17"/>
  <c r="CP84" i="17" s="1"/>
  <c r="CQ84" i="17"/>
  <c r="CQ73" i="17"/>
  <c r="CP73" i="17"/>
  <c r="R73" i="17"/>
  <c r="DR73" i="17"/>
  <c r="AT72" i="17"/>
  <c r="DS72" i="17" s="1"/>
  <c r="DR72" i="17"/>
  <c r="CE60" i="17"/>
  <c r="DS60" i="17"/>
  <c r="CG56" i="17"/>
  <c r="CE56" i="17"/>
  <c r="DR164" i="17"/>
  <c r="BA156" i="17"/>
  <c r="DL156" i="17"/>
  <c r="DL150" i="17"/>
  <c r="BB149" i="17"/>
  <c r="DR148" i="17"/>
  <c r="CG145" i="17"/>
  <c r="CD145" i="17"/>
  <c r="DM143" i="17"/>
  <c r="DN143" i="17" s="1"/>
  <c r="DL142" i="17"/>
  <c r="BB141" i="17"/>
  <c r="Y141" i="17"/>
  <c r="CD139" i="17"/>
  <c r="Y137" i="17"/>
  <c r="CO136" i="17"/>
  <c r="CP136" i="17" s="1"/>
  <c r="CQ136" i="17"/>
  <c r="DS134" i="17"/>
  <c r="DR131" i="17"/>
  <c r="BA129" i="17"/>
  <c r="DR128" i="17"/>
  <c r="R128" i="17"/>
  <c r="DR114" i="17"/>
  <c r="R114" i="17"/>
  <c r="BB98" i="17"/>
  <c r="BA98" i="17"/>
  <c r="DS98" i="17"/>
  <c r="DL98" i="17"/>
  <c r="CO92" i="17"/>
  <c r="CP92" i="17" s="1"/>
  <c r="CQ92" i="17"/>
  <c r="CQ86" i="17"/>
  <c r="CO86" i="17"/>
  <c r="CP86" i="17" s="1"/>
  <c r="CG86" i="17"/>
  <c r="CE86" i="17"/>
  <c r="DL86" i="17"/>
  <c r="DS86" i="17"/>
  <c r="DM65" i="17"/>
  <c r="DN65" i="17" s="1"/>
  <c r="BB63" i="17"/>
  <c r="BA63" i="17"/>
  <c r="Y154" i="17"/>
  <c r="CQ152" i="17"/>
  <c r="BA145" i="17"/>
  <c r="CQ144" i="17"/>
  <c r="CF144" i="17"/>
  <c r="Z142" i="17"/>
  <c r="DR134" i="17"/>
  <c r="Y124" i="17"/>
  <c r="CO121" i="17"/>
  <c r="CP121" i="17" s="1"/>
  <c r="CQ121" i="17"/>
  <c r="Z119" i="17"/>
  <c r="DM117" i="17"/>
  <c r="DN117" i="17" s="1"/>
  <c r="CD116" i="17"/>
  <c r="BA110" i="17"/>
  <c r="DR108" i="17"/>
  <c r="AT108" i="17"/>
  <c r="DL108" i="17" s="1"/>
  <c r="CD105" i="17"/>
  <c r="CG105" i="17"/>
  <c r="Z105" i="17"/>
  <c r="Y105" i="17"/>
  <c r="Y96" i="17"/>
  <c r="Z96" i="17"/>
  <c r="CD92" i="17"/>
  <c r="BB81" i="17"/>
  <c r="CE78" i="17"/>
  <c r="Z75" i="17"/>
  <c r="DM33" i="17"/>
  <c r="DN33" i="17" s="1"/>
  <c r="CG32" i="17"/>
  <c r="CD32" i="17"/>
  <c r="Z32" i="17"/>
  <c r="CD23" i="17"/>
  <c r="CG23" i="17"/>
  <c r="CQ146" i="17"/>
  <c r="DR145" i="17"/>
  <c r="BA139" i="17"/>
  <c r="CQ138" i="17"/>
  <c r="CQ134" i="17"/>
  <c r="CG134" i="17"/>
  <c r="CQ123" i="17"/>
  <c r="CG100" i="17"/>
  <c r="DR93" i="17"/>
  <c r="R93" i="17"/>
  <c r="Y93" i="17" s="1"/>
  <c r="BB90" i="17"/>
  <c r="BA90" i="17"/>
  <c r="BB89" i="17"/>
  <c r="CD74" i="17"/>
  <c r="CG74" i="17"/>
  <c r="CP67" i="17"/>
  <c r="CQ67" i="17"/>
  <c r="CD59" i="17"/>
  <c r="CG59" i="17"/>
  <c r="CP53" i="17"/>
  <c r="BB49" i="17"/>
  <c r="BA49" i="17"/>
  <c r="BA154" i="17"/>
  <c r="Y146" i="17"/>
  <c r="R145" i="17"/>
  <c r="Y145" i="17" s="1"/>
  <c r="Y138" i="17"/>
  <c r="CP131" i="17"/>
  <c r="CP115" i="17"/>
  <c r="CE112" i="17"/>
  <c r="CF112" i="17"/>
  <c r="Y108" i="17"/>
  <c r="DR104" i="17"/>
  <c r="CD99" i="17"/>
  <c r="CE99" i="17" s="1"/>
  <c r="CG99" i="17"/>
  <c r="CQ94" i="17"/>
  <c r="CO94" i="17"/>
  <c r="CP94" i="17" s="1"/>
  <c r="CD91" i="17"/>
  <c r="CG91" i="17"/>
  <c r="CP88" i="17"/>
  <c r="CQ88" i="17"/>
  <c r="CE80" i="17"/>
  <c r="CG80" i="17"/>
  <c r="DR75" i="17"/>
  <c r="R75" i="17"/>
  <c r="Y75" i="17" s="1"/>
  <c r="AT74" i="17"/>
  <c r="DL74" i="17" s="1"/>
  <c r="DR74" i="17"/>
  <c r="CE70" i="17"/>
  <c r="CF70" i="17"/>
  <c r="BB64" i="17"/>
  <c r="BA64" i="17"/>
  <c r="DS64" i="17"/>
  <c r="DL64" i="17"/>
  <c r="CH61" i="17"/>
  <c r="CQ61" i="17" s="1"/>
  <c r="DR61" i="17"/>
  <c r="CG153" i="17"/>
  <c r="CD153" i="17"/>
  <c r="DM150" i="17"/>
  <c r="DN150" i="17" s="1"/>
  <c r="DM142" i="17"/>
  <c r="DN142" i="17" s="1"/>
  <c r="DR137" i="17"/>
  <c r="CE132" i="17"/>
  <c r="DM130" i="17"/>
  <c r="DN130" i="17" s="1"/>
  <c r="DR130" i="17"/>
  <c r="R129" i="17"/>
  <c r="Y129" i="17" s="1"/>
  <c r="DR129" i="17"/>
  <c r="DM120" i="17"/>
  <c r="DN120" i="17" s="1"/>
  <c r="R120" i="17"/>
  <c r="DR120" i="17"/>
  <c r="CP118" i="17"/>
  <c r="CP117" i="17"/>
  <c r="CP116" i="17"/>
  <c r="CQ115" i="17"/>
  <c r="CG114" i="17"/>
  <c r="CD114" i="17"/>
  <c r="BA104" i="17"/>
  <c r="CO100" i="17"/>
  <c r="CP100" i="17" s="1"/>
  <c r="CQ100" i="17"/>
  <c r="CO75" i="17"/>
  <c r="CP75" i="17" s="1"/>
  <c r="CQ75" i="17"/>
  <c r="DL71" i="17"/>
  <c r="DS71" i="17"/>
  <c r="CQ69" i="17"/>
  <c r="CO69" i="17"/>
  <c r="CP69" i="17" s="1"/>
  <c r="Y115" i="17"/>
  <c r="DM108" i="17"/>
  <c r="DN108" i="17" s="1"/>
  <c r="DO108" i="17" s="1"/>
  <c r="DP108" i="17" s="1"/>
  <c r="CQ106" i="17"/>
  <c r="CO106" i="17"/>
  <c r="CP106" i="17" s="1"/>
  <c r="BA100" i="17"/>
  <c r="BB100" i="17"/>
  <c r="DM98" i="17"/>
  <c r="DN98" i="17" s="1"/>
  <c r="Y94" i="17"/>
  <c r="CO91" i="17"/>
  <c r="CP91" i="17" s="1"/>
  <c r="CQ91" i="17"/>
  <c r="Y90" i="17"/>
  <c r="BA86" i="17"/>
  <c r="BB86" i="17"/>
  <c r="R81" i="17"/>
  <c r="DR81" i="17"/>
  <c r="DM79" i="17"/>
  <c r="DN79" i="17" s="1"/>
  <c r="R78" i="17"/>
  <c r="Y78" i="17" s="1"/>
  <c r="DR78" i="17"/>
  <c r="CD73" i="17"/>
  <c r="CG73" i="17"/>
  <c r="CQ65" i="17"/>
  <c r="CO65" i="17"/>
  <c r="CP65" i="17" s="1"/>
  <c r="CP63" i="17"/>
  <c r="DS53" i="17"/>
  <c r="DL53" i="17"/>
  <c r="AT23" i="17"/>
  <c r="BA23" i="17" s="1"/>
  <c r="DR23" i="17"/>
  <c r="CQ103" i="17"/>
  <c r="BA94" i="17"/>
  <c r="BB94" i="17"/>
  <c r="BA91" i="17"/>
  <c r="DS90" i="17"/>
  <c r="DL90" i="17"/>
  <c r="CE83" i="17"/>
  <c r="CG82" i="17"/>
  <c r="CD82" i="17"/>
  <c r="DM81" i="17"/>
  <c r="DN81" i="17" s="1"/>
  <c r="Z46" i="17"/>
  <c r="DR43" i="17"/>
  <c r="R43" i="17"/>
  <c r="Y43" i="17" s="1"/>
  <c r="CE42" i="17"/>
  <c r="CP39" i="17"/>
  <c r="CQ39" i="17"/>
  <c r="DS39" i="17"/>
  <c r="DL39" i="17"/>
  <c r="CQ128" i="17"/>
  <c r="CG128" i="17"/>
  <c r="DR123" i="17"/>
  <c r="CQ119" i="17"/>
  <c r="CG119" i="17"/>
  <c r="CE117" i="17"/>
  <c r="CE115" i="17"/>
  <c r="AT107" i="17"/>
  <c r="BA107" i="17" s="1"/>
  <c r="DL106" i="17"/>
  <c r="CP105" i="17"/>
  <c r="DS103" i="17"/>
  <c r="Y98" i="17"/>
  <c r="BA95" i="17"/>
  <c r="BB95" i="17"/>
  <c r="DM90" i="17"/>
  <c r="DN90" i="17" s="1"/>
  <c r="DS88" i="17"/>
  <c r="CE87" i="17"/>
  <c r="CF87" i="17"/>
  <c r="Z86" i="17"/>
  <c r="Z85" i="17"/>
  <c r="CO83" i="17"/>
  <c r="CP83" i="17" s="1"/>
  <c r="CQ83" i="17"/>
  <c r="BB75" i="17"/>
  <c r="BA75" i="17"/>
  <c r="Z71" i="17"/>
  <c r="Y71" i="17"/>
  <c r="DR115" i="17"/>
  <c r="DS113" i="17"/>
  <c r="DL113" i="17"/>
  <c r="CD109" i="17"/>
  <c r="CG109" i="17"/>
  <c r="DL104" i="17"/>
  <c r="DR103" i="17"/>
  <c r="DM102" i="17"/>
  <c r="DN102" i="17" s="1"/>
  <c r="CE102" i="17"/>
  <c r="CF102" i="17"/>
  <c r="DR102" i="17"/>
  <c r="AT102" i="17"/>
  <c r="DS102" i="17" s="1"/>
  <c r="CE100" i="17"/>
  <c r="CE79" i="17"/>
  <c r="DL77" i="17"/>
  <c r="Y77" i="17"/>
  <c r="DS77" i="17"/>
  <c r="Z63" i="17"/>
  <c r="R62" i="17"/>
  <c r="DR62" i="17"/>
  <c r="Y60" i="17"/>
  <c r="Z60" i="17"/>
  <c r="Y53" i="17"/>
  <c r="Z53" i="17"/>
  <c r="CF45" i="17"/>
  <c r="CE45" i="17"/>
  <c r="CG34" i="17"/>
  <c r="CD34" i="17"/>
  <c r="BB27" i="17"/>
  <c r="BA27" i="17"/>
  <c r="DR106" i="17"/>
  <c r="CG101" i="17"/>
  <c r="CD101" i="17"/>
  <c r="DR94" i="17"/>
  <c r="DR86" i="17"/>
  <c r="DR77" i="17"/>
  <c r="CQ72" i="17"/>
  <c r="DR71" i="17"/>
  <c r="BA69" i="17"/>
  <c r="BB69" i="17"/>
  <c r="BA68" i="17"/>
  <c r="CO61" i="17"/>
  <c r="AT58" i="17"/>
  <c r="DL58" i="17" s="1"/>
  <c r="DR58" i="17"/>
  <c r="DS52" i="17"/>
  <c r="DL52" i="17"/>
  <c r="CQ48" i="17"/>
  <c r="CO48" i="17"/>
  <c r="CP48" i="17" s="1"/>
  <c r="BB48" i="17"/>
  <c r="CG38" i="17"/>
  <c r="CD38" i="17"/>
  <c r="CE38" i="17" s="1"/>
  <c r="DS35" i="17"/>
  <c r="DL35" i="17"/>
  <c r="BA101" i="17"/>
  <c r="CQ98" i="17"/>
  <c r="CG98" i="17"/>
  <c r="CF96" i="17"/>
  <c r="CQ95" i="17"/>
  <c r="CQ90" i="17"/>
  <c r="CG90" i="17"/>
  <c r="CQ87" i="17"/>
  <c r="CQ81" i="17"/>
  <c r="CG77" i="17"/>
  <c r="DM76" i="17"/>
  <c r="DN76" i="17" s="1"/>
  <c r="DO76" i="17" s="1"/>
  <c r="DP76" i="17" s="1"/>
  <c r="DM74" i="17"/>
  <c r="DN74" i="17" s="1"/>
  <c r="DO74" i="17" s="1"/>
  <c r="DP74" i="17" s="1"/>
  <c r="Y70" i="17"/>
  <c r="Z70" i="17"/>
  <c r="CG69" i="17"/>
  <c r="CD69" i="17"/>
  <c r="Z69" i="17"/>
  <c r="CP68" i="17"/>
  <c r="CG68" i="17"/>
  <c r="DR65" i="17"/>
  <c r="R65" i="17"/>
  <c r="Y65" i="17" s="1"/>
  <c r="CD63" i="17"/>
  <c r="CG63" i="17"/>
  <c r="DL60" i="17"/>
  <c r="CE54" i="17"/>
  <c r="DS54" i="17"/>
  <c r="Y44" i="17"/>
  <c r="Z44" i="17"/>
  <c r="CQ29" i="17"/>
  <c r="CO29" i="17"/>
  <c r="CP29" i="17" s="1"/>
  <c r="CP95" i="17"/>
  <c r="CG93" i="17"/>
  <c r="CD93" i="17"/>
  <c r="CE93" i="17" s="1"/>
  <c r="DL88" i="17"/>
  <c r="CP87" i="17"/>
  <c r="CG85" i="17"/>
  <c r="CD85" i="17"/>
  <c r="CE85" i="17" s="1"/>
  <c r="CP81" i="17"/>
  <c r="CP77" i="17"/>
  <c r="CF72" i="17"/>
  <c r="CE72" i="17"/>
  <c r="CQ68" i="17"/>
  <c r="BA45" i="17"/>
  <c r="BB45" i="17"/>
  <c r="CP44" i="17"/>
  <c r="DL36" i="17"/>
  <c r="DS36" i="17"/>
  <c r="AT34" i="17"/>
  <c r="DL34" i="17" s="1"/>
  <c r="DR34" i="17"/>
  <c r="AT30" i="17"/>
  <c r="DS30" i="17" s="1"/>
  <c r="DR30" i="17"/>
  <c r="CD22" i="17"/>
  <c r="CG22" i="17"/>
  <c r="CE20" i="17"/>
  <c r="CF20" i="17"/>
  <c r="DR98" i="17"/>
  <c r="DR90" i="17"/>
  <c r="DM62" i="17"/>
  <c r="DN62" i="17" s="1"/>
  <c r="CE58" i="17"/>
  <c r="CF58" i="17"/>
  <c r="CG54" i="17"/>
  <c r="DR52" i="17"/>
  <c r="CO38" i="17"/>
  <c r="CP38" i="17" s="1"/>
  <c r="CQ38" i="17"/>
  <c r="BA37" i="17"/>
  <c r="Y36" i="17"/>
  <c r="Z36" i="17"/>
  <c r="CF5" i="17"/>
  <c r="CE5" i="17"/>
  <c r="DR76" i="17"/>
  <c r="AT70" i="17"/>
  <c r="DR70" i="17"/>
  <c r="DR68" i="17"/>
  <c r="Y56" i="17"/>
  <c r="Z56" i="17"/>
  <c r="CP55" i="17"/>
  <c r="Z49" i="17"/>
  <c r="BA44" i="17"/>
  <c r="DL44" i="17"/>
  <c r="Y39" i="17"/>
  <c r="Y37" i="17"/>
  <c r="Z37" i="17"/>
  <c r="BB36" i="17"/>
  <c r="BA36" i="17"/>
  <c r="CE25" i="17"/>
  <c r="BA20" i="17"/>
  <c r="CQ76" i="17"/>
  <c r="CG76" i="17"/>
  <c r="R76" i="17"/>
  <c r="Y76" i="17" s="1"/>
  <c r="CO70" i="17"/>
  <c r="CP70" i="17" s="1"/>
  <c r="CQ70" i="17"/>
  <c r="CQ56" i="17"/>
  <c r="CO56" i="17"/>
  <c r="CP56" i="17" s="1"/>
  <c r="DS55" i="17"/>
  <c r="DL55" i="17"/>
  <c r="Y55" i="17"/>
  <c r="CD52" i="17"/>
  <c r="CE52" i="17" s="1"/>
  <c r="CG52" i="17"/>
  <c r="DM48" i="17"/>
  <c r="DN48" i="17" s="1"/>
  <c r="DO48" i="17" s="1"/>
  <c r="DP48" i="17" s="1"/>
  <c r="R45" i="17"/>
  <c r="DR45" i="17"/>
  <c r="DL13" i="17"/>
  <c r="DS13" i="17"/>
  <c r="Y68" i="17"/>
  <c r="CE66" i="17"/>
  <c r="CF66" i="17"/>
  <c r="CQ64" i="17"/>
  <c r="CQ60" i="17"/>
  <c r="CG60" i="17"/>
  <c r="Z59" i="17"/>
  <c r="DR57" i="17"/>
  <c r="R57" i="17"/>
  <c r="Y57" i="17" s="1"/>
  <c r="BA55" i="17"/>
  <c r="BB55" i="17"/>
  <c r="DR55" i="17"/>
  <c r="Z52" i="17"/>
  <c r="Y52" i="17"/>
  <c r="BA50" i="17"/>
  <c r="BB50" i="17"/>
  <c r="CE49" i="17"/>
  <c r="BB47" i="17"/>
  <c r="BA47" i="17"/>
  <c r="CE40" i="17"/>
  <c r="DM38" i="17"/>
  <c r="DN38" i="17" s="1"/>
  <c r="BA38" i="17"/>
  <c r="DM36" i="17"/>
  <c r="DN36" i="17" s="1"/>
  <c r="DO36" i="17" s="1"/>
  <c r="DP36" i="17" s="1"/>
  <c r="BA29" i="17"/>
  <c r="BB29" i="17"/>
  <c r="R29" i="17"/>
  <c r="DR29" i="17"/>
  <c r="Y20" i="17"/>
  <c r="Z20" i="17"/>
  <c r="CQ57" i="17"/>
  <c r="CO57" i="17"/>
  <c r="CP57" i="17" s="1"/>
  <c r="DR56" i="17"/>
  <c r="CG55" i="17"/>
  <c r="CD55" i="17"/>
  <c r="DL54" i="17"/>
  <c r="CG50" i="17"/>
  <c r="CQ49" i="17"/>
  <c r="CO49" i="17"/>
  <c r="CP49" i="17" s="1"/>
  <c r="Z47" i="17"/>
  <c r="DS27" i="17"/>
  <c r="DL27" i="17"/>
  <c r="Z11" i="17"/>
  <c r="Y11" i="17"/>
  <c r="DR64" i="17"/>
  <c r="Y61" i="17"/>
  <c r="DM60" i="17"/>
  <c r="DN60" i="17" s="1"/>
  <c r="DR60" i="17"/>
  <c r="BB58" i="17"/>
  <c r="AT56" i="17"/>
  <c r="BA56" i="17" s="1"/>
  <c r="CG53" i="17"/>
  <c r="CD53" i="17"/>
  <c r="CE53" i="17" s="1"/>
  <c r="CF48" i="17"/>
  <c r="CE48" i="17"/>
  <c r="Y48" i="17"/>
  <c r="DM41" i="17"/>
  <c r="DN41" i="17" s="1"/>
  <c r="CG41" i="17"/>
  <c r="DM37" i="17"/>
  <c r="DN37" i="17" s="1"/>
  <c r="CG33" i="17"/>
  <c r="CD33" i="17"/>
  <c r="CQ32" i="17"/>
  <c r="CO32" i="17"/>
  <c r="CP32" i="17" s="1"/>
  <c r="BB32" i="17"/>
  <c r="BA32" i="17"/>
  <c r="CH20" i="17"/>
  <c r="DS20" i="17" s="1"/>
  <c r="DR20" i="17"/>
  <c r="DL11" i="17"/>
  <c r="DS11" i="17"/>
  <c r="CG11" i="17"/>
  <c r="CG57" i="17"/>
  <c r="CO46" i="17"/>
  <c r="CP46" i="17" s="1"/>
  <c r="CQ46" i="17"/>
  <c r="CP41" i="17"/>
  <c r="CQ40" i="17"/>
  <c r="CO40" i="17"/>
  <c r="CP40" i="17" s="1"/>
  <c r="CO25" i="17"/>
  <c r="CP25" i="17" s="1"/>
  <c r="CQ25" i="17"/>
  <c r="Z25" i="17"/>
  <c r="Y25" i="17"/>
  <c r="CO23" i="17"/>
  <c r="CP23" i="17" s="1"/>
  <c r="CQ23" i="17"/>
  <c r="DS16" i="17"/>
  <c r="DL16" i="17"/>
  <c r="Z6" i="17"/>
  <c r="CQ53" i="17"/>
  <c r="CQ51" i="17"/>
  <c r="CG45" i="17"/>
  <c r="DR44" i="17"/>
  <c r="CG42" i="17"/>
  <c r="DS33" i="17"/>
  <c r="DL33" i="17"/>
  <c r="CE29" i="17"/>
  <c r="CP28" i="17"/>
  <c r="AT19" i="17"/>
  <c r="DR19" i="17"/>
  <c r="DM10" i="17"/>
  <c r="DN10" i="17" s="1"/>
  <c r="DO10" i="17" s="1"/>
  <c r="DP10" i="17" s="1"/>
  <c r="BA54" i="17"/>
  <c r="DM50" i="17"/>
  <c r="DN50" i="17" s="1"/>
  <c r="DR48" i="17"/>
  <c r="AT48" i="17"/>
  <c r="BA48" i="17" s="1"/>
  <c r="R47" i="17"/>
  <c r="Y47" i="17" s="1"/>
  <c r="DR47" i="17"/>
  <c r="DS44" i="17"/>
  <c r="DR36" i="17"/>
  <c r="CG29" i="17"/>
  <c r="Y28" i="17"/>
  <c r="CE27" i="17"/>
  <c r="CF27" i="17"/>
  <c r="CF16" i="17"/>
  <c r="CE16" i="17"/>
  <c r="CE11" i="17"/>
  <c r="CF11" i="17"/>
  <c r="BA42" i="17"/>
  <c r="CQ41" i="17"/>
  <c r="CG39" i="17"/>
  <c r="DR32" i="17"/>
  <c r="R32" i="17"/>
  <c r="Y32" i="17" s="1"/>
  <c r="CP19" i="17"/>
  <c r="CQ15" i="17"/>
  <c r="Z14" i="17"/>
  <c r="CO11" i="17"/>
  <c r="CP11" i="17" s="1"/>
  <c r="CQ11" i="17"/>
  <c r="CE7" i="17"/>
  <c r="CF7" i="17"/>
  <c r="CQ44" i="17"/>
  <c r="CG44" i="17"/>
  <c r="CE43" i="17"/>
  <c r="CP42" i="17"/>
  <c r="DS40" i="17"/>
  <c r="Y35" i="17"/>
  <c r="CQ33" i="17"/>
  <c r="Y33" i="17"/>
  <c r="Y27" i="17"/>
  <c r="Z22" i="17"/>
  <c r="Y21" i="17"/>
  <c r="Z21" i="17"/>
  <c r="CQ14" i="17"/>
  <c r="CO14" i="17"/>
  <c r="CP14" i="17" s="1"/>
  <c r="DR53" i="17"/>
  <c r="DR41" i="17"/>
  <c r="R41" i="17"/>
  <c r="Y41" i="17" s="1"/>
  <c r="DR40" i="17"/>
  <c r="DM32" i="17"/>
  <c r="DN32" i="17" s="1"/>
  <c r="CE31" i="17"/>
  <c r="CO26" i="17"/>
  <c r="CP26" i="17" s="1"/>
  <c r="CQ26" i="17"/>
  <c r="CG25" i="17"/>
  <c r="DM24" i="17"/>
  <c r="DN24" i="17" s="1"/>
  <c r="DO24" i="17" s="1"/>
  <c r="DP24" i="17" s="1"/>
  <c r="Z24" i="17"/>
  <c r="CD18" i="17"/>
  <c r="CG18" i="17"/>
  <c r="CE13" i="17"/>
  <c r="CF13" i="17"/>
  <c r="Y9" i="17"/>
  <c r="Z9" i="17"/>
  <c r="DR7" i="17"/>
  <c r="R7" i="17"/>
  <c r="Z23" i="17"/>
  <c r="Y23" i="17"/>
  <c r="CG15" i="17"/>
  <c r="CD15" i="17"/>
  <c r="DR14" i="17"/>
  <c r="R14" i="17"/>
  <c r="Y14" i="17" s="1"/>
  <c r="DR9" i="17"/>
  <c r="CQ7" i="17"/>
  <c r="CO7" i="17"/>
  <c r="CP7" i="17" s="1"/>
  <c r="BA33" i="17"/>
  <c r="CQ28" i="17"/>
  <c r="DR28" i="17"/>
  <c r="CG24" i="17"/>
  <c r="CD24" i="17"/>
  <c r="BB15" i="17"/>
  <c r="BA15" i="17"/>
  <c r="DR15" i="17"/>
  <c r="BA14" i="17"/>
  <c r="DM11" i="17"/>
  <c r="DN11" i="17" s="1"/>
  <c r="DO11" i="17" s="1"/>
  <c r="DP11" i="17" s="1"/>
  <c r="CP10" i="17"/>
  <c r="CP8" i="17"/>
  <c r="DR8" i="17"/>
  <c r="DM6" i="17"/>
  <c r="DN6" i="17" s="1"/>
  <c r="DR6" i="17"/>
  <c r="R6" i="17"/>
  <c r="Y6" i="17" s="1"/>
  <c r="BA5" i="17"/>
  <c r="DR5" i="17"/>
  <c r="R5" i="17"/>
  <c r="Y5" i="17" s="1"/>
  <c r="AT28" i="17"/>
  <c r="BA28" i="17" s="1"/>
  <c r="DR27" i="17"/>
  <c r="CQ24" i="17"/>
  <c r="CO24" i="17"/>
  <c r="CP24" i="17" s="1"/>
  <c r="R15" i="17"/>
  <c r="Y15" i="17" s="1"/>
  <c r="DR13" i="17"/>
  <c r="BA8" i="17"/>
  <c r="BB8" i="17"/>
  <c r="R8" i="17"/>
  <c r="CQ6" i="17"/>
  <c r="CO6" i="17"/>
  <c r="CP6" i="17" s="1"/>
  <c r="DR21" i="17"/>
  <c r="BA16" i="17"/>
  <c r="DS12" i="17"/>
  <c r="DL12" i="17"/>
  <c r="CF8" i="17"/>
  <c r="CE8" i="17"/>
  <c r="BA7" i="17"/>
  <c r="BB6" i="17"/>
  <c r="BA6" i="17"/>
  <c r="CQ5" i="17"/>
  <c r="DR24" i="17"/>
  <c r="Y13" i="17"/>
  <c r="CG7" i="17"/>
  <c r="CE6" i="17"/>
  <c r="CF6" i="17"/>
  <c r="R24" i="17"/>
  <c r="CP17" i="17"/>
  <c r="CP16" i="17"/>
  <c r="CG14" i="17"/>
  <c r="CG6" i="17"/>
  <c r="DP360" i="17" l="1"/>
  <c r="DP476" i="17"/>
  <c r="DP178" i="17"/>
  <c r="DQ178" i="17" s="1"/>
  <c r="DO305" i="17"/>
  <c r="DO460" i="17"/>
  <c r="DP114" i="17"/>
  <c r="DP532" i="17"/>
  <c r="DP367" i="17"/>
  <c r="DP493" i="17"/>
  <c r="DQ493" i="17" s="1"/>
  <c r="DO451" i="17"/>
  <c r="DP312" i="17"/>
  <c r="DQ312" i="17" s="1"/>
  <c r="DP340" i="17"/>
  <c r="DO477" i="17"/>
  <c r="DP372" i="17"/>
  <c r="DO97" i="17"/>
  <c r="DP26" i="17"/>
  <c r="DO383" i="17"/>
  <c r="DP267" i="17"/>
  <c r="DO352" i="17"/>
  <c r="DP356" i="17"/>
  <c r="DQ356" i="17" s="1"/>
  <c r="DP51" i="17"/>
  <c r="DP535" i="17"/>
  <c r="DQ535" i="17" s="1"/>
  <c r="DP104" i="17"/>
  <c r="DQ104" i="17" s="1"/>
  <c r="DP230" i="17"/>
  <c r="DQ230" i="17" s="1"/>
  <c r="DP275" i="17"/>
  <c r="DP291" i="17"/>
  <c r="DP533" i="17"/>
  <c r="DQ533" i="17" s="1"/>
  <c r="DP369" i="17"/>
  <c r="DP213" i="17"/>
  <c r="DQ213" i="17" s="1"/>
  <c r="K22" i="18"/>
  <c r="L22" i="18" s="1"/>
  <c r="DO443" i="17"/>
  <c r="DP518" i="17"/>
  <c r="DO427" i="17"/>
  <c r="DO531" i="17"/>
  <c r="DP54" i="17"/>
  <c r="DQ54" i="17" s="1"/>
  <c r="DP282" i="17"/>
  <c r="DP314" i="17"/>
  <c r="DO279" i="17"/>
  <c r="DP109" i="17"/>
  <c r="DP252" i="17"/>
  <c r="DP456" i="17"/>
  <c r="DQ456" i="17" s="1"/>
  <c r="DO454" i="17"/>
  <c r="DO439" i="17"/>
  <c r="DP259" i="17"/>
  <c r="DQ259" i="17" s="1"/>
  <c r="DO318" i="17"/>
  <c r="DP494" i="17"/>
  <c r="DQ494" i="17" s="1"/>
  <c r="DO416" i="17"/>
  <c r="DO218" i="17"/>
  <c r="DP242" i="17"/>
  <c r="DQ242" i="17" s="1"/>
  <c r="DP297" i="17"/>
  <c r="DP14" i="17"/>
  <c r="DP412" i="17"/>
  <c r="DO516" i="17"/>
  <c r="DP436" i="17"/>
  <c r="DQ436" i="17" s="1"/>
  <c r="DP444" i="17"/>
  <c r="DO377" i="17"/>
  <c r="DO337" i="17"/>
  <c r="DP362" i="17"/>
  <c r="DQ362" i="17" s="1"/>
  <c r="DO388" i="17"/>
  <c r="DP515" i="17"/>
  <c r="DQ515" i="17" s="1"/>
  <c r="DO489" i="17"/>
  <c r="DO273" i="17"/>
  <c r="DP422" i="17"/>
  <c r="DQ422" i="17" s="1"/>
  <c r="DO222" i="17"/>
  <c r="DP501" i="17"/>
  <c r="DO440" i="17"/>
  <c r="DP473" i="17"/>
  <c r="DO459" i="17"/>
  <c r="DP391" i="17"/>
  <c r="DP458" i="17"/>
  <c r="DQ458" i="17" s="1"/>
  <c r="DP265" i="17"/>
  <c r="DQ265" i="17" s="1"/>
  <c r="DO457" i="17"/>
  <c r="DP486" i="17"/>
  <c r="DO5" i="17"/>
  <c r="DP395" i="17"/>
  <c r="DQ395" i="17" s="1"/>
  <c r="DP71" i="17"/>
  <c r="DQ71" i="17" s="1"/>
  <c r="DP173" i="17"/>
  <c r="DQ173" i="17" s="1"/>
  <c r="DP500" i="17"/>
  <c r="DQ500" i="17" s="1"/>
  <c r="DP484" i="17"/>
  <c r="DP492" i="17"/>
  <c r="DQ492" i="17" s="1"/>
  <c r="DP353" i="17"/>
  <c r="CG442" i="17"/>
  <c r="DO528" i="17"/>
  <c r="DO381" i="17"/>
  <c r="DO202" i="17"/>
  <c r="DO83" i="17"/>
  <c r="DP428" i="17"/>
  <c r="DP210" i="17"/>
  <c r="DP315" i="17"/>
  <c r="DO116" i="17"/>
  <c r="DO365" i="17"/>
  <c r="DO414" i="17"/>
  <c r="DO357" i="17"/>
  <c r="DP485" i="17"/>
  <c r="DQ485" i="17" s="1"/>
  <c r="DO453" i="17"/>
  <c r="DP208" i="17"/>
  <c r="DQ208" i="17" s="1"/>
  <c r="DP452" i="17"/>
  <c r="DQ452" i="17" s="1"/>
  <c r="DP468" i="17"/>
  <c r="DQ468" i="17" s="1"/>
  <c r="DP487" i="17"/>
  <c r="DP145" i="17"/>
  <c r="DP527" i="17"/>
  <c r="DO373" i="17"/>
  <c r="DP517" i="17"/>
  <c r="DQ517" i="17" s="1"/>
  <c r="DM179" i="17"/>
  <c r="DN179" i="17" s="1"/>
  <c r="DO179" i="17" s="1"/>
  <c r="DP478" i="17"/>
  <c r="DQ478" i="17" s="1"/>
  <c r="CJ179" i="17"/>
  <c r="CH179" i="17" s="1"/>
  <c r="CQ179" i="17" s="1"/>
  <c r="C24" i="18"/>
  <c r="D24" i="18" s="1"/>
  <c r="J24" i="18"/>
  <c r="K25" i="18"/>
  <c r="L25" i="18" s="1"/>
  <c r="K23" i="18"/>
  <c r="L23" i="18" s="1"/>
  <c r="K24" i="18"/>
  <c r="L24" i="18" s="1"/>
  <c r="J23" i="18"/>
  <c r="J25" i="18"/>
  <c r="DP39" i="17"/>
  <c r="DQ39" i="17" s="1"/>
  <c r="BA124" i="17"/>
  <c r="DP361" i="17"/>
  <c r="F22" i="18"/>
  <c r="G22" i="18" s="1"/>
  <c r="CE173" i="17"/>
  <c r="DO166" i="17"/>
  <c r="Y472" i="17"/>
  <c r="DL22" i="17"/>
  <c r="DQ22" i="17" s="1"/>
  <c r="DL243" i="17"/>
  <c r="Y218" i="17"/>
  <c r="F23" i="18"/>
  <c r="J22" i="18"/>
  <c r="F24" i="18"/>
  <c r="CJ472" i="17"/>
  <c r="DR472" i="17" s="1"/>
  <c r="DP301" i="17"/>
  <c r="CE151" i="17"/>
  <c r="CE507" i="17"/>
  <c r="DO225" i="17"/>
  <c r="Y259" i="17"/>
  <c r="BA322" i="17"/>
  <c r="BA208" i="17"/>
  <c r="DS37" i="17"/>
  <c r="DP148" i="17"/>
  <c r="DQ148" i="17" s="1"/>
  <c r="DP490" i="17"/>
  <c r="DQ490" i="17" s="1"/>
  <c r="DL25" i="17"/>
  <c r="BA25" i="17"/>
  <c r="DO192" i="17"/>
  <c r="Y22" i="17"/>
  <c r="CF84" i="17"/>
  <c r="DL101" i="17"/>
  <c r="DQ101" i="17" s="1"/>
  <c r="DP286" i="17"/>
  <c r="DL353" i="17"/>
  <c r="DO290" i="17"/>
  <c r="DP529" i="17"/>
  <c r="DS276" i="17"/>
  <c r="DP152" i="17"/>
  <c r="DL37" i="17"/>
  <c r="DO105" i="17"/>
  <c r="DS171" i="17"/>
  <c r="DS218" i="17"/>
  <c r="DL249" i="17"/>
  <c r="DQ249" i="17" s="1"/>
  <c r="DP345" i="17"/>
  <c r="DQ345" i="17" s="1"/>
  <c r="DQ187" i="17"/>
  <c r="DO121" i="17"/>
  <c r="DO505" i="17"/>
  <c r="DP522" i="17"/>
  <c r="DQ522" i="17" s="1"/>
  <c r="DL121" i="17"/>
  <c r="DQ121" i="17" s="1"/>
  <c r="DS69" i="17"/>
  <c r="CE291" i="17"/>
  <c r="DL79" i="17"/>
  <c r="CE110" i="17"/>
  <c r="CG192" i="17"/>
  <c r="CE351" i="17"/>
  <c r="CF466" i="17"/>
  <c r="DO433" i="17"/>
  <c r="DO471" i="17"/>
  <c r="DP15" i="17"/>
  <c r="Y234" i="17"/>
  <c r="DQ383" i="17"/>
  <c r="DP16" i="17"/>
  <c r="DQ16" i="17" s="1"/>
  <c r="CE65" i="17"/>
  <c r="CF37" i="17"/>
  <c r="DO264" i="17"/>
  <c r="DP154" i="17"/>
  <c r="DQ154" i="17" s="1"/>
  <c r="DL199" i="17"/>
  <c r="DP214" i="17"/>
  <c r="DS208" i="17"/>
  <c r="DP223" i="17"/>
  <c r="CE391" i="17"/>
  <c r="Y305" i="17"/>
  <c r="DQ306" i="17"/>
  <c r="DL428" i="17"/>
  <c r="CF129" i="17"/>
  <c r="CE246" i="17"/>
  <c r="DS110" i="17"/>
  <c r="Y171" i="17"/>
  <c r="DO304" i="17"/>
  <c r="DO402" i="17"/>
  <c r="DO299" i="17"/>
  <c r="CE495" i="17"/>
  <c r="DQ403" i="17"/>
  <c r="CF208" i="17"/>
  <c r="DO20" i="17"/>
  <c r="DS457" i="17"/>
  <c r="DS97" i="17"/>
  <c r="Y46" i="17"/>
  <c r="DS416" i="17"/>
  <c r="DO288" i="17"/>
  <c r="DP507" i="17"/>
  <c r="DL110" i="17"/>
  <c r="DQ110" i="17" s="1"/>
  <c r="DO13" i="17"/>
  <c r="DO85" i="17"/>
  <c r="BA97" i="17"/>
  <c r="DO280" i="17"/>
  <c r="DS46" i="17"/>
  <c r="DS136" i="17"/>
  <c r="DP283" i="17"/>
  <c r="DQ283" i="17" s="1"/>
  <c r="DO296" i="17"/>
  <c r="DP343" i="17"/>
  <c r="DQ343" i="17" s="1"/>
  <c r="DO30" i="17"/>
  <c r="BA188" i="17"/>
  <c r="DL38" i="17"/>
  <c r="DS38" i="17"/>
  <c r="DO93" i="17"/>
  <c r="DO43" i="17"/>
  <c r="DO188" i="17"/>
  <c r="DP207" i="17"/>
  <c r="DQ207" i="17" s="1"/>
  <c r="DL188" i="17"/>
  <c r="BA291" i="17"/>
  <c r="DL518" i="17"/>
  <c r="DP520" i="17"/>
  <c r="Y199" i="17"/>
  <c r="DS370" i="17"/>
  <c r="DP351" i="17"/>
  <c r="DL509" i="17"/>
  <c r="DP514" i="17"/>
  <c r="DQ419" i="17"/>
  <c r="BA249" i="17"/>
  <c r="CG244" i="17"/>
  <c r="DO375" i="17"/>
  <c r="DP435" i="17"/>
  <c r="DQ435" i="17" s="1"/>
  <c r="DO448" i="17"/>
  <c r="DP334" i="17"/>
  <c r="DQ334" i="17" s="1"/>
  <c r="DP270" i="17"/>
  <c r="DP382" i="17"/>
  <c r="DO370" i="17"/>
  <c r="DL351" i="17"/>
  <c r="CF62" i="17"/>
  <c r="Y136" i="17"/>
  <c r="DL89" i="17"/>
  <c r="DS95" i="17"/>
  <c r="DL305" i="17"/>
  <c r="DQ305" i="17" s="1"/>
  <c r="DL297" i="17"/>
  <c r="DS297" i="17"/>
  <c r="DP481" i="17"/>
  <c r="CF348" i="17"/>
  <c r="BA307" i="17"/>
  <c r="Y353" i="17"/>
  <c r="DQ479" i="17"/>
  <c r="DO195" i="17"/>
  <c r="DL63" i="17"/>
  <c r="DS63" i="17"/>
  <c r="CF261" i="17"/>
  <c r="DO322" i="17"/>
  <c r="DP464" i="17"/>
  <c r="DS100" i="17"/>
  <c r="DP96" i="17"/>
  <c r="DQ96" i="17" s="1"/>
  <c r="CF211" i="17"/>
  <c r="DP246" i="17"/>
  <c r="DQ246" i="17" s="1"/>
  <c r="DL392" i="17"/>
  <c r="DL495" i="17"/>
  <c r="DO441" i="17"/>
  <c r="BA398" i="17"/>
  <c r="DP450" i="17"/>
  <c r="DQ450" i="17" s="1"/>
  <c r="DO31" i="17"/>
  <c r="DQ211" i="17"/>
  <c r="CF88" i="17"/>
  <c r="BA89" i="17"/>
  <c r="DL100" i="17"/>
  <c r="DL141" i="17"/>
  <c r="DQ141" i="17" s="1"/>
  <c r="Y135" i="17"/>
  <c r="DO147" i="17"/>
  <c r="DS192" i="17"/>
  <c r="BA121" i="17"/>
  <c r="DL190" i="17"/>
  <c r="DP309" i="17"/>
  <c r="DQ309" i="17" s="1"/>
  <c r="Y126" i="17"/>
  <c r="DS290" i="17"/>
  <c r="Y398" i="17"/>
  <c r="BA495" i="17"/>
  <c r="DO479" i="17"/>
  <c r="DP446" i="17"/>
  <c r="Y378" i="17"/>
  <c r="DO376" i="17"/>
  <c r="DQ180" i="17"/>
  <c r="DL126" i="17"/>
  <c r="DQ126" i="17" s="1"/>
  <c r="DP89" i="17"/>
  <c r="DP183" i="17"/>
  <c r="CE346" i="17"/>
  <c r="CF381" i="17"/>
  <c r="DP254" i="17"/>
  <c r="DQ254" i="17" s="1"/>
  <c r="DP406" i="17"/>
  <c r="DQ406" i="17" s="1"/>
  <c r="DO389" i="17"/>
  <c r="DP508" i="17"/>
  <c r="DQ69" i="17"/>
  <c r="DS307" i="17"/>
  <c r="DO364" i="17"/>
  <c r="DL192" i="17"/>
  <c r="DQ192" i="17" s="1"/>
  <c r="DQ9" i="17"/>
  <c r="BA233" i="17"/>
  <c r="CE231" i="17"/>
  <c r="DS49" i="17"/>
  <c r="DS18" i="17"/>
  <c r="Y101" i="17"/>
  <c r="DO111" i="17"/>
  <c r="DS135" i="17"/>
  <c r="DO180" i="17"/>
  <c r="DO206" i="17"/>
  <c r="CG173" i="17"/>
  <c r="DL378" i="17"/>
  <c r="CE332" i="17"/>
  <c r="DS329" i="17"/>
  <c r="DO400" i="17"/>
  <c r="DO429" i="17"/>
  <c r="CF432" i="17"/>
  <c r="DO56" i="17"/>
  <c r="CE75" i="17"/>
  <c r="DL51" i="17"/>
  <c r="DS79" i="17"/>
  <c r="DO70" i="17"/>
  <c r="BA159" i="17"/>
  <c r="DL167" i="17"/>
  <c r="DL266" i="17"/>
  <c r="DP205" i="17"/>
  <c r="DP294" i="17"/>
  <c r="DP271" i="17"/>
  <c r="DQ271" i="17" s="1"/>
  <c r="DS469" i="17"/>
  <c r="DP455" i="17"/>
  <c r="DS377" i="17"/>
  <c r="CP529" i="17"/>
  <c r="DP483" i="17"/>
  <c r="DQ483" i="17" s="1"/>
  <c r="Y200" i="17"/>
  <c r="CP369" i="17"/>
  <c r="DQ376" i="17"/>
  <c r="DP537" i="17"/>
  <c r="DO285" i="17"/>
  <c r="DL169" i="17"/>
  <c r="CP61" i="17"/>
  <c r="CE169" i="17"/>
  <c r="CG167" i="17"/>
  <c r="CF237" i="17"/>
  <c r="Y236" i="17"/>
  <c r="CE375" i="17"/>
  <c r="BA413" i="17"/>
  <c r="DP335" i="17"/>
  <c r="DQ335" i="17" s="1"/>
  <c r="DO419" i="17"/>
  <c r="CE330" i="17"/>
  <c r="DL451" i="17"/>
  <c r="DQ451" i="17" s="1"/>
  <c r="DO423" i="17"/>
  <c r="DL49" i="17"/>
  <c r="DQ49" i="17" s="1"/>
  <c r="DS337" i="17"/>
  <c r="BA370" i="17"/>
  <c r="DP497" i="17"/>
  <c r="DP115" i="17"/>
  <c r="DQ115" i="17" s="1"/>
  <c r="DP29" i="17"/>
  <c r="DO29" i="17"/>
  <c r="DS200" i="17"/>
  <c r="Y260" i="17"/>
  <c r="DP432" i="17"/>
  <c r="DO432" i="17"/>
  <c r="DL159" i="17"/>
  <c r="DQ159" i="17" s="1"/>
  <c r="DP87" i="17"/>
  <c r="DL17" i="17"/>
  <c r="DS92" i="17"/>
  <c r="DP8" i="17"/>
  <c r="DP94" i="17"/>
  <c r="DQ94" i="17" s="1"/>
  <c r="DL168" i="17"/>
  <c r="DS167" i="17"/>
  <c r="CF288" i="17"/>
  <c r="DQ314" i="17"/>
  <c r="DO348" i="17"/>
  <c r="DL415" i="17"/>
  <c r="DL337" i="17"/>
  <c r="DQ337" i="17" s="1"/>
  <c r="CG169" i="17"/>
  <c r="DP384" i="17"/>
  <c r="DQ384" i="17" s="1"/>
  <c r="DO447" i="17"/>
  <c r="Y168" i="17"/>
  <c r="DL487" i="17"/>
  <c r="DS487" i="17"/>
  <c r="Y457" i="17"/>
  <c r="CF362" i="17"/>
  <c r="CE362" i="17"/>
  <c r="DS173" i="17"/>
  <c r="DL377" i="17"/>
  <c r="DQ377" i="17" s="1"/>
  <c r="DO474" i="17"/>
  <c r="DQ448" i="17"/>
  <c r="BB398" i="17"/>
  <c r="DS516" i="17"/>
  <c r="DP221" i="17"/>
  <c r="CE394" i="17"/>
  <c r="CE35" i="17"/>
  <c r="CF51" i="17"/>
  <c r="DP67" i="17"/>
  <c r="DS51" i="17"/>
  <c r="DO64" i="17"/>
  <c r="DL80" i="17"/>
  <c r="DL18" i="17"/>
  <c r="DQ18" i="17" s="1"/>
  <c r="BA108" i="17"/>
  <c r="CE118" i="17"/>
  <c r="DL227" i="17"/>
  <c r="DQ227" i="17" s="1"/>
  <c r="BA190" i="17"/>
  <c r="DO249" i="17"/>
  <c r="DO211" i="17"/>
  <c r="CE244" i="17"/>
  <c r="CE216" i="17"/>
  <c r="DS460" i="17"/>
  <c r="CE529" i="17"/>
  <c r="DL484" i="17"/>
  <c r="DR504" i="17"/>
  <c r="DO411" i="17"/>
  <c r="DP191" i="17"/>
  <c r="DP418" i="17"/>
  <c r="DQ418" i="17" s="1"/>
  <c r="DL394" i="17"/>
  <c r="CP37" i="17"/>
  <c r="DO52" i="17"/>
  <c r="DP186" i="17"/>
  <c r="DQ186" i="17" s="1"/>
  <c r="DP307" i="17"/>
  <c r="DQ307" i="17" s="1"/>
  <c r="DS509" i="17"/>
  <c r="DP100" i="17"/>
  <c r="DO100" i="17"/>
  <c r="DP174" i="17"/>
  <c r="DQ174" i="17" s="1"/>
  <c r="DO174" i="17"/>
  <c r="DO398" i="17"/>
  <c r="DP398" i="17"/>
  <c r="DP17" i="17"/>
  <c r="DO17" i="17"/>
  <c r="DO298" i="17"/>
  <c r="DP298" i="17"/>
  <c r="CE297" i="17"/>
  <c r="DO219" i="17"/>
  <c r="DS323" i="17"/>
  <c r="DL215" i="17"/>
  <c r="DO410" i="17"/>
  <c r="BA276" i="17"/>
  <c r="CP215" i="17"/>
  <c r="DQ411" i="17"/>
  <c r="BA34" i="17"/>
  <c r="DS31" i="17"/>
  <c r="DO66" i="17"/>
  <c r="DS80" i="17"/>
  <c r="DO92" i="17"/>
  <c r="DS10" i="17"/>
  <c r="DO129" i="17"/>
  <c r="DP163" i="17"/>
  <c r="DL183" i="17"/>
  <c r="DS228" i="17"/>
  <c r="DL198" i="17"/>
  <c r="DO216" i="17"/>
  <c r="DS243" i="17"/>
  <c r="DS233" i="17"/>
  <c r="DL244" i="17"/>
  <c r="DQ256" i="17"/>
  <c r="DL228" i="17"/>
  <c r="DP325" i="17"/>
  <c r="DO403" i="17"/>
  <c r="DS351" i="17"/>
  <c r="CQ504" i="17"/>
  <c r="DP262" i="17"/>
  <c r="DQ262" i="17" s="1"/>
  <c r="DP358" i="17"/>
  <c r="Y69" i="17"/>
  <c r="DS260" i="17"/>
  <c r="DQ263" i="17"/>
  <c r="DO469" i="17"/>
  <c r="CP525" i="17"/>
  <c r="DL516" i="17"/>
  <c r="DP293" i="17"/>
  <c r="DP113" i="17"/>
  <c r="DQ113" i="17" s="1"/>
  <c r="DO113" i="17"/>
  <c r="DO175" i="17"/>
  <c r="DP175" i="17"/>
  <c r="DQ175" i="17" s="1"/>
  <c r="DO368" i="17"/>
  <c r="CF482" i="17"/>
  <c r="DL10" i="17"/>
  <c r="DL298" i="17"/>
  <c r="DQ40" i="17"/>
  <c r="DS484" i="17"/>
  <c r="Y271" i="17"/>
  <c r="DL28" i="17"/>
  <c r="DQ28" i="17" s="1"/>
  <c r="BA122" i="17"/>
  <c r="DL391" i="17"/>
  <c r="DS459" i="17"/>
  <c r="DO426" i="17"/>
  <c r="DP491" i="17"/>
  <c r="DO498" i="17"/>
  <c r="Y444" i="17"/>
  <c r="DP68" i="17"/>
  <c r="DQ68" i="17" s="1"/>
  <c r="DS259" i="17"/>
  <c r="DP407" i="17"/>
  <c r="CP509" i="17"/>
  <c r="DO157" i="17"/>
  <c r="DP525" i="17"/>
  <c r="DO525" i="17"/>
  <c r="DL124" i="17"/>
  <c r="BA227" i="17"/>
  <c r="DS298" i="17"/>
  <c r="D13" i="18" s="1"/>
  <c r="DO431" i="17"/>
  <c r="DP431" i="17"/>
  <c r="BA30" i="17"/>
  <c r="DL118" i="17"/>
  <c r="DQ118" i="17" s="1"/>
  <c r="DP153" i="17"/>
  <c r="DS183" i="17"/>
  <c r="CE274" i="17"/>
  <c r="DP328" i="17"/>
  <c r="DQ328" i="17" s="1"/>
  <c r="DL532" i="17"/>
  <c r="CE418" i="17"/>
  <c r="DL147" i="17"/>
  <c r="DQ147" i="17" s="1"/>
  <c r="DP86" i="17"/>
  <c r="DQ86" i="17" s="1"/>
  <c r="DS161" i="17"/>
  <c r="CF200" i="17"/>
  <c r="DS271" i="17"/>
  <c r="Y315" i="17"/>
  <c r="DP386" i="17"/>
  <c r="DQ386" i="17" s="1"/>
  <c r="DS122" i="17"/>
  <c r="DS82" i="17"/>
  <c r="DL132" i="17"/>
  <c r="DQ273" i="17"/>
  <c r="DL315" i="17"/>
  <c r="DL291" i="17"/>
  <c r="DS215" i="17"/>
  <c r="BA288" i="17"/>
  <c r="DS234" i="17"/>
  <c r="DS408" i="17"/>
  <c r="DL367" i="17"/>
  <c r="CQ329" i="17"/>
  <c r="DL329" i="17"/>
  <c r="DL460" i="17"/>
  <c r="Y532" i="17"/>
  <c r="Y428" i="17"/>
  <c r="DO75" i="17"/>
  <c r="DP75" i="17"/>
  <c r="DO215" i="17"/>
  <c r="DP215" i="17"/>
  <c r="Y119" i="17"/>
  <c r="CF193" i="17"/>
  <c r="CE193" i="17"/>
  <c r="DS434" i="17"/>
  <c r="DP25" i="17"/>
  <c r="DO25" i="17"/>
  <c r="DP131" i="17"/>
  <c r="DQ131" i="17" s="1"/>
  <c r="DO131" i="17"/>
  <c r="DP302" i="17"/>
  <c r="DQ302" i="17" s="1"/>
  <c r="DO302" i="17"/>
  <c r="DS468" i="17"/>
  <c r="BA468" i="17"/>
  <c r="DO378" i="17"/>
  <c r="DP378" i="17"/>
  <c r="CE250" i="17"/>
  <c r="Y385" i="17"/>
  <c r="DO521" i="17"/>
  <c r="CE47" i="17"/>
  <c r="CF47" i="17"/>
  <c r="DO19" i="17"/>
  <c r="DP19" i="17"/>
  <c r="DP168" i="17"/>
  <c r="DO168" i="17"/>
  <c r="DO185" i="17"/>
  <c r="DP185" i="17"/>
  <c r="DO268" i="17"/>
  <c r="DP268" i="17"/>
  <c r="DQ268" i="17" s="1"/>
  <c r="CF355" i="17"/>
  <c r="CE355" i="17"/>
  <c r="DO122" i="17"/>
  <c r="DP122" i="17"/>
  <c r="DQ122" i="17" s="1"/>
  <c r="Y296" i="17"/>
  <c r="DO199" i="17"/>
  <c r="DP199" i="17"/>
  <c r="DO397" i="17"/>
  <c r="DP397" i="17"/>
  <c r="DL236" i="17"/>
  <c r="DQ503" i="17"/>
  <c r="CF325" i="17"/>
  <c r="CE325" i="17"/>
  <c r="Y467" i="17"/>
  <c r="CE393" i="17"/>
  <c r="CF393" i="17"/>
  <c r="DO415" i="17"/>
  <c r="DP415" i="17"/>
  <c r="DP12" i="17"/>
  <c r="DQ12" i="17" s="1"/>
  <c r="DO12" i="17"/>
  <c r="DO504" i="17"/>
  <c r="DP504" i="17"/>
  <c r="DO509" i="17"/>
  <c r="DP509" i="17"/>
  <c r="DS50" i="17"/>
  <c r="DL82" i="17"/>
  <c r="DQ82" i="17" s="1"/>
  <c r="DS518" i="17"/>
  <c r="CF235" i="17"/>
  <c r="CE235" i="17"/>
  <c r="CE411" i="17"/>
  <c r="CF411" i="17"/>
  <c r="DS42" i="17"/>
  <c r="DS108" i="17"/>
  <c r="DS117" i="17"/>
  <c r="Y42" i="17"/>
  <c r="DL407" i="17"/>
  <c r="DS274" i="17"/>
  <c r="DL421" i="17"/>
  <c r="DS413" i="17"/>
  <c r="DS443" i="17"/>
  <c r="DL539" i="17"/>
  <c r="DQ539" i="17" s="1"/>
  <c r="DP23" i="17"/>
  <c r="DO23" i="17"/>
  <c r="DS369" i="17"/>
  <c r="CQ369" i="17"/>
  <c r="DQ429" i="17"/>
  <c r="CF322" i="17"/>
  <c r="CE322" i="17"/>
  <c r="DS34" i="17"/>
  <c r="BA58" i="17"/>
  <c r="DS61" i="17"/>
  <c r="DL83" i="17"/>
  <c r="DQ83" i="17" s="1"/>
  <c r="DL119" i="17"/>
  <c r="DO112" i="17"/>
  <c r="DS141" i="17"/>
  <c r="CE213" i="17"/>
  <c r="DL146" i="17"/>
  <c r="DQ146" i="17" s="1"/>
  <c r="DP266" i="17"/>
  <c r="Y252" i="17"/>
  <c r="DL290" i="17"/>
  <c r="DQ290" i="17" s="1"/>
  <c r="DQ279" i="17"/>
  <c r="BA421" i="17"/>
  <c r="DL320" i="17"/>
  <c r="DQ320" i="17" s="1"/>
  <c r="DL274" i="17"/>
  <c r="CF310" i="17"/>
  <c r="CE484" i="17"/>
  <c r="DS296" i="17"/>
  <c r="BA456" i="17"/>
  <c r="DS456" i="17"/>
  <c r="Y83" i="17"/>
  <c r="CE36" i="17"/>
  <c r="CF36" i="17"/>
  <c r="DO61" i="17"/>
  <c r="DP61" i="17"/>
  <c r="DP125" i="17"/>
  <c r="DO125" i="17"/>
  <c r="Y132" i="17"/>
  <c r="DS66" i="17"/>
  <c r="Y66" i="17"/>
  <c r="Y147" i="17"/>
  <c r="DL275" i="17"/>
  <c r="DS275" i="17"/>
  <c r="DO149" i="17"/>
  <c r="DP149" i="17"/>
  <c r="DO243" i="17"/>
  <c r="DP243" i="17"/>
  <c r="DL369" i="17"/>
  <c r="DO399" i="17"/>
  <c r="DP399" i="17"/>
  <c r="Y443" i="17"/>
  <c r="DL459" i="17"/>
  <c r="CF26" i="17"/>
  <c r="CE67" i="17"/>
  <c r="DL61" i="17"/>
  <c r="DO95" i="17"/>
  <c r="DS178" i="17"/>
  <c r="DS146" i="17"/>
  <c r="Y238" i="17"/>
  <c r="DP226" i="17"/>
  <c r="DL252" i="17"/>
  <c r="DP123" i="17"/>
  <c r="DQ123" i="17" s="1"/>
  <c r="CE281" i="17"/>
  <c r="CQ516" i="17"/>
  <c r="DS405" i="17"/>
  <c r="CF470" i="17"/>
  <c r="BA407" i="17"/>
  <c r="DL467" i="17"/>
  <c r="DQ467" i="17" s="1"/>
  <c r="DL507" i="17"/>
  <c r="DO63" i="17"/>
  <c r="DP63" i="17"/>
  <c r="DO27" i="17"/>
  <c r="DP27" i="17"/>
  <c r="DQ27" i="17" s="1"/>
  <c r="DP338" i="17"/>
  <c r="DQ338" i="17" s="1"/>
  <c r="DO338" i="17"/>
  <c r="DL282" i="17"/>
  <c r="DS282" i="17"/>
  <c r="DP323" i="17"/>
  <c r="DO323" i="17"/>
  <c r="DS458" i="17"/>
  <c r="BA458" i="17"/>
  <c r="CE504" i="17"/>
  <c r="DP495" i="17"/>
  <c r="DO495" i="17"/>
  <c r="DO424" i="17"/>
  <c r="DP424" i="17"/>
  <c r="DQ424" i="17" s="1"/>
  <c r="Y451" i="17"/>
  <c r="Y117" i="17"/>
  <c r="DO276" i="17"/>
  <c r="DP276" i="17"/>
  <c r="DQ276" i="17" s="1"/>
  <c r="DL50" i="17"/>
  <c r="DL149" i="17"/>
  <c r="DS109" i="17"/>
  <c r="DL109" i="17"/>
  <c r="DP257" i="17"/>
  <c r="DO144" i="17"/>
  <c r="BA304" i="17"/>
  <c r="DL304" i="17"/>
  <c r="DQ304" i="17" s="1"/>
  <c r="DP326" i="17"/>
  <c r="DQ326" i="17" s="1"/>
  <c r="CF370" i="17"/>
  <c r="DL238" i="17"/>
  <c r="DQ238" i="17" s="1"/>
  <c r="BA539" i="17"/>
  <c r="DL360" i="17"/>
  <c r="CP394" i="17"/>
  <c r="CE541" i="17"/>
  <c r="DP530" i="17"/>
  <c r="DQ530" i="17" s="1"/>
  <c r="DS515" i="17"/>
  <c r="DL26" i="17"/>
  <c r="DS26" i="17"/>
  <c r="DP80" i="17"/>
  <c r="DO80" i="17"/>
  <c r="BA31" i="17"/>
  <c r="CF315" i="17"/>
  <c r="CE315" i="17"/>
  <c r="DO194" i="17"/>
  <c r="DP194" i="17"/>
  <c r="DQ194" i="17" s="1"/>
  <c r="DO354" i="17"/>
  <c r="DP354" i="17"/>
  <c r="DQ354" i="17" s="1"/>
  <c r="DL325" i="17"/>
  <c r="DS325" i="17"/>
  <c r="DL444" i="17"/>
  <c r="DL469" i="17"/>
  <c r="DL486" i="17"/>
  <c r="DS486" i="17"/>
  <c r="CF525" i="17"/>
  <c r="CE525" i="17"/>
  <c r="DO534" i="17"/>
  <c r="DP534" i="17"/>
  <c r="DQ534" i="17" s="1"/>
  <c r="CF410" i="17"/>
  <c r="CE410" i="17"/>
  <c r="Y486" i="17"/>
  <c r="DS394" i="17"/>
  <c r="DO99" i="17"/>
  <c r="DP99" i="17"/>
  <c r="CE385" i="17"/>
  <c r="CF385" i="17"/>
  <c r="DO437" i="17"/>
  <c r="DP437" i="17"/>
  <c r="DQ437" i="17" s="1"/>
  <c r="DL133" i="17"/>
  <c r="DS149" i="17"/>
  <c r="BA320" i="17"/>
  <c r="DS466" i="17"/>
  <c r="DL30" i="17"/>
  <c r="DQ30" i="17" s="1"/>
  <c r="DP137" i="17"/>
  <c r="DQ137" i="17" s="1"/>
  <c r="DP167" i="17"/>
  <c r="CE148" i="17"/>
  <c r="CP205" i="17"/>
  <c r="CE226" i="17"/>
  <c r="DL226" i="17"/>
  <c r="CE290" i="17"/>
  <c r="CE323" i="17"/>
  <c r="DS226" i="17"/>
  <c r="DL399" i="17"/>
  <c r="BA405" i="17"/>
  <c r="DL323" i="17"/>
  <c r="CE361" i="17"/>
  <c r="DL385" i="17"/>
  <c r="Z472" i="17"/>
  <c r="I22" i="18" s="1"/>
  <c r="DS391" i="17"/>
  <c r="DP380" i="17"/>
  <c r="BA415" i="17"/>
  <c r="Y178" i="17"/>
  <c r="DO133" i="17"/>
  <c r="DP133" i="17"/>
  <c r="DP231" i="17"/>
  <c r="DQ231" i="17" s="1"/>
  <c r="DO231" i="17"/>
  <c r="DL235" i="17"/>
  <c r="DS235" i="17"/>
  <c r="DL267" i="17"/>
  <c r="DS267" i="17"/>
  <c r="DL361" i="17"/>
  <c r="DS361" i="17"/>
  <c r="CF461" i="17"/>
  <c r="CE461" i="17"/>
  <c r="DP513" i="17"/>
  <c r="DQ513" i="17" s="1"/>
  <c r="DO513" i="17"/>
  <c r="DQ58" i="17"/>
  <c r="DQ322" i="17"/>
  <c r="DQ138" i="17"/>
  <c r="DQ375" i="17"/>
  <c r="DP130" i="17"/>
  <c r="DQ130" i="17" s="1"/>
  <c r="DO130" i="17"/>
  <c r="DL91" i="17"/>
  <c r="DS91" i="17"/>
  <c r="DP134" i="17"/>
  <c r="DQ134" i="17" s="1"/>
  <c r="DO134" i="17"/>
  <c r="DS144" i="17"/>
  <c r="DL144" i="17"/>
  <c r="DL191" i="17"/>
  <c r="DS191" i="17"/>
  <c r="DQ310" i="17"/>
  <c r="DS349" i="17"/>
  <c r="DL349" i="17"/>
  <c r="CF175" i="17"/>
  <c r="CE175" i="17"/>
  <c r="CF420" i="17"/>
  <c r="CE420" i="17"/>
  <c r="DO404" i="17"/>
  <c r="DP404" i="17"/>
  <c r="R525" i="17"/>
  <c r="DR525" i="17"/>
  <c r="DS371" i="17"/>
  <c r="DL371" i="17"/>
  <c r="CF364" i="17"/>
  <c r="CE364" i="17"/>
  <c r="DS431" i="17"/>
  <c r="DL431" i="17"/>
  <c r="DO499" i="17"/>
  <c r="DP499" i="17"/>
  <c r="DQ499" i="17" s="1"/>
  <c r="DS512" i="17"/>
  <c r="DL512" i="17"/>
  <c r="BV398" i="17"/>
  <c r="DQ225" i="17"/>
  <c r="DQ388" i="17"/>
  <c r="DQ31" i="17"/>
  <c r="BA19" i="17"/>
  <c r="DL19" i="17"/>
  <c r="DS28" i="17"/>
  <c r="DQ106" i="17"/>
  <c r="DO79" i="17"/>
  <c r="DP79" i="17"/>
  <c r="DP77" i="17"/>
  <c r="DQ77" i="17" s="1"/>
  <c r="DO77" i="17"/>
  <c r="DQ171" i="17"/>
  <c r="DO300" i="17"/>
  <c r="DP300" i="17"/>
  <c r="CE269" i="17"/>
  <c r="CF269" i="17"/>
  <c r="DP387" i="17"/>
  <c r="DO387" i="17"/>
  <c r="DO295" i="17"/>
  <c r="DP295" i="17"/>
  <c r="DQ295" i="17" s="1"/>
  <c r="CE247" i="17"/>
  <c r="CF247" i="17"/>
  <c r="DS382" i="17"/>
  <c r="DL382" i="17"/>
  <c r="DQ299" i="17"/>
  <c r="CE414" i="17"/>
  <c r="CF414" i="17"/>
  <c r="DQ288" i="17"/>
  <c r="DQ344" i="17"/>
  <c r="CI398" i="17"/>
  <c r="CN398" i="17" s="1"/>
  <c r="DL24" i="17"/>
  <c r="DS24" i="17"/>
  <c r="DL120" i="17"/>
  <c r="DS120" i="17"/>
  <c r="DO140" i="17"/>
  <c r="DP140" i="17"/>
  <c r="CD179" i="17"/>
  <c r="CG179" i="17"/>
  <c r="DL161" i="17"/>
  <c r="DS193" i="17"/>
  <c r="DL193" i="17"/>
  <c r="DO284" i="17"/>
  <c r="DP284" i="17"/>
  <c r="DO350" i="17"/>
  <c r="DP350" i="17"/>
  <c r="DQ350" i="17" s="1"/>
  <c r="DQ423" i="17"/>
  <c r="DS366" i="17"/>
  <c r="DL366" i="17"/>
  <c r="DQ260" i="17"/>
  <c r="CF473" i="17"/>
  <c r="CE473" i="17"/>
  <c r="DS355" i="17"/>
  <c r="DL355" i="17"/>
  <c r="CG257" i="17"/>
  <c r="DS257" i="17"/>
  <c r="DQ426" i="17"/>
  <c r="DR529" i="17"/>
  <c r="R529" i="17"/>
  <c r="BA70" i="17"/>
  <c r="DS70" i="17"/>
  <c r="DO57" i="17"/>
  <c r="DP57" i="17"/>
  <c r="DS153" i="17"/>
  <c r="DL153" i="17"/>
  <c r="DS195" i="17"/>
  <c r="DL195" i="17"/>
  <c r="DS214" i="17"/>
  <c r="DP327" i="17"/>
  <c r="DO327" i="17"/>
  <c r="DS357" i="17"/>
  <c r="DL357" i="17"/>
  <c r="BA221" i="17"/>
  <c r="DS322" i="17"/>
  <c r="Y371" i="17"/>
  <c r="CF404" i="17"/>
  <c r="CE404" i="17"/>
  <c r="DL409" i="17"/>
  <c r="DS409" i="17"/>
  <c r="DL412" i="17"/>
  <c r="DS412" i="17"/>
  <c r="DP472" i="17"/>
  <c r="DO472" i="17"/>
  <c r="DS453" i="17"/>
  <c r="DL453" i="17"/>
  <c r="DS464" i="17"/>
  <c r="DL464" i="17"/>
  <c r="DS318" i="17"/>
  <c r="DL318" i="17"/>
  <c r="DQ502" i="17"/>
  <c r="R442" i="17"/>
  <c r="DR442" i="17"/>
  <c r="DQ466" i="17"/>
  <c r="DS446" i="17"/>
  <c r="DL446" i="17"/>
  <c r="CG524" i="17"/>
  <c r="DS524" i="17"/>
  <c r="DQ285" i="17"/>
  <c r="DS474" i="17"/>
  <c r="DL474" i="17"/>
  <c r="DS496" i="17"/>
  <c r="DL496" i="17"/>
  <c r="DL506" i="17"/>
  <c r="DS506" i="17"/>
  <c r="CE214" i="17"/>
  <c r="DQ476" i="17"/>
  <c r="DS15" i="17"/>
  <c r="DL15" i="17"/>
  <c r="Y24" i="17"/>
  <c r="DP32" i="17"/>
  <c r="DO32" i="17"/>
  <c r="DS56" i="17"/>
  <c r="DQ13" i="17"/>
  <c r="DS58" i="17"/>
  <c r="BA72" i="17"/>
  <c r="DQ88" i="17"/>
  <c r="CF63" i="17"/>
  <c r="CE63" i="17"/>
  <c r="CE34" i="17"/>
  <c r="CF34" i="17"/>
  <c r="CF82" i="17"/>
  <c r="CE82" i="17"/>
  <c r="Y81" i="17"/>
  <c r="DS81" i="17"/>
  <c r="DL81" i="17"/>
  <c r="DO120" i="17"/>
  <c r="DP120" i="17"/>
  <c r="DQ46" i="17"/>
  <c r="CE32" i="17"/>
  <c r="CF32" i="17"/>
  <c r="DS138" i="17"/>
  <c r="DL102" i="17"/>
  <c r="DL92" i="17"/>
  <c r="CF106" i="17"/>
  <c r="CE106" i="17"/>
  <c r="DL125" i="17"/>
  <c r="DS125" i="17"/>
  <c r="DO164" i="17"/>
  <c r="DP164" i="17"/>
  <c r="DQ164" i="17" s="1"/>
  <c r="DO73" i="17"/>
  <c r="DP73" i="17"/>
  <c r="BA138" i="17"/>
  <c r="CO179" i="17"/>
  <c r="DL181" i="17"/>
  <c r="DS181" i="17"/>
  <c r="DO151" i="17"/>
  <c r="DP151" i="17"/>
  <c r="DS96" i="17"/>
  <c r="BA96" i="17"/>
  <c r="CE162" i="17"/>
  <c r="CF162" i="17"/>
  <c r="DL176" i="17"/>
  <c r="CE257" i="17"/>
  <c r="CF210" i="17"/>
  <c r="CE210" i="17"/>
  <c r="Y193" i="17"/>
  <c r="DS269" i="17"/>
  <c r="DL269" i="17"/>
  <c r="DQ206" i="17"/>
  <c r="DS303" i="17"/>
  <c r="DL303" i="17"/>
  <c r="DL240" i="17"/>
  <c r="DS240" i="17"/>
  <c r="DO287" i="17"/>
  <c r="DP287" i="17"/>
  <c r="DQ287" i="17" s="1"/>
  <c r="DS205" i="17"/>
  <c r="DQ247" i="17"/>
  <c r="DS284" i="17"/>
  <c r="DL284" i="17"/>
  <c r="DO371" i="17"/>
  <c r="DP371" i="17"/>
  <c r="DQ251" i="17"/>
  <c r="DS316" i="17"/>
  <c r="DL316" i="17"/>
  <c r="CE342" i="17"/>
  <c r="CF342" i="17"/>
  <c r="DO366" i="17"/>
  <c r="DP366" i="17"/>
  <c r="DO21" i="17"/>
  <c r="DP21" i="17"/>
  <c r="DQ21" i="17" s="1"/>
  <c r="BB179" i="17"/>
  <c r="BA179" i="17"/>
  <c r="DO204" i="17"/>
  <c r="DP204" i="17"/>
  <c r="DS261" i="17"/>
  <c r="DL261" i="17"/>
  <c r="DS300" i="17"/>
  <c r="DL300" i="17"/>
  <c r="Y357" i="17"/>
  <c r="DL396" i="17"/>
  <c r="DS396" i="17"/>
  <c r="CE286" i="17"/>
  <c r="CF286" i="17"/>
  <c r="DS358" i="17"/>
  <c r="DL358" i="17"/>
  <c r="DL397" i="17"/>
  <c r="DQ352" i="17"/>
  <c r="DQ364" i="17"/>
  <c r="DO425" i="17"/>
  <c r="DP425" i="17"/>
  <c r="DQ425" i="17" s="1"/>
  <c r="CE295" i="17"/>
  <c r="CF295" i="17"/>
  <c r="CF380" i="17"/>
  <c r="CE380" i="17"/>
  <c r="DO385" i="17"/>
  <c r="DP385" i="17"/>
  <c r="DO420" i="17"/>
  <c r="DP420" i="17"/>
  <c r="DP496" i="17"/>
  <c r="DO496" i="17"/>
  <c r="DS390" i="17"/>
  <c r="DL390" i="17"/>
  <c r="DS387" i="17"/>
  <c r="DL387" i="17"/>
  <c r="CE422" i="17"/>
  <c r="CF422" i="17"/>
  <c r="DO475" i="17"/>
  <c r="DP475" i="17"/>
  <c r="DQ475" i="17" s="1"/>
  <c r="DS504" i="17"/>
  <c r="DL504" i="17"/>
  <c r="DS455" i="17"/>
  <c r="DL455" i="17"/>
  <c r="DS367" i="17"/>
  <c r="DS520" i="17"/>
  <c r="DL520" i="17"/>
  <c r="CE538" i="17"/>
  <c r="CF538" i="17"/>
  <c r="DQ317" i="17"/>
  <c r="DQ241" i="17"/>
  <c r="CE339" i="17"/>
  <c r="CF339" i="17"/>
  <c r="Y409" i="17"/>
  <c r="Y387" i="17"/>
  <c r="CF431" i="17"/>
  <c r="CE431" i="17"/>
  <c r="DS441" i="17"/>
  <c r="DL441" i="17"/>
  <c r="CE455" i="17"/>
  <c r="CF455" i="17"/>
  <c r="CE465" i="17"/>
  <c r="CF465" i="17"/>
  <c r="DS498" i="17"/>
  <c r="DL498" i="17"/>
  <c r="CP507" i="17"/>
  <c r="CE514" i="17"/>
  <c r="CF514" i="17"/>
  <c r="DS526" i="17"/>
  <c r="DL526" i="17"/>
  <c r="DS541" i="17"/>
  <c r="DL541" i="17"/>
  <c r="Y526" i="17"/>
  <c r="CE311" i="17"/>
  <c r="CF311" i="17"/>
  <c r="DP396" i="17"/>
  <c r="DO396" i="17"/>
  <c r="BA434" i="17"/>
  <c r="DS521" i="17"/>
  <c r="DL521" i="17"/>
  <c r="BA399" i="17"/>
  <c r="DQ454" i="17"/>
  <c r="DS507" i="17"/>
  <c r="DS8" i="17"/>
  <c r="Y8" i="17"/>
  <c r="DL8" i="17"/>
  <c r="DP150" i="17"/>
  <c r="DQ150" i="17" s="1"/>
  <c r="DO150" i="17"/>
  <c r="CF145" i="17"/>
  <c r="CE145" i="17"/>
  <c r="DS84" i="17"/>
  <c r="DL84" i="17"/>
  <c r="Y84" i="17"/>
  <c r="DO181" i="17"/>
  <c r="DP181" i="17"/>
  <c r="CE136" i="17"/>
  <c r="CF136" i="17"/>
  <c r="DQ182" i="17"/>
  <c r="CE183" i="17"/>
  <c r="CF183" i="17"/>
  <c r="DS229" i="17"/>
  <c r="DL229" i="17"/>
  <c r="CF254" i="17"/>
  <c r="CE254" i="17"/>
  <c r="DS374" i="17"/>
  <c r="DL374" i="17"/>
  <c r="DO393" i="17"/>
  <c r="DP393" i="17"/>
  <c r="DQ393" i="17" s="1"/>
  <c r="CE248" i="17"/>
  <c r="CF248" i="17"/>
  <c r="CE522" i="17"/>
  <c r="CF522" i="17"/>
  <c r="DS43" i="17"/>
  <c r="DL43" i="17"/>
  <c r="DQ166" i="17"/>
  <c r="DO170" i="17"/>
  <c r="DP170" i="17"/>
  <c r="CE161" i="17"/>
  <c r="DQ296" i="17"/>
  <c r="DQ197" i="17"/>
  <c r="DS222" i="17"/>
  <c r="DL222" i="17"/>
  <c r="DQ289" i="17"/>
  <c r="DS445" i="17"/>
  <c r="DL445" i="17"/>
  <c r="CF372" i="17"/>
  <c r="CE372" i="17"/>
  <c r="DL538" i="17"/>
  <c r="DS538" i="17"/>
  <c r="CE425" i="17"/>
  <c r="CF425" i="17"/>
  <c r="CG392" i="17"/>
  <c r="DS392" i="17"/>
  <c r="CE55" i="17"/>
  <c r="CF55" i="17"/>
  <c r="DS105" i="17"/>
  <c r="Y91" i="17"/>
  <c r="CE114" i="17"/>
  <c r="CF114" i="17"/>
  <c r="DL170" i="17"/>
  <c r="DP91" i="17"/>
  <c r="DO91" i="17"/>
  <c r="DO128" i="17"/>
  <c r="DP128" i="17"/>
  <c r="BA105" i="17"/>
  <c r="DQ200" i="17"/>
  <c r="DL221" i="17"/>
  <c r="Y321" i="17"/>
  <c r="DS321" i="17"/>
  <c r="DL321" i="17"/>
  <c r="CE373" i="17"/>
  <c r="CF373" i="17"/>
  <c r="CF347" i="17"/>
  <c r="CE347" i="17"/>
  <c r="DO511" i="17"/>
  <c r="DP511" i="17"/>
  <c r="CE357" i="17"/>
  <c r="CF357" i="17"/>
  <c r="DQ427" i="17"/>
  <c r="DS461" i="17"/>
  <c r="DL461" i="17"/>
  <c r="CE256" i="17"/>
  <c r="CF256" i="17"/>
  <c r="DP217" i="17"/>
  <c r="DO217" i="17"/>
  <c r="DL465" i="17"/>
  <c r="DS465" i="17"/>
  <c r="DS523" i="17"/>
  <c r="CG523" i="17"/>
  <c r="DL523" i="17"/>
  <c r="DS447" i="17"/>
  <c r="DL447" i="17"/>
  <c r="CE382" i="17"/>
  <c r="CF382" i="17"/>
  <c r="DL7" i="17"/>
  <c r="DS7" i="17"/>
  <c r="CE105" i="17"/>
  <c r="CF105" i="17"/>
  <c r="DO201" i="17"/>
  <c r="DP201" i="17"/>
  <c r="DS248" i="17"/>
  <c r="DL248" i="17"/>
  <c r="DO161" i="17"/>
  <c r="DP161" i="17"/>
  <c r="DL324" i="17"/>
  <c r="DS324" i="17"/>
  <c r="CE239" i="17"/>
  <c r="CF239" i="17"/>
  <c r="DS253" i="17"/>
  <c r="DL253" i="17"/>
  <c r="CE303" i="17"/>
  <c r="CF303" i="17"/>
  <c r="DS347" i="17"/>
  <c r="DL347" i="17"/>
  <c r="CF202" i="17"/>
  <c r="CE202" i="17"/>
  <c r="DO303" i="17"/>
  <c r="DP303" i="17"/>
  <c r="DL6" i="17"/>
  <c r="DS6" i="17"/>
  <c r="CF15" i="17"/>
  <c r="CE15" i="17"/>
  <c r="DS47" i="17"/>
  <c r="DL47" i="17"/>
  <c r="Y7" i="17"/>
  <c r="DL23" i="17"/>
  <c r="DO37" i="17"/>
  <c r="DP37" i="17"/>
  <c r="DO60" i="17"/>
  <c r="DP60" i="17"/>
  <c r="DQ60" i="17" s="1"/>
  <c r="DQ74" i="17"/>
  <c r="CF69" i="17"/>
  <c r="CE69" i="17"/>
  <c r="DL48" i="17"/>
  <c r="DL70" i="17"/>
  <c r="DL62" i="17"/>
  <c r="Y62" i="17"/>
  <c r="DS62" i="17"/>
  <c r="BA102" i="17"/>
  <c r="DQ53" i="17"/>
  <c r="CE73" i="17"/>
  <c r="CF73" i="17"/>
  <c r="CE92" i="17"/>
  <c r="CF92" i="17"/>
  <c r="DP65" i="17"/>
  <c r="DO65" i="17"/>
  <c r="CG139" i="17"/>
  <c r="DL143" i="17"/>
  <c r="Y143" i="17"/>
  <c r="DS143" i="17"/>
  <c r="DL139" i="17"/>
  <c r="DP119" i="17"/>
  <c r="DO119" i="17"/>
  <c r="DL151" i="17"/>
  <c r="Y151" i="17"/>
  <c r="DS151" i="17"/>
  <c r="DS158" i="17"/>
  <c r="DL158" i="17"/>
  <c r="DS170" i="17"/>
  <c r="CP163" i="17"/>
  <c r="DO209" i="17"/>
  <c r="DP209" i="17"/>
  <c r="DL163" i="17"/>
  <c r="CG95" i="17"/>
  <c r="DL95" i="17"/>
  <c r="CE190" i="17"/>
  <c r="CF190" i="17"/>
  <c r="DP253" i="17"/>
  <c r="DO253" i="17"/>
  <c r="DO277" i="17"/>
  <c r="DP277" i="17"/>
  <c r="DS272" i="17"/>
  <c r="DL272" i="17"/>
  <c r="DL140" i="17"/>
  <c r="DS140" i="17"/>
  <c r="DS176" i="17"/>
  <c r="DS202" i="17"/>
  <c r="DL202" i="17"/>
  <c r="CF181" i="17"/>
  <c r="CE181" i="17"/>
  <c r="DS237" i="17"/>
  <c r="DL237" i="17"/>
  <c r="DO292" i="17"/>
  <c r="DP292" i="17"/>
  <c r="DO165" i="17"/>
  <c r="DP165" i="17"/>
  <c r="DQ165" i="17" s="1"/>
  <c r="DQ219" i="17"/>
  <c r="DP355" i="17"/>
  <c r="DO355" i="17"/>
  <c r="DO224" i="17"/>
  <c r="DP224" i="17"/>
  <c r="DQ224" i="17" s="1"/>
  <c r="CF293" i="17"/>
  <c r="CE293" i="17"/>
  <c r="DL204" i="17"/>
  <c r="DS204" i="17"/>
  <c r="DO184" i="17"/>
  <c r="DP184" i="17"/>
  <c r="DQ184" i="17" s="1"/>
  <c r="DQ232" i="17"/>
  <c r="DS339" i="17"/>
  <c r="DL339" i="17"/>
  <c r="Y382" i="17"/>
  <c r="DS270" i="17"/>
  <c r="DL270" i="17"/>
  <c r="CE358" i="17"/>
  <c r="CF358" i="17"/>
  <c r="CE280" i="17"/>
  <c r="CF280" i="17"/>
  <c r="DO336" i="17"/>
  <c r="DP336" i="17"/>
  <c r="DQ336" i="17" s="1"/>
  <c r="DS397" i="17"/>
  <c r="CF331" i="17"/>
  <c r="CE331" i="17"/>
  <c r="CE350" i="17"/>
  <c r="CF350" i="17"/>
  <c r="CE367" i="17"/>
  <c r="Y374" i="17"/>
  <c r="DL205" i="17"/>
  <c r="DQ332" i="17"/>
  <c r="CF371" i="17"/>
  <c r="CE371" i="17"/>
  <c r="DP401" i="17"/>
  <c r="DO401" i="17"/>
  <c r="DS438" i="17"/>
  <c r="DL438" i="17"/>
  <c r="DO519" i="17"/>
  <c r="DP519" i="17"/>
  <c r="DO536" i="17"/>
  <c r="DP536" i="17"/>
  <c r="DO313" i="17"/>
  <c r="DP313" i="17"/>
  <c r="DQ313" i="17" s="1"/>
  <c r="BA343" i="17"/>
  <c r="CQ359" i="17"/>
  <c r="DS359" i="17"/>
  <c r="DQ410" i="17"/>
  <c r="CE447" i="17"/>
  <c r="CF447" i="17"/>
  <c r="CF453" i="17"/>
  <c r="CE453" i="17"/>
  <c r="DS389" i="17"/>
  <c r="DL389" i="17"/>
  <c r="DO442" i="17"/>
  <c r="DP442" i="17"/>
  <c r="DS537" i="17"/>
  <c r="DL537" i="17"/>
  <c r="DS432" i="17"/>
  <c r="DL432" i="17"/>
  <c r="DQ510" i="17"/>
  <c r="CF519" i="17"/>
  <c r="CE519" i="17"/>
  <c r="CF301" i="17"/>
  <c r="CE301" i="17"/>
  <c r="Y506" i="17"/>
  <c r="DS511" i="17"/>
  <c r="DL511" i="17"/>
  <c r="Y453" i="17"/>
  <c r="DS497" i="17"/>
  <c r="DL497" i="17"/>
  <c r="DL524" i="17"/>
  <c r="DS223" i="17"/>
  <c r="DL223" i="17"/>
  <c r="DS433" i="17"/>
  <c r="DL433" i="17"/>
  <c r="DQ457" i="17"/>
  <c r="DQ55" i="17"/>
  <c r="DO98" i="17"/>
  <c r="DP98" i="17"/>
  <c r="DQ98" i="17" s="1"/>
  <c r="DS114" i="17"/>
  <c r="DL114" i="17"/>
  <c r="DP34" i="17"/>
  <c r="DQ34" i="17" s="1"/>
  <c r="DO34" i="17"/>
  <c r="DO324" i="17"/>
  <c r="DP324" i="17"/>
  <c r="DP363" i="17"/>
  <c r="DO363" i="17"/>
  <c r="DS379" i="17"/>
  <c r="DL379" i="17"/>
  <c r="DS381" i="17"/>
  <c r="DL381" i="17"/>
  <c r="DS278" i="17"/>
  <c r="DL278" i="17"/>
  <c r="DS482" i="17"/>
  <c r="DL482" i="17"/>
  <c r="DP413" i="17"/>
  <c r="DQ413" i="17" s="1"/>
  <c r="DO413" i="17"/>
  <c r="Y431" i="17"/>
  <c r="DS462" i="17"/>
  <c r="DL462" i="17"/>
  <c r="DQ66" i="17"/>
  <c r="DQ35" i="17"/>
  <c r="CF23" i="17"/>
  <c r="CE23" i="17"/>
  <c r="CE116" i="17"/>
  <c r="CF116" i="17"/>
  <c r="CE164" i="17"/>
  <c r="CF164" i="17"/>
  <c r="DL87" i="17"/>
  <c r="Y87" i="17"/>
  <c r="DS87" i="17"/>
  <c r="DS212" i="17"/>
  <c r="DL212" i="17"/>
  <c r="DQ136" i="17"/>
  <c r="DO124" i="17"/>
  <c r="DP124" i="17"/>
  <c r="DS264" i="17"/>
  <c r="DL264" i="17"/>
  <c r="DS292" i="17"/>
  <c r="DL292" i="17"/>
  <c r="CF222" i="17"/>
  <c r="CE222" i="17"/>
  <c r="DP430" i="17"/>
  <c r="DO430" i="17"/>
  <c r="DS439" i="17"/>
  <c r="DL439" i="17"/>
  <c r="CF446" i="17"/>
  <c r="CE446" i="17"/>
  <c r="CE536" i="17"/>
  <c r="CF536" i="17"/>
  <c r="CG375" i="17"/>
  <c r="DS375" i="17"/>
  <c r="DL514" i="17"/>
  <c r="DS514" i="17"/>
  <c r="CL472" i="17"/>
  <c r="CN472" i="17"/>
  <c r="DQ471" i="17"/>
  <c r="DS343" i="17"/>
  <c r="CE24" i="17"/>
  <c r="CF24" i="17"/>
  <c r="CE18" i="17"/>
  <c r="CF18" i="17"/>
  <c r="CP20" i="17"/>
  <c r="DP38" i="17"/>
  <c r="DO38" i="17"/>
  <c r="DL72" i="17"/>
  <c r="DQ97" i="17"/>
  <c r="DO117" i="17"/>
  <c r="DP117" i="17"/>
  <c r="DQ117" i="17" s="1"/>
  <c r="DL128" i="17"/>
  <c r="DS128" i="17"/>
  <c r="DL73" i="17"/>
  <c r="DS73" i="17"/>
  <c r="Y73" i="17"/>
  <c r="DS210" i="17"/>
  <c r="DL210" i="17"/>
  <c r="DL160" i="17"/>
  <c r="DS160" i="17"/>
  <c r="DQ330" i="17"/>
  <c r="DQ370" i="17"/>
  <c r="DS245" i="17"/>
  <c r="DL245" i="17"/>
  <c r="CF327" i="17"/>
  <c r="CE327" i="17"/>
  <c r="CE363" i="17"/>
  <c r="CF363" i="17"/>
  <c r="DL327" i="17"/>
  <c r="DS327" i="17"/>
  <c r="DP470" i="17"/>
  <c r="DO470" i="17"/>
  <c r="DQ540" i="17"/>
  <c r="BA472" i="17"/>
  <c r="BB472" i="17"/>
  <c r="DO392" i="17"/>
  <c r="DP392" i="17"/>
  <c r="DQ42" i="17"/>
  <c r="DQ52" i="17"/>
  <c r="CE109" i="17"/>
  <c r="CF109" i="17"/>
  <c r="DS116" i="17"/>
  <c r="DL116" i="17"/>
  <c r="DP107" i="17"/>
  <c r="DO107" i="17"/>
  <c r="DO162" i="17"/>
  <c r="DP162" i="17"/>
  <c r="DQ162" i="17" s="1"/>
  <c r="DO308" i="17"/>
  <c r="DP308" i="17"/>
  <c r="DS198" i="17"/>
  <c r="CE349" i="17"/>
  <c r="CF349" i="17"/>
  <c r="DS331" i="17"/>
  <c r="DL331" i="17"/>
  <c r="CQ20" i="17"/>
  <c r="DS23" i="17"/>
  <c r="DP62" i="17"/>
  <c r="DO62" i="17"/>
  <c r="DS48" i="17"/>
  <c r="CE101" i="17"/>
  <c r="CF101" i="17"/>
  <c r="DO102" i="17"/>
  <c r="DP102" i="17"/>
  <c r="DS118" i="17"/>
  <c r="DL129" i="17"/>
  <c r="DS129" i="17"/>
  <c r="DO142" i="17"/>
  <c r="DP142" i="17"/>
  <c r="DQ142" i="17" s="1"/>
  <c r="DS74" i="17"/>
  <c r="BA74" i="17"/>
  <c r="DP33" i="17"/>
  <c r="DQ33" i="17" s="1"/>
  <c r="DO33" i="17"/>
  <c r="CE139" i="17"/>
  <c r="CF139" i="17"/>
  <c r="DO143" i="17"/>
  <c r="DP143" i="17"/>
  <c r="DQ156" i="17"/>
  <c r="Y144" i="17"/>
  <c r="DS59" i="17"/>
  <c r="DL59" i="17"/>
  <c r="Y128" i="17"/>
  <c r="DS152" i="17"/>
  <c r="DL152" i="17"/>
  <c r="DQ157" i="17"/>
  <c r="DS127" i="17"/>
  <c r="DL127" i="17"/>
  <c r="CE157" i="17"/>
  <c r="CF157" i="17"/>
  <c r="CE196" i="17"/>
  <c r="CF196" i="17"/>
  <c r="CE204" i="17"/>
  <c r="CF204" i="17"/>
  <c r="DL185" i="17"/>
  <c r="DO189" i="17"/>
  <c r="DP189" i="17"/>
  <c r="DQ189" i="17" s="1"/>
  <c r="DP190" i="17"/>
  <c r="DO190" i="17"/>
  <c r="DO220" i="17"/>
  <c r="DP220" i="17"/>
  <c r="DQ220" i="17" s="1"/>
  <c r="CE133" i="17"/>
  <c r="CG133" i="17"/>
  <c r="CE158" i="17"/>
  <c r="CF158" i="17"/>
  <c r="CE212" i="17"/>
  <c r="CF212" i="17"/>
  <c r="Y195" i="17"/>
  <c r="Y264" i="17"/>
  <c r="DS277" i="17"/>
  <c r="DL277" i="17"/>
  <c r="DS311" i="17"/>
  <c r="DL311" i="17"/>
  <c r="CE224" i="17"/>
  <c r="CF224" i="17"/>
  <c r="CE232" i="17"/>
  <c r="CF232" i="17"/>
  <c r="CG266" i="17"/>
  <c r="DS266" i="17"/>
  <c r="CE319" i="17"/>
  <c r="CF319" i="17"/>
  <c r="CE264" i="17"/>
  <c r="CF264" i="17"/>
  <c r="DO379" i="17"/>
  <c r="DP379" i="17"/>
  <c r="Y245" i="17"/>
  <c r="DL155" i="17"/>
  <c r="Y155" i="17"/>
  <c r="DS155" i="17"/>
  <c r="CG213" i="17"/>
  <c r="DS213" i="17"/>
  <c r="CE300" i="17"/>
  <c r="CF300" i="17"/>
  <c r="CG360" i="17"/>
  <c r="DS360" i="17"/>
  <c r="CF412" i="17"/>
  <c r="CE412" i="17"/>
  <c r="Y366" i="17"/>
  <c r="CF270" i="17"/>
  <c r="CE270" i="17"/>
  <c r="DS288" i="17"/>
  <c r="DQ341" i="17"/>
  <c r="DQ346" i="17"/>
  <c r="DS308" i="17"/>
  <c r="DL308" i="17"/>
  <c r="CE341" i="17"/>
  <c r="CF341" i="17"/>
  <c r="DO409" i="17"/>
  <c r="DP409" i="17"/>
  <c r="DL417" i="17"/>
  <c r="DS417" i="17"/>
  <c r="DO438" i="17"/>
  <c r="DP438" i="17"/>
  <c r="DO461" i="17"/>
  <c r="DP461" i="17"/>
  <c r="DO480" i="17"/>
  <c r="DP480" i="17"/>
  <c r="Y277" i="17"/>
  <c r="DO390" i="17"/>
  <c r="DP390" i="17"/>
  <c r="CG400" i="17"/>
  <c r="DL400" i="17"/>
  <c r="CG416" i="17"/>
  <c r="DL416" i="17"/>
  <c r="CE506" i="17"/>
  <c r="CF506" i="17"/>
  <c r="BA515" i="17"/>
  <c r="DO281" i="17"/>
  <c r="DP281" i="17"/>
  <c r="DQ281" i="17" s="1"/>
  <c r="DS519" i="17"/>
  <c r="DL519" i="17"/>
  <c r="DP405" i="17"/>
  <c r="DQ405" i="17" s="1"/>
  <c r="DO405" i="17"/>
  <c r="DQ319" i="17"/>
  <c r="DL359" i="17"/>
  <c r="DS470" i="17"/>
  <c r="DL470" i="17"/>
  <c r="DP421" i="17"/>
  <c r="DO421" i="17"/>
  <c r="CE433" i="17"/>
  <c r="CF433" i="17"/>
  <c r="Y439" i="17"/>
  <c r="DL420" i="17"/>
  <c r="DS420" i="17"/>
  <c r="DL508" i="17"/>
  <c r="DS508" i="17"/>
  <c r="CG508" i="17"/>
  <c r="Y324" i="17"/>
  <c r="DS373" i="17"/>
  <c r="DL373" i="17"/>
  <c r="CC398" i="17"/>
  <c r="CE400" i="17"/>
  <c r="CP442" i="17"/>
  <c r="Y339" i="17"/>
  <c r="DQ414" i="17"/>
  <c r="Y412" i="17"/>
  <c r="DQ477" i="17"/>
  <c r="DQ505" i="17"/>
  <c r="DQ11" i="17"/>
  <c r="DS45" i="17"/>
  <c r="DL45" i="17"/>
  <c r="Y45" i="17"/>
  <c r="DQ105" i="17"/>
  <c r="CE127" i="17"/>
  <c r="CF127" i="17"/>
  <c r="DQ218" i="17"/>
  <c r="CE284" i="17"/>
  <c r="CF284" i="17"/>
  <c r="CE316" i="17"/>
  <c r="CF316" i="17"/>
  <c r="DO339" i="17"/>
  <c r="DP339" i="17"/>
  <c r="Y229" i="17"/>
  <c r="DO272" i="17"/>
  <c r="DP272" i="17"/>
  <c r="R179" i="17"/>
  <c r="Y179" i="17" s="1"/>
  <c r="CE324" i="17"/>
  <c r="CF324" i="17"/>
  <c r="CF278" i="17"/>
  <c r="CE278" i="17"/>
  <c r="CE272" i="17"/>
  <c r="CF272" i="17"/>
  <c r="DS430" i="17"/>
  <c r="DL430" i="17"/>
  <c r="DS491" i="17"/>
  <c r="DL491" i="17"/>
  <c r="Y512" i="17"/>
  <c r="DL41" i="17"/>
  <c r="DS41" i="17"/>
  <c r="CF33" i="17"/>
  <c r="CE33" i="17"/>
  <c r="DQ44" i="17"/>
  <c r="DL56" i="17"/>
  <c r="DO90" i="17"/>
  <c r="DP90" i="17"/>
  <c r="DQ90" i="17" s="1"/>
  <c r="CE153" i="17"/>
  <c r="CF153" i="17"/>
  <c r="Y114" i="17"/>
  <c r="DQ108" i="17"/>
  <c r="DS67" i="17"/>
  <c r="DL67" i="17"/>
  <c r="CE147" i="17"/>
  <c r="CF147" i="17"/>
  <c r="DL217" i="17"/>
  <c r="DS217" i="17"/>
  <c r="CE209" i="17"/>
  <c r="CF209" i="17"/>
  <c r="DS286" i="17"/>
  <c r="DL286" i="17"/>
  <c r="DO342" i="17"/>
  <c r="DP342" i="17"/>
  <c r="DQ342" i="17" s="1"/>
  <c r="DP417" i="17"/>
  <c r="DO417" i="17"/>
  <c r="DO488" i="17"/>
  <c r="DP488" i="17"/>
  <c r="DQ443" i="17"/>
  <c r="DS528" i="17"/>
  <c r="DL528" i="17"/>
  <c r="CE491" i="17"/>
  <c r="CF491" i="17"/>
  <c r="DQ402" i="17"/>
  <c r="DS340" i="17"/>
  <c r="DL340" i="17"/>
  <c r="CD472" i="17"/>
  <c r="CG472" i="17"/>
  <c r="DS293" i="17"/>
  <c r="DL293" i="17"/>
  <c r="DS5" i="17"/>
  <c r="DL5" i="17"/>
  <c r="DO50" i="17"/>
  <c r="DP50" i="17"/>
  <c r="DS29" i="17"/>
  <c r="DL29" i="17"/>
  <c r="DS76" i="17"/>
  <c r="DL76" i="17"/>
  <c r="DS107" i="17"/>
  <c r="DL107" i="17"/>
  <c r="DS85" i="17"/>
  <c r="DL85" i="17"/>
  <c r="BA185" i="17"/>
  <c r="DQ103" i="17"/>
  <c r="DS201" i="17"/>
  <c r="DL201" i="17"/>
  <c r="DP269" i="17"/>
  <c r="DO269" i="17"/>
  <c r="DO172" i="17"/>
  <c r="DP172" i="17"/>
  <c r="DQ172" i="17" s="1"/>
  <c r="CF285" i="17"/>
  <c r="CE285" i="17"/>
  <c r="DQ258" i="17"/>
  <c r="CE321" i="17"/>
  <c r="CF321" i="17"/>
  <c r="DS380" i="17"/>
  <c r="DL380" i="17"/>
  <c r="CE279" i="17"/>
  <c r="CF279" i="17"/>
  <c r="Y349" i="17"/>
  <c r="DO196" i="17"/>
  <c r="DP196" i="17"/>
  <c r="DL401" i="17"/>
  <c r="DS401" i="17"/>
  <c r="DO445" i="17"/>
  <c r="DP445" i="17"/>
  <c r="DP526" i="17"/>
  <c r="DO526" i="17"/>
  <c r="CE203" i="17"/>
  <c r="CF203" i="17"/>
  <c r="DQ250" i="17"/>
  <c r="CE475" i="17"/>
  <c r="CF475" i="17"/>
  <c r="CE263" i="17"/>
  <c r="CF263" i="17"/>
  <c r="DS488" i="17"/>
  <c r="DL488" i="17"/>
  <c r="DS501" i="17"/>
  <c r="CG501" i="17"/>
  <c r="DL501" i="17"/>
  <c r="DS480" i="17"/>
  <c r="DL480" i="17"/>
  <c r="DS536" i="17"/>
  <c r="DL536" i="17"/>
  <c r="DS14" i="17"/>
  <c r="DL14" i="17"/>
  <c r="DL32" i="17"/>
  <c r="DS32" i="17"/>
  <c r="DP81" i="17"/>
  <c r="DO81" i="17"/>
  <c r="Y210" i="17"/>
  <c r="DQ239" i="17"/>
  <c r="CF317" i="17"/>
  <c r="CE317" i="17"/>
  <c r="DO311" i="17"/>
  <c r="DP311" i="17"/>
  <c r="DP6" i="17"/>
  <c r="DO6" i="17"/>
  <c r="DS19" i="17"/>
  <c r="Y29" i="17"/>
  <c r="DO41" i="17"/>
  <c r="DP41" i="17"/>
  <c r="DL57" i="17"/>
  <c r="DS57" i="17"/>
  <c r="DL20" i="17"/>
  <c r="CE22" i="17"/>
  <c r="CF22" i="17"/>
  <c r="DQ36" i="17"/>
  <c r="DS65" i="17"/>
  <c r="DL65" i="17"/>
  <c r="DS78" i="17"/>
  <c r="DL78" i="17"/>
  <c r="DQ64" i="17"/>
  <c r="DS75" i="17"/>
  <c r="DL75" i="17"/>
  <c r="CF91" i="17"/>
  <c r="CE91" i="17"/>
  <c r="DS145" i="17"/>
  <c r="DL145" i="17"/>
  <c r="CE59" i="17"/>
  <c r="CF59" i="17"/>
  <c r="CE74" i="17"/>
  <c r="CF74" i="17"/>
  <c r="DS93" i="17"/>
  <c r="DL93" i="17"/>
  <c r="Y120" i="17"/>
  <c r="CG111" i="17"/>
  <c r="CE111" i="17"/>
  <c r="DL111" i="17"/>
  <c r="DS111" i="17"/>
  <c r="DL99" i="17"/>
  <c r="DS99" i="17"/>
  <c r="DO177" i="17"/>
  <c r="DP177" i="17"/>
  <c r="CE140" i="17"/>
  <c r="CF140" i="17"/>
  <c r="CE198" i="17"/>
  <c r="DS209" i="17"/>
  <c r="DL209" i="17"/>
  <c r="DP135" i="17"/>
  <c r="DQ135" i="17" s="1"/>
  <c r="DO135" i="17"/>
  <c r="DS163" i="17"/>
  <c r="DO169" i="17"/>
  <c r="DP169" i="17"/>
  <c r="DL112" i="17"/>
  <c r="DS112" i="17"/>
  <c r="Y112" i="17"/>
  <c r="DS177" i="17"/>
  <c r="DL177" i="17"/>
  <c r="DO261" i="17"/>
  <c r="DP261" i="17"/>
  <c r="CE240" i="17"/>
  <c r="CF240" i="17"/>
  <c r="DS255" i="17"/>
  <c r="DL255" i="17"/>
  <c r="DS280" i="17"/>
  <c r="DL280" i="17"/>
  <c r="CG216" i="17"/>
  <c r="DL216" i="17"/>
  <c r="DL196" i="17"/>
  <c r="DS196" i="17"/>
  <c r="DL214" i="17"/>
  <c r="DO316" i="17"/>
  <c r="DP316" i="17"/>
  <c r="DQ233" i="17"/>
  <c r="CE245" i="17"/>
  <c r="CF245" i="17"/>
  <c r="DS294" i="17"/>
  <c r="DL294" i="17"/>
  <c r="DS348" i="17"/>
  <c r="DL348" i="17"/>
  <c r="DS372" i="17"/>
  <c r="DL372" i="17"/>
  <c r="DO234" i="17"/>
  <c r="DP234" i="17"/>
  <c r="DQ234" i="17" s="1"/>
  <c r="CE294" i="17"/>
  <c r="CF294" i="17"/>
  <c r="CE223" i="17"/>
  <c r="CF223" i="17"/>
  <c r="CE292" i="17"/>
  <c r="CF292" i="17"/>
  <c r="CE334" i="17"/>
  <c r="CF334" i="17"/>
  <c r="DL257" i="17"/>
  <c r="Y222" i="17"/>
  <c r="DO359" i="17"/>
  <c r="DP359" i="17"/>
  <c r="DO462" i="17"/>
  <c r="DP462" i="17"/>
  <c r="DS203" i="17"/>
  <c r="DL203" i="17"/>
  <c r="CE374" i="17"/>
  <c r="CF374" i="17"/>
  <c r="CF308" i="17"/>
  <c r="CE308" i="17"/>
  <c r="DQ434" i="17"/>
  <c r="DS440" i="17"/>
  <c r="DL440" i="17"/>
  <c r="DS481" i="17"/>
  <c r="DL481" i="17"/>
  <c r="DS489" i="17"/>
  <c r="DL489" i="17"/>
  <c r="Y519" i="17"/>
  <c r="CE255" i="17"/>
  <c r="CF255" i="17"/>
  <c r="DQ368" i="17"/>
  <c r="CG408" i="17"/>
  <c r="DL408" i="17"/>
  <c r="Y480" i="17"/>
  <c r="DO506" i="17"/>
  <c r="DP506" i="17"/>
  <c r="DQ531" i="17"/>
  <c r="DS463" i="17"/>
  <c r="DL463" i="17"/>
  <c r="DS333" i="17"/>
  <c r="DL333" i="17"/>
  <c r="Y269" i="17"/>
  <c r="Y465" i="17"/>
  <c r="DS363" i="17"/>
  <c r="DL363" i="17"/>
  <c r="DO449" i="17"/>
  <c r="DP449" i="17"/>
  <c r="DQ449" i="17" s="1"/>
  <c r="DQ365" i="17"/>
  <c r="Y440" i="17"/>
  <c r="DS473" i="17"/>
  <c r="DL473" i="17"/>
  <c r="Y204" i="17"/>
  <c r="Y445" i="17"/>
  <c r="DS301" i="17"/>
  <c r="DL301" i="17"/>
  <c r="DS527" i="17"/>
  <c r="DL527" i="17"/>
  <c r="Y300" i="17"/>
  <c r="DL404" i="17"/>
  <c r="DS404" i="17"/>
  <c r="BA466" i="17"/>
  <c r="Y488" i="17"/>
  <c r="DQ532" i="17" l="1"/>
  <c r="DQ149" i="17"/>
  <c r="DQ353" i="17"/>
  <c r="DQ51" i="17"/>
  <c r="CP179" i="17"/>
  <c r="DQ518" i="17"/>
  <c r="DQ252" i="17"/>
  <c r="DR179" i="17"/>
  <c r="DQ297" i="17"/>
  <c r="DQ391" i="17"/>
  <c r="DQ428" i="17"/>
  <c r="DP179" i="17"/>
  <c r="DQ17" i="17"/>
  <c r="C25" i="18"/>
  <c r="D25" i="18" s="1"/>
  <c r="DQ243" i="17"/>
  <c r="I23" i="18"/>
  <c r="G23" i="18"/>
  <c r="G24" i="18" s="1"/>
  <c r="DQ507" i="17"/>
  <c r="DQ25" i="17"/>
  <c r="DQ190" i="17"/>
  <c r="DQ199" i="17"/>
  <c r="DQ351" i="17"/>
  <c r="CH472" i="17"/>
  <c r="CQ472" i="17" s="1"/>
  <c r="DQ392" i="17"/>
  <c r="DQ495" i="17"/>
  <c r="DQ415" i="17"/>
  <c r="DQ79" i="17"/>
  <c r="DQ89" i="17"/>
  <c r="DQ37" i="17"/>
  <c r="DQ183" i="17"/>
  <c r="DQ63" i="17"/>
  <c r="DQ38" i="17"/>
  <c r="DQ385" i="17"/>
  <c r="DQ169" i="17"/>
  <c r="DQ484" i="17"/>
  <c r="DQ298" i="17"/>
  <c r="DQ188" i="17"/>
  <c r="DQ119" i="17"/>
  <c r="DQ509" i="17"/>
  <c r="DQ378" i="17"/>
  <c r="DQ132" i="17"/>
  <c r="DQ198" i="17"/>
  <c r="DQ487" i="17"/>
  <c r="DQ167" i="17"/>
  <c r="DQ228" i="17"/>
  <c r="DQ124" i="17"/>
  <c r="DQ215" i="17"/>
  <c r="DQ100" i="17"/>
  <c r="DQ266" i="17"/>
  <c r="DQ61" i="17"/>
  <c r="DQ407" i="17"/>
  <c r="DQ168" i="17"/>
  <c r="DQ10" i="17"/>
  <c r="DQ460" i="17"/>
  <c r="DQ516" i="17"/>
  <c r="DQ274" i="17"/>
  <c r="DQ133" i="17"/>
  <c r="DQ367" i="17"/>
  <c r="DQ291" i="17"/>
  <c r="DQ323" i="17"/>
  <c r="DQ315" i="17"/>
  <c r="DQ226" i="17"/>
  <c r="DQ329" i="17"/>
  <c r="DQ109" i="17"/>
  <c r="DQ421" i="17"/>
  <c r="DQ244" i="17"/>
  <c r="DQ394" i="17"/>
  <c r="DQ275" i="17"/>
  <c r="DQ486" i="17"/>
  <c r="DQ50" i="17"/>
  <c r="DQ399" i="17"/>
  <c r="DQ80" i="17"/>
  <c r="DQ459" i="17"/>
  <c r="DQ235" i="17"/>
  <c r="DQ236" i="17"/>
  <c r="DQ469" i="17"/>
  <c r="DQ26" i="17"/>
  <c r="DQ267" i="17"/>
  <c r="DQ361" i="17"/>
  <c r="DQ282" i="17"/>
  <c r="DQ360" i="17"/>
  <c r="DQ444" i="17"/>
  <c r="DQ325" i="17"/>
  <c r="DQ369" i="17"/>
  <c r="CO398" i="17"/>
  <c r="DQ209" i="17"/>
  <c r="DQ65" i="17"/>
  <c r="DQ327" i="17"/>
  <c r="DQ339" i="17"/>
  <c r="DQ316" i="17"/>
  <c r="DQ116" i="17"/>
  <c r="DQ292" i="17"/>
  <c r="DQ170" i="17"/>
  <c r="DQ8" i="17"/>
  <c r="DQ441" i="17"/>
  <c r="DQ358" i="17"/>
  <c r="DQ269" i="17"/>
  <c r="DQ216" i="17"/>
  <c r="CE472" i="17"/>
  <c r="CF472" i="17"/>
  <c r="DQ240" i="17"/>
  <c r="DQ409" i="17"/>
  <c r="CJ398" i="17"/>
  <c r="F25" i="18" s="1"/>
  <c r="DQ431" i="17"/>
  <c r="DQ349" i="17"/>
  <c r="DQ280" i="17"/>
  <c r="DQ177" i="17"/>
  <c r="DQ145" i="17"/>
  <c r="DQ76" i="17"/>
  <c r="DQ217" i="17"/>
  <c r="DS179" i="17"/>
  <c r="DL179" i="17"/>
  <c r="CD398" i="17"/>
  <c r="CG398" i="17"/>
  <c r="DQ420" i="17"/>
  <c r="DQ155" i="17"/>
  <c r="DQ277" i="17"/>
  <c r="DQ185" i="17"/>
  <c r="DQ59" i="17"/>
  <c r="DQ497" i="17"/>
  <c r="DQ432" i="17"/>
  <c r="DQ237" i="17"/>
  <c r="DQ151" i="17"/>
  <c r="DQ23" i="17"/>
  <c r="DQ523" i="17"/>
  <c r="DQ445" i="17"/>
  <c r="DQ521" i="17"/>
  <c r="DQ541" i="17"/>
  <c r="DQ504" i="17"/>
  <c r="DQ390" i="17"/>
  <c r="DQ15" i="17"/>
  <c r="DQ474" i="17"/>
  <c r="DQ464" i="17"/>
  <c r="DQ453" i="17"/>
  <c r="DQ153" i="17"/>
  <c r="DQ257" i="17"/>
  <c r="DQ99" i="17"/>
  <c r="DQ488" i="17"/>
  <c r="DQ160" i="17"/>
  <c r="DQ158" i="17"/>
  <c r="DQ465" i="17"/>
  <c r="DQ527" i="17"/>
  <c r="DQ489" i="17"/>
  <c r="DQ536" i="17"/>
  <c r="DQ201" i="17"/>
  <c r="DQ67" i="17"/>
  <c r="DQ152" i="17"/>
  <c r="DQ379" i="17"/>
  <c r="DQ176" i="17"/>
  <c r="DQ506" i="17"/>
  <c r="DS442" i="17"/>
  <c r="DL442" i="17"/>
  <c r="Y442" i="17"/>
  <c r="DQ412" i="17"/>
  <c r="DQ408" i="17"/>
  <c r="DQ111" i="17"/>
  <c r="DQ107" i="17"/>
  <c r="DQ311" i="17"/>
  <c r="DQ462" i="17"/>
  <c r="DQ537" i="17"/>
  <c r="DQ321" i="17"/>
  <c r="DQ496" i="17"/>
  <c r="DQ91" i="17"/>
  <c r="DQ340" i="17"/>
  <c r="DQ286" i="17"/>
  <c r="DQ127" i="17"/>
  <c r="DQ210" i="17"/>
  <c r="DQ278" i="17"/>
  <c r="DQ301" i="17"/>
  <c r="DQ440" i="17"/>
  <c r="DQ203" i="17"/>
  <c r="DQ348" i="17"/>
  <c r="DQ501" i="17"/>
  <c r="DQ380" i="17"/>
  <c r="DQ373" i="17"/>
  <c r="DQ417" i="17"/>
  <c r="DQ264" i="17"/>
  <c r="DQ381" i="17"/>
  <c r="DQ433" i="17"/>
  <c r="DQ270" i="17"/>
  <c r="DQ62" i="17"/>
  <c r="DQ6" i="17"/>
  <c r="DQ7" i="17"/>
  <c r="DQ221" i="17"/>
  <c r="DQ303" i="17"/>
  <c r="DQ181" i="17"/>
  <c r="DQ92" i="17"/>
  <c r="DQ357" i="17"/>
  <c r="DQ430" i="17"/>
  <c r="DQ397" i="17"/>
  <c r="DQ24" i="17"/>
  <c r="DQ191" i="17"/>
  <c r="DQ463" i="17"/>
  <c r="DQ196" i="17"/>
  <c r="DQ528" i="17"/>
  <c r="DQ439" i="17"/>
  <c r="DQ511" i="17"/>
  <c r="CL398" i="17"/>
  <c r="DQ144" i="17"/>
  <c r="DQ363" i="17"/>
  <c r="DQ308" i="17"/>
  <c r="DQ202" i="17"/>
  <c r="DQ143" i="17"/>
  <c r="DQ447" i="17"/>
  <c r="DQ455" i="17"/>
  <c r="DQ387" i="17"/>
  <c r="DQ261" i="17"/>
  <c r="DQ125" i="17"/>
  <c r="DQ81" i="17"/>
  <c r="DQ446" i="17"/>
  <c r="DQ318" i="17"/>
  <c r="CE179" i="17"/>
  <c r="CF179" i="17"/>
  <c r="DS525" i="17"/>
  <c r="DL525" i="17"/>
  <c r="Y525" i="17"/>
  <c r="DQ372" i="17"/>
  <c r="DQ480" i="17"/>
  <c r="DQ5" i="17"/>
  <c r="DQ255" i="17"/>
  <c r="DQ93" i="17"/>
  <c r="DQ78" i="17"/>
  <c r="DQ32" i="17"/>
  <c r="DQ85" i="17"/>
  <c r="DQ29" i="17"/>
  <c r="DQ56" i="17"/>
  <c r="DQ41" i="17"/>
  <c r="DQ491" i="17"/>
  <c r="DQ45" i="17"/>
  <c r="DQ129" i="17"/>
  <c r="DQ72" i="17"/>
  <c r="CO472" i="17"/>
  <c r="DQ389" i="17"/>
  <c r="DQ140" i="17"/>
  <c r="DQ70" i="17"/>
  <c r="DQ47" i="17"/>
  <c r="DQ253" i="17"/>
  <c r="DQ248" i="17"/>
  <c r="DQ229" i="17"/>
  <c r="DQ526" i="17"/>
  <c r="DQ396" i="17"/>
  <c r="DQ102" i="17"/>
  <c r="DL529" i="17"/>
  <c r="DS529" i="17"/>
  <c r="Y529" i="17"/>
  <c r="DQ355" i="17"/>
  <c r="DQ193" i="17"/>
  <c r="DQ120" i="17"/>
  <c r="DQ112" i="17"/>
  <c r="DQ75" i="17"/>
  <c r="DQ470" i="17"/>
  <c r="DQ374" i="17"/>
  <c r="DQ300" i="17"/>
  <c r="DQ284" i="17"/>
  <c r="DQ366" i="17"/>
  <c r="DQ161" i="17"/>
  <c r="DQ57" i="17"/>
  <c r="DQ400" i="17"/>
  <c r="DQ128" i="17"/>
  <c r="DQ43" i="17"/>
  <c r="DQ508" i="17"/>
  <c r="DQ359" i="17"/>
  <c r="DQ331" i="17"/>
  <c r="DQ514" i="17"/>
  <c r="DQ347" i="17"/>
  <c r="DQ222" i="17"/>
  <c r="DQ195" i="17"/>
  <c r="DQ19" i="17"/>
  <c r="DQ473" i="17"/>
  <c r="DQ481" i="17"/>
  <c r="DQ212" i="17"/>
  <c r="DQ524" i="17"/>
  <c r="DQ163" i="17"/>
  <c r="DQ324" i="17"/>
  <c r="DQ498" i="17"/>
  <c r="DQ404" i="17"/>
  <c r="DQ333" i="17"/>
  <c r="DQ294" i="17"/>
  <c r="DQ214" i="17"/>
  <c r="DQ20" i="17"/>
  <c r="DQ14" i="17"/>
  <c r="DQ401" i="17"/>
  <c r="DQ293" i="17"/>
  <c r="DQ519" i="17"/>
  <c r="DQ416" i="17"/>
  <c r="DQ245" i="17"/>
  <c r="DQ73" i="17"/>
  <c r="DQ87" i="17"/>
  <c r="DQ482" i="17"/>
  <c r="DQ114" i="17"/>
  <c r="DQ223" i="17"/>
  <c r="DQ438" i="17"/>
  <c r="DQ205" i="17"/>
  <c r="DQ204" i="17"/>
  <c r="DQ272" i="17"/>
  <c r="DQ95" i="17"/>
  <c r="DQ139" i="17"/>
  <c r="DQ48" i="17"/>
  <c r="DQ461" i="17"/>
  <c r="DQ538" i="17"/>
  <c r="DQ84" i="17"/>
  <c r="DQ520" i="17"/>
  <c r="DQ382" i="17"/>
  <c r="DQ512" i="17"/>
  <c r="DQ371" i="17"/>
  <c r="CC31" i="16"/>
  <c r="G25" i="18" l="1"/>
  <c r="CP472" i="17"/>
  <c r="I25" i="18"/>
  <c r="DL472" i="17"/>
  <c r="DQ472" i="17" s="1"/>
  <c r="DS472" i="17"/>
  <c r="CH398" i="17"/>
  <c r="DR398" i="17"/>
  <c r="DQ442" i="17"/>
  <c r="DQ179" i="17"/>
  <c r="DQ529" i="17"/>
  <c r="DQ525" i="17"/>
  <c r="CE398" i="17"/>
  <c r="CF398" i="17"/>
  <c r="I24" i="18" s="1"/>
  <c r="T4" i="18" l="1"/>
  <c r="R3" i="18" s="1"/>
  <c r="DS398" i="17"/>
  <c r="CQ398" i="17"/>
  <c r="DL398" i="17"/>
  <c r="CP398" i="17"/>
  <c r="BW8" i="7"/>
  <c r="BW7" i="7"/>
  <c r="BW6" i="7"/>
  <c r="BW5" i="7"/>
  <c r="DQ398" i="17" l="1"/>
  <c r="E25" i="9"/>
  <c r="H25" i="9"/>
  <c r="G25" i="9"/>
  <c r="F25" i="9"/>
  <c r="B37" i="9"/>
  <c r="H34" i="9"/>
  <c r="G34" i="9"/>
  <c r="F34" i="9"/>
  <c r="E34" i="9"/>
  <c r="H33" i="9"/>
  <c r="G33" i="9"/>
  <c r="F33" i="9"/>
  <c r="E33" i="9"/>
  <c r="H32" i="9"/>
  <c r="G32" i="9"/>
  <c r="F32" i="9"/>
  <c r="E32" i="9"/>
  <c r="H31" i="9"/>
  <c r="G31" i="9"/>
  <c r="F31" i="9"/>
  <c r="E31" i="9"/>
  <c r="H30" i="9"/>
  <c r="G30" i="9"/>
  <c r="F30" i="9"/>
  <c r="E30" i="9"/>
  <c r="H29" i="9"/>
  <c r="G29" i="9"/>
  <c r="F29" i="9"/>
  <c r="E29" i="9"/>
  <c r="H28" i="9"/>
  <c r="G28" i="9"/>
  <c r="F28" i="9"/>
  <c r="E28" i="9"/>
  <c r="H27" i="9"/>
  <c r="G27" i="9"/>
  <c r="F27" i="9"/>
  <c r="E27" i="9"/>
  <c r="D27" i="9"/>
  <c r="E20" i="9"/>
  <c r="P19" i="9"/>
  <c r="J19" i="9"/>
  <c r="D19" i="9"/>
  <c r="N18" i="9"/>
  <c r="K18" i="9"/>
  <c r="H18" i="9"/>
  <c r="D18" i="9"/>
  <c r="D26" i="9" s="1"/>
  <c r="Q17" i="9"/>
  <c r="O17" i="9"/>
  <c r="D17" i="9"/>
  <c r="Q14" i="9"/>
  <c r="P14" i="9"/>
  <c r="O14" i="9"/>
  <c r="N14" i="9"/>
  <c r="M14" i="9"/>
  <c r="L14" i="9"/>
  <c r="K14" i="9"/>
  <c r="J14" i="9"/>
  <c r="I14" i="9"/>
  <c r="H14" i="9"/>
  <c r="G14" i="9"/>
  <c r="F14" i="9"/>
  <c r="E14" i="9"/>
  <c r="D13" i="9"/>
  <c r="D12" i="9"/>
  <c r="Q11" i="9"/>
  <c r="D11" i="9"/>
  <c r="E8" i="9"/>
  <c r="E26" i="9" l="1"/>
  <c r="F26" i="9" s="1"/>
  <c r="G26" i="9" s="1"/>
  <c r="H26" i="9" s="1"/>
  <c r="R13" i="16"/>
  <c r="AB37" i="4" l="1"/>
  <c r="AO37" i="4"/>
  <c r="AN37" i="4"/>
  <c r="AM37" i="4"/>
  <c r="AL37" i="4"/>
  <c r="AK37" i="4"/>
  <c r="AJ37" i="4"/>
  <c r="AI37" i="4"/>
  <c r="AH37" i="4"/>
  <c r="AG37" i="4"/>
  <c r="AF37" i="4"/>
  <c r="AE37" i="4"/>
  <c r="AD37" i="4"/>
  <c r="AC37" i="4"/>
  <c r="AA37" i="4"/>
  <c r="Z37" i="4"/>
  <c r="Y37" i="4"/>
  <c r="X37" i="4"/>
  <c r="V37" i="4"/>
  <c r="U37" i="4"/>
  <c r="T37" i="4"/>
  <c r="S37" i="4"/>
  <c r="R37" i="4"/>
  <c r="Q37" i="4"/>
  <c r="P37" i="4"/>
  <c r="H9" i="7"/>
  <c r="G9" i="7"/>
  <c r="F9" i="7"/>
  <c r="J9" i="7"/>
  <c r="I9" i="7"/>
  <c r="AH9" i="7"/>
  <c r="AG9" i="7"/>
  <c r="AF9" i="7"/>
  <c r="AE9" i="7"/>
  <c r="AD9" i="7"/>
  <c r="AC9" i="7"/>
  <c r="AB9" i="7"/>
  <c r="AA9" i="7"/>
  <c r="Z9" i="7"/>
  <c r="Y9" i="7"/>
  <c r="X9" i="7"/>
  <c r="W9" i="7"/>
  <c r="V9" i="7"/>
  <c r="T9" i="7"/>
  <c r="S9" i="7"/>
  <c r="R9" i="7"/>
  <c r="Q9" i="7"/>
  <c r="P9" i="7"/>
  <c r="O9" i="7"/>
  <c r="M9" i="7"/>
  <c r="L9" i="7"/>
  <c r="K9" i="7"/>
  <c r="U9" i="7"/>
  <c r="N9" i="7"/>
  <c r="BW9" i="7" l="1"/>
</calcChain>
</file>

<file path=xl/comments1.xml><?xml version="1.0" encoding="utf-8"?>
<comments xmlns="http://schemas.openxmlformats.org/spreadsheetml/2006/main">
  <authors>
    <author>laayala</author>
    <author>Jadir</author>
  </authors>
  <commentList>
    <comment ref="BT42" authorId="0" shapeId="0">
      <text>
        <r>
          <rPr>
            <b/>
            <sz val="9"/>
            <color indexed="81"/>
            <rFont val="Tahoma"/>
            <family val="2"/>
          </rPr>
          <t>HAY QUE SUMAR TODAS LAS METAS RELACIONADAS CON VIVIENDA</t>
        </r>
      </text>
    </comment>
    <comment ref="R63" authorId="1" shapeId="0">
      <text>
        <r>
          <rPr>
            <b/>
            <sz val="9"/>
            <color indexed="81"/>
            <rFont val="Tahoma"/>
            <family val="2"/>
          </rPr>
          <t>Jadir:</t>
        </r>
        <r>
          <rPr>
            <sz val="9"/>
            <color indexed="81"/>
            <rFont val="Tahoma"/>
            <family val="2"/>
          </rPr>
          <t xml:space="preserve">
cifras a noviembre de 2014 ya que no se enuentran registros del periodo de diciembre.</t>
        </r>
      </text>
    </comment>
    <comment ref="AB63" authorId="1" shapeId="0">
      <text>
        <r>
          <rPr>
            <b/>
            <sz val="9"/>
            <color indexed="81"/>
            <rFont val="Tahoma"/>
            <family val="2"/>
          </rPr>
          <t>Jadir:</t>
        </r>
        <r>
          <rPr>
            <sz val="9"/>
            <color indexed="81"/>
            <rFont val="Tahoma"/>
            <family val="2"/>
          </rPr>
          <t xml:space="preserve">
Datos a noviembre de 2104</t>
        </r>
      </text>
    </comment>
    <comment ref="AJ63" authorId="1" shapeId="0">
      <text>
        <r>
          <rPr>
            <b/>
            <sz val="9"/>
            <color indexed="81"/>
            <rFont val="Tahoma"/>
            <family val="2"/>
          </rPr>
          <t>Jadir:</t>
        </r>
        <r>
          <rPr>
            <sz val="9"/>
            <color indexed="81"/>
            <rFont val="Tahoma"/>
            <family val="2"/>
          </rPr>
          <t xml:space="preserve">
Datos a noviembre de 2014</t>
        </r>
      </text>
    </comment>
    <comment ref="AN63" authorId="1" shapeId="0">
      <text>
        <r>
          <rPr>
            <b/>
            <sz val="9"/>
            <color indexed="81"/>
            <rFont val="Tahoma"/>
            <family val="2"/>
          </rPr>
          <t>Jadir:</t>
        </r>
        <r>
          <rPr>
            <sz val="9"/>
            <color indexed="81"/>
            <rFont val="Tahoma"/>
            <family val="2"/>
          </rPr>
          <t xml:space="preserve">
Datos a noviembre de 2014</t>
        </r>
      </text>
    </comment>
    <comment ref="AR63" authorId="1" shapeId="0">
      <text>
        <r>
          <rPr>
            <b/>
            <sz val="9"/>
            <color indexed="81"/>
            <rFont val="Tahoma"/>
            <family val="2"/>
          </rPr>
          <t>Jadir:</t>
        </r>
        <r>
          <rPr>
            <sz val="9"/>
            <color indexed="81"/>
            <rFont val="Tahoma"/>
            <family val="2"/>
          </rPr>
          <t xml:space="preserve">
Datos a noviembre de 2014</t>
        </r>
      </text>
    </comment>
    <comment ref="AV63" authorId="1" shapeId="0">
      <text>
        <r>
          <rPr>
            <b/>
            <sz val="9"/>
            <color indexed="81"/>
            <rFont val="Tahoma"/>
            <family val="2"/>
          </rPr>
          <t>Jadir:</t>
        </r>
        <r>
          <rPr>
            <sz val="9"/>
            <color indexed="81"/>
            <rFont val="Tahoma"/>
            <family val="2"/>
          </rPr>
          <t xml:space="preserve">
Datos a noviembre de 2014</t>
        </r>
      </text>
    </comment>
    <comment ref="AZ63" authorId="1" shapeId="0">
      <text>
        <r>
          <rPr>
            <b/>
            <sz val="9"/>
            <color indexed="81"/>
            <rFont val="Tahoma"/>
            <family val="2"/>
          </rPr>
          <t>Jadir:</t>
        </r>
        <r>
          <rPr>
            <sz val="9"/>
            <color indexed="81"/>
            <rFont val="Tahoma"/>
            <family val="2"/>
          </rPr>
          <t xml:space="preserve">
Dtaos a noviembre de 2014</t>
        </r>
      </text>
    </comment>
  </commentList>
</comments>
</file>

<file path=xl/sharedStrings.xml><?xml version="1.0" encoding="utf-8"?>
<sst xmlns="http://schemas.openxmlformats.org/spreadsheetml/2006/main" count="8139" uniqueCount="2932">
  <si>
    <t>SECRETARIA DE PLANEACIÓN DE CUNDINAMARCA</t>
  </si>
  <si>
    <t>PROGRAMA</t>
  </si>
  <si>
    <t>OBJETIVO</t>
  </si>
  <si>
    <t>INDEPORTES</t>
  </si>
  <si>
    <t>DESARROLLO INTEGRAL DEL SER HUMANO</t>
  </si>
  <si>
    <t>SOSTENIBILIDAD Y RURALIDAD</t>
  </si>
  <si>
    <t>META CUATRIENIO</t>
  </si>
  <si>
    <t>SECRETARIA DE DESARROLLO SOCIAL</t>
  </si>
  <si>
    <t>SECRETARIA DE EDUCACION</t>
  </si>
  <si>
    <t>SECRETARIA DE GOBIERNO</t>
  </si>
  <si>
    <t>SECRETARIA DE SALUD</t>
  </si>
  <si>
    <t>BENEFICENCIA</t>
  </si>
  <si>
    <t>INSTITUTO DE ACCION COMUNAL</t>
  </si>
  <si>
    <t xml:space="preserve">SECRETARIA DE AMBIENTE </t>
  </si>
  <si>
    <t>INSTITUTO DE VIVIENDA</t>
  </si>
  <si>
    <t>ICCU</t>
  </si>
  <si>
    <t>SECRETARIA DE AGRICULTURA</t>
  </si>
  <si>
    <t>SECRETARIA DE COMPETITIVIDAD</t>
  </si>
  <si>
    <t>SECRETARIA DE INTEGRACION REGIONAL</t>
  </si>
  <si>
    <t>SECRETARIA DE PLANEACION</t>
  </si>
  <si>
    <t>UAEPRAE</t>
  </si>
  <si>
    <t>SECRETARIA DE MINAS</t>
  </si>
  <si>
    <t>SECRETARIA DE MOVILIDAD</t>
  </si>
  <si>
    <t>SECRETARIA DE CIENCIA Y TECNOLOGÍA</t>
  </si>
  <si>
    <t>CORSOCUN / SERVICIOS CORPORATIVOS</t>
  </si>
  <si>
    <t xml:space="preserve">SECRETARIA DE COOPERACION </t>
  </si>
  <si>
    <t>SECRETARIA DE FUNCION PUBLICA</t>
  </si>
  <si>
    <t>SECRETARIA DE GENERAL</t>
  </si>
  <si>
    <t>SECRETARIA DE HACIENDA</t>
  </si>
  <si>
    <t xml:space="preserve">SECRETARIA DE PRENSA </t>
  </si>
  <si>
    <t>SECRETARIA DE LAS TICS</t>
  </si>
  <si>
    <t>ENTIDAD 1</t>
  </si>
  <si>
    <t>ENTIDAD 2</t>
  </si>
  <si>
    <t>ENTIDAD 3</t>
  </si>
  <si>
    <t>ENTIDAD 4</t>
  </si>
  <si>
    <t>ENTIDAD 5</t>
  </si>
  <si>
    <t>ENTIDAD 6</t>
  </si>
  <si>
    <t>ENTIDAD 7</t>
  </si>
  <si>
    <t>ENTIDAD 8</t>
  </si>
  <si>
    <t>ENTIDAD 9</t>
  </si>
  <si>
    <t>ENTIDAD 10</t>
  </si>
  <si>
    <t>ENTIDAD 11</t>
  </si>
  <si>
    <t>ENTIDAD 12</t>
  </si>
  <si>
    <t>AVANCE REAL 2012</t>
  </si>
  <si>
    <t>AVANCE REAL 2013</t>
  </si>
  <si>
    <t>AVANCE REAL 2015</t>
  </si>
  <si>
    <t>AVANCE REAL 2014</t>
  </si>
  <si>
    <t>PROGRAMACIÓN</t>
  </si>
  <si>
    <t>EJECUCIÓN FÍSICA</t>
  </si>
  <si>
    <t>Año</t>
  </si>
  <si>
    <t>GARANTIZAR A Y LAS NIÑAS Y LOS NIÑOS MENORES DE 6 AÑOS, LAS BASES ESENCIALES DEL DESARROLLO INTEGRAL PARA QUE SE DESEMPEÑEN CON ÉXITO A LO LARGO DE SU VIDA A PARTIR DE CONDICIONES EQUITATIVAS FAMILIARES, SOCIALES, EDUCATIVAS, CIUDADANAS, CULTURALES, DE PROTECCIÓN Y DE SALUD.</t>
  </si>
  <si>
    <t>LOGRAR QUE LAS NIÑAS Y LOS NIÑOS ENTRE 6 Y 11 AÑOS ADQUIERAN Y DESARROLLEN HABILIDADES Y COMPETENCIAS COGNITIVAS, SOCIALES, CULTURALES, DEPORTIVAS Y CIUDADANAS, BAJO AMBIENTES SALUDABLES QUE GARANTICEN AFECTO, DIVERSIÓN, JUEGO, PARTICIPACIÓN, PROTECCIÓN Y RESPETO A LA INTEGRIDAD DE LA VIDA Y LA DIFERENCIA.</t>
  </si>
  <si>
    <t>GARANTIZAR EN LOS ADOLESCENTES, COMPETENCIAS ACADÉMICAS, CULTURALES, PRODUCTIVOS, HERRAMIENTAS QUE ESTRUCTUREN SU PROYECTO DE VIDA, PROMOVIENDO EL LIDERAZGO, CONVIVENCIA FAMILIAR Y CIUDADANA, PARTICIPANDO EN GRUPOS DE INTERÉS, COMPROMETIDOS CON LOS VALORES Y PRINCIPIOS, EL CUIDADO DEL MEDIO AMBIENTE, CON RESPETO POR EL GÉNERO Y POR CADA UNO, EN ESPACIOS DIGNOS Y SALUDABLES.</t>
  </si>
  <si>
    <t xml:space="preserve">GENERAR CAPACIDADES EN LAS Y LOS JÓVENES PARA ESTRUCTURAR SUS PROYECTOS DE VIDA BASADOS EN LA RESPONSABILIDAD, AUTONOMÍA, ESTILOS DE VIDA SALUDABLE, IDENTIDAD ESTRUCTURADA EN VALORES SOCIALES Y LIDERAZGO, LA PARTICIPACIÓN Y CONVIVENCIA CIUDADANA Y CON COMPETENCIAS ACADÉMICAS QUE LE PERMITAN CONTINUAR SU CADENA DE FORMACIÓN EN LA EDUCACIÓN SUPERIOR. </t>
  </si>
  <si>
    <t>CONTRIBUIR AL DESARROLLO INTEGRAL DE LAS Y LOS ADULTOS EN SU DIVERSIDAD, A PARTIR DE LA ESTABILIDAD ECONÓMICA, BIENESTAR, SALUD INTEGRAL, CALIDAD DE VIDA, ARRAIGO Y PERTENENCIA AL LUGAR QUE HABITAN.</t>
  </si>
  <si>
    <t xml:space="preserve">CONTRIBUIR AL BIENESTAR Y DIGNIDAD HUMANA DE LOS Y LAS ADULTAS MAYORES EN SU DIVERSIDAD, CON PARTICIPACIÓN ACTIVA, COHESIÓN SOCIAL, RECONOCIMIENTO DE SUS HABILIDADES, DESTREZAS Y ATENCIÓN A SUS NECESIDADES BÁSICAS. </t>
  </si>
  <si>
    <t>CONTRIBUIR A UNA VIDA MÁS DIGNA E INCLUYENTE DE LAS FAMILIAS CON MEJORES CONDICIONES DE HABITABILIDAD, SUPERACIÓN DE LA POBREZA Y LA POBREZA EXTREMA, ACCESO A MEJORES SERVICIOS Y ESTADOS DE SALUD, CONSOLIDAR LA UNIDAD FAMILIAR, LA INCLUSIÓN Y LA ATENCIÓN PREFERENCIAL, Y DIFERENCIAL A GRUPOS ÉTNICOS, LGBTI Y POBLACIÓN EN SITUACIÓN ESPECIAL PSE ENTRE ELLOS REINTEGRADOS.</t>
  </si>
  <si>
    <t>CONTRIBUIR AL PLENO DESARROLLO DE POTENCIALIDADES, CAPACIDADES Y EMPODERAMIENTO DE LAS MUJERES EN CUNDINAMARCA, PARA EL GOCE EFECTIVO DE SUS DERECHOS, EN UNA RELACIÓN DE GÉNERO EQUITATIVA, JUSTA E INCLUYENTE.</t>
  </si>
  <si>
    <t>DOTAR DE MÁS Y MEJOR INFRAESTRUCTURA FÍSICA DEL SECTOR SOCIAL PARA EL SERVICIO Y DISFRUTE DE LA POBLACIÓN CUNDINAMARQUESA, ACORDE A LAS EXIGENCIAS DE LOS USUARIOS Y LOS ESTÁNDARES DE CALIDAD.</t>
  </si>
  <si>
    <t xml:space="preserve">RESTITUIR EN EL MARCO DE LA EQUIDAD Y LA INCLUSIÓN SOCIAL, LOS DERECHOS Y MEJORAR LA CALIDAD DE VIDA DE LAS VÍCTIMAS DEL CONFLICTO ARMADO CON LIDERAZGO Y ARTICULACIÓN INSTITUCIONAL EN EL ÁMBITO NACIONAL, DEPARTAMENTAL Y MUNICIPAL. </t>
  </si>
  <si>
    <t>ESTRUCTURAR Y CONSOLIDAR BAJO CRITERIOS DE EQUIDAD TERRITORIAL Y SOSTENIBILIDAD, UNA CUNDINAMARCA FUNCIONAL, ARTICULADA E INTEGRADA REGIONALMENTE.</t>
  </si>
  <si>
    <t xml:space="preserve">PROTEGER LA OFERTA DE BIENES Y SERVICIOS AMBIENTALES EN EL DEPARTAMENTO, RECONOCIENDO LAS CARACTERÍSTICAS DE LAS ECO – REGIONES, COMO MECANISMO DE SOSTENIBILIDAD DEL TERRITORIO MEDIANTE LA RECUPERACIÓN Y CONSERVACIÓN INTEGRAL DE LOS ECOSISTEMAS Y UNA GESTIÓN AMBIENTAL INTEGRAL EFECTIVA PARA ASEGURAR UNA CUNDINAMARCA NEUTRA CON CALIDAD DE VIDA DE LA POBLACIÓN. </t>
  </si>
  <si>
    <t>INCREMENTAR LA CALIDAD, CONTINUIDAD Y COBERTURA DE AGUA POTABLE Y SANEAMIENTO BÁSICO EN ZONAS URBANAS, CENTROS POBLADOS Y ZONAS RURALES, GARANTIZANDO CON PREFERENCIA EL ACCESO A LA POBLACIÓN EN CONDICIONES DE POBREZA Y VULNERABILIDAD.</t>
  </si>
  <si>
    <t>IMPULSAR EL POTENCIAL PRODUCTIVO DEL TERRITORIO A TRAVÉS DE LA IDENTIFICACIÓN Y APROVECHAMIENTO EFECTIVO DEL SUELO, SU RIQUEZA, CON MAYOR CAPACIDAD ASOCIATIVA, DE TRANSFORMACIÓN Y DE COMERCIALIZACIÓN ORGANIZADA.</t>
  </si>
  <si>
    <t>MEJORAR LAS CONDICIONES ECONÓMICAS, SOCIALES, FÍSICAS Y ORGANIZACIONALES DE LA POBLACIÓN RURAL, CON ACCESO A FACTORES PRODUCTIVOS Y SEGURIDAD ALIMENTARIA Y NUTRICIONAL</t>
  </si>
  <si>
    <t>IMPLEMENTAR ESTRATEGIAS DE GESTIÓN INTEGRAL DE RESIDUOS SÓLIDOS EN MUNICIPIOS DEL DEPARTAMENTO, PROMOVIENDO ALTERNATIVAS VIABLES DE MANEJO AMBIENTAL QUE PERMITAN EL MEJORAMIENTO DE LA CALIDAD DE VIDA DE LOS CUNDINAMARQUESES.</t>
  </si>
  <si>
    <t>FORTALECER LA CAPACIDAD DE GESTIÓN DEL RIESGO CON LA IMPLEMENTACIÓN DE LOS PROCESOS DE CONOCIMIENTO, REDUCCIÓN Y SU MANEJO; AUMENTAR LA CAPACIDAD DE RESPUESTA DE LA POBLACIÓN Y DEL TERRITORIO FRENTE A LA OCURRENCIA DE FENÓMENOS NATURALES Y ANTRÓPICOS Y DE ADAPTACIÓN, MITIGACIÓN FRENTE AL CAMBIO Y VARIABILIDAD CLIMÁTICA.</t>
  </si>
  <si>
    <t>INCORPORAR EL SECTOR FORESTAL AL DESARROLLO SOCIOECONÓMICO DEL DEPARTAMENTO A TRAVÉS DEL FOMENTO DEL ESTABLECIMIENTO DE PLANTACIONES FORESTALES CON FINES COMERCIALES FORTALECIENDO EL PRIMER ESLABÓN DE LA CADENA FORESTAL PRODUCTIVA DE LA REGIÓN BOGOTÁ - CUNDINAMARCA.</t>
  </si>
  <si>
    <t>HACER DE CUNDINAMARCA UN TERRITORIO COMPETITIVO, CON ESPECIALIZACIÓN Y TRANSFORMACIÓN PRODUCTIVA A PARTIR DE LA PROMOCIÓN Y APOYO A LA CULTURA EMPRENDEDORA, EL DESARROLLO EMPRESARIAL Y EL FORTALECIMIENTO DE LAS DEMÁS CONDICIONES Y FACTORES ESTRUCTURALES QUE CONSOLIDEN EL CRECIMIENTO ECONÓMICO CON IGUALDAD DE OPORTUNIDADES</t>
  </si>
  <si>
    <t xml:space="preserve">POSICIONAR A CUNDINAMARCA A NIVEL NACIONAL E INTERNACIONAL A PARTIR DE UN TERRITORIO ATRACTIVO POR SU DINÁMICA CULTURAL EMPRENDEDORA, PRODUCTIVA Y COMERCIAL </t>
  </si>
  <si>
    <t>DESARROLLAR INTEGRALMENTE EL SECTOR MINERO Y LOS SERVICIOS DE GAS Y ENERGÍA EN EL DEPARTAMENTO.</t>
  </si>
  <si>
    <t>CONTRIBUIR A LA COMPETITIVIDAD DEL DEPARTAMENTO CON LA CONECTIVIDAD DEL TERRITORIO, MODERNIZACIÓN DE LA MALLA VIAL, SISTEMAS DE TRANSPORTE, MOVILIDAD SEGURA, ORGANIZADA, AMABLE, INCLUYENTE, ASÍ COMO DE LA INFRAESTRUCTURA LOGÍSTICA COMPLEMENTARIA.</t>
  </si>
  <si>
    <t>APROPIAR Y GENERAR INNOVACIÓN SOCIAL, PRODUCTIVA, RURAL E INSTITUCIONAL A PARTIR DE LA CIENCIA, TECNOLOGÍA Y LOS CONOCIMIENTOS TRADICIONALES, PARA MEJORAR LA EQUIDAD Y COMPETITIVIDAD DE CUNDINAMARCA</t>
  </si>
  <si>
    <t>CONSOLIDAR A CUNDINAMARCA COMO UN DESTINO TURÍSTICO COMPETITIVO SOSTENIBLE REGIONAL, NACIONAL E INTERNACIONAL.</t>
  </si>
  <si>
    <t>FORTALECER EL DESARROLLO DE CUNDINAMARCA PARA POSICIONARLO EN EL ESCENARIO NACIONAL E INTERNACIONAL COMO UN TERRITORIO LÍDER Y ATRACTIVO, A PARTIR DEL RECONOCIMIENTO Y APROVECHAMIENTO DE LAS DINÁMICAS INTEGRADORAS DE ÍNDOLE SUPRA REGIONAL, REGIONAL Y SUB REGIONAL.</t>
  </si>
  <si>
    <t>FOMENTAR LA CONVIVENCIA, LA SEGURIDAD CIUDADANA Y PROTEGER LA VIDA Y LOS BIENES DE LA CIUDADANÍA RURAL Y URBANA, QUE PERMITA LA CONSOLIDACIÓN DE UN DEPARTAMENTO SEGURO, PRÓSPERO Y CONFIABLE, QUE GARANTICE EL CUMPLIMIENTO DE LOS DERECHOS HUMANOS, EL DERECHO INTERNACIONAL HUMANITARIO, Y EL GOCE EFECTIVO DEL ESPACIO PÚBLICO Y DE ACCESO AL TERRITORIO POR LOS CUNDINAMARQUESES.</t>
  </si>
  <si>
    <t>FORTALECER LA INSTITUCIONALIDAD PARA GARANTIZAR CON EFICIENCIA Y EFICACIA EN LA GESTIÓN PÚBLICA, BIENES Y SERVICIOS DE CALIDAD, GENERANDO LA CONFIANZA DE LOS CIUDADANOS A TRAVÉS DEL CUMPLIMIENTO DE SUS EXPECTATIVAS Y MEJOR CALIDAD DE VIDA.</t>
  </si>
  <si>
    <t>AUMENTAR LA CAPACIDAD INSTITUCIONAL Y DE DESEMPEÑO, CONTRIBUYENDO A LA EQUIDAD TERRITORIAL DE LOS MUNICIPIOS DE CUNDINAMARCA; HACIENDO UN ESPECIAL ÉNFASIS EN LOS 35 MUNICIPIOS CON NBI MÁS ALTO DEL DEPARTAMENTO.</t>
  </si>
  <si>
    <t>LA PARTICIPACIÓN CIUDADANA INCLUYENTE, FORTALECIDA, PROPOSITIVA Y EMPODERADA, INCIDE EN EL DESARROLLO LOCAL Y EN LA EFICACIA Y EFICIENCIA DE LAS DECISIONES DE LA POLÍTICA PÚBLICA; MATERIALIZANDO LA CORRESPONSABILIDAD DE LA SOCIEDAD CIVIL EN EL DESARROLLO DEL TERRITORIO</t>
  </si>
  <si>
    <t>APROPIAR LA IDENTIDAD CUNDINAMARQUESA, RECONOCIENDO SU PATRIMONIO Y LA DIVERSIDAD TERRITORIAL, MULTICULTURAL Y PLURIÉTNICA Y DE LAS ECO – REGIONES DEL DEPARTAMENTO PARA LOGRAR SU INTEGRACIÓN, PROMOCIÓN Y DESARROLLO.</t>
  </si>
  <si>
    <t>MEJORAR LA CALIDAD DE VIDA DE LOS CUNDINAMARQUESES A TRAVÉS DEL DESARROLLO, USO Y APROPIACIÓN DE LAS TIC POR PARTE DE LA COMUNIDAD, PROPICIANDO EL ACCESO; PARTICIPACIÓN VIRTUAL EN LOS PROGRAMAS, PROYECTOS Y SERVICIOS; Y DINÁMICAS DE DESARROLLO Y EQUIDAD EN EL DEPARTAMENTO Y SUS ECO – REGIONES.</t>
  </si>
  <si>
    <t xml:space="preserve">FACILITAR LA TOMA DE DECISIONES ACERTADAS SOPORTADA SOBRE PLATAFORMAS INFORMÁTICAS CORPORATIVAS QUE PERMITAN LA CONSULTA DE INFORMACIÓN OPORTUNA, CONFIABLE Y SEGURA </t>
  </si>
  <si>
    <t>MEJORAR DESEMPEÑO Y DECISIONES OPORTUNAS DE LA GESTIÓN PARA RESULTADOS DEL DESARROLLO CON EL FOMENTO DE CAPACIDADES, CULTURA Y COMPROMISO DE SEGUIMIENTO, MONITOREO, CONTROL, EVALUACIÓN Y RENDICIÓN DE CUENTAS.</t>
  </si>
  <si>
    <t>META1</t>
  </si>
  <si>
    <t>META2</t>
  </si>
  <si>
    <t>META3</t>
  </si>
  <si>
    <t>META4</t>
  </si>
  <si>
    <t>META5</t>
  </si>
  <si>
    <t>META6</t>
  </si>
  <si>
    <t>META7</t>
  </si>
  <si>
    <t>META8</t>
  </si>
  <si>
    <t>META9</t>
  </si>
  <si>
    <t>META10</t>
  </si>
  <si>
    <t>PONDERADOR</t>
  </si>
  <si>
    <t>ASIGNADO</t>
  </si>
  <si>
    <t>EJECUTADO</t>
  </si>
  <si>
    <t>ASIGNADO_SGR</t>
  </si>
  <si>
    <t>EJECUTADO_SGR</t>
  </si>
  <si>
    <t>TODOS</t>
  </si>
  <si>
    <t>COMPETITIVIDAD, INNOVACIÓN, MOVILIDAD Y REGIÓN</t>
  </si>
  <si>
    <t>FORTALECIMIENTO INSTITUCIONAL PARA GENERAR VALOR DE LO PÚBLICO</t>
  </si>
  <si>
    <t>ENTIDAD LIDER</t>
  </si>
  <si>
    <t xml:space="preserve">UNIDAD ESPECIAL DE BOSQUES </t>
  </si>
  <si>
    <t>EMPRESAS PUBLICAS DE CUNDINAMARCA</t>
  </si>
  <si>
    <t>INSTITUTO DE CULTURA Y TURISMO</t>
  </si>
  <si>
    <t>SECRETARIA DE AMBIENTE</t>
  </si>
  <si>
    <t>Programado</t>
  </si>
  <si>
    <t>OBJETIVO_1</t>
  </si>
  <si>
    <t>1. DESARROLLO INTEGRAL DEL SER HUMANO</t>
  </si>
  <si>
    <t>2. SOSTENIBILIDAD Y RURALIDAD</t>
  </si>
  <si>
    <t>3. COMPETITIVIDAD, INNOVACIÓN, MOVILIDAD Y REGIÓN</t>
  </si>
  <si>
    <t>4. FORTALECIMIENTO INSTITUCIONAL PARA GENERAR VALOR DE LO PÚBLICO</t>
  </si>
  <si>
    <t>3. COMPETITIVIDAD, INNOVACION, MOVILIDAD Y REGION</t>
  </si>
  <si>
    <t>4. FORTALECIMIENTO INSTITUCIONAL PARA GENERAR VALOR DE LO PUBLICO</t>
  </si>
  <si>
    <t>MEJORAR CONDICIONES Y OPORTUNIDADES DE VIDA, COHESIÓN SOCIO CULTURAL Y EQUIDAD PARA EL DESARROLLO INTEGRAL DEL SER HUMANO Y DE SUS TERRITORIOS.</t>
  </si>
  <si>
    <t>RESTABLECER LA RELACIÓN ARMÓNICA DEL SER HUMANO CON EL AMBIENTE Y SU ENTORNO.</t>
  </si>
  <si>
    <t>SER COMPETITIVOS Y SUSTENTABLES A PARTIR DE POTENCIALIDADES, ARTICULACIÓN REGIONAL, GESTIÓN DEL CONOCIMIENTO, INNOVACIÓN PRODUCTIVA Y SOCIAL</t>
  </si>
  <si>
    <t>GARANTIZAR CON BUEN GOBIERNO Y TRANSPARENCIA, GERENCIA EFECTIVA POR RESULTADOS DEL DESARROLLO, SEGURIDAD, CONVIVENCIA, PARTICIPACIÓN REAL, CORRESPONSABILIDAD DE LA SOCIEDAD CIVIL Y FORTALECIMIENTO DE LA IDENTIDAD CUNDINAMARQUESA.</t>
  </si>
  <si>
    <t>AVANCE_PROG_2012</t>
  </si>
  <si>
    <t>AVANCE_PROG_2013</t>
  </si>
  <si>
    <t>AVANCE_PROG_2014</t>
  </si>
  <si>
    <t>AVANCE_PROG_2015</t>
  </si>
  <si>
    <t>PROGRAMAD 2015 (%)</t>
  </si>
  <si>
    <t>PROGRAMADO 2014 (%)</t>
  </si>
  <si>
    <t>PROGRAMADO 2013 (%)</t>
  </si>
  <si>
    <t>PROGRAMADO 2012 (%)</t>
  </si>
  <si>
    <t>ASIGNADO ($)</t>
  </si>
  <si>
    <t>EJECUTADO ($)</t>
  </si>
  <si>
    <t>TOTAL</t>
  </si>
  <si>
    <t>AVANCE_PROGRAMADO_CUATRIENIO</t>
  </si>
  <si>
    <t>AVANCE_REAL_CUATRIENIO</t>
  </si>
  <si>
    <t>5. ADULTAS Y ADULTOS CON EQUIDAD</t>
  </si>
  <si>
    <t>2. ALIANZA POR LA INFANCIA</t>
  </si>
  <si>
    <t>9. EQUIPAMIENTO SOCIAL PARA EL DESARROLLO INTEGRAL</t>
  </si>
  <si>
    <t>7. FAMILIAS FORJADORAS DE SOCIEDAD</t>
  </si>
  <si>
    <t xml:space="preserve">1. INICIO PAREJO DE LA VIDA </t>
  </si>
  <si>
    <t>4. JOVENES CONSTRUCTORES DE PAZ</t>
  </si>
  <si>
    <t>8. MUJERES LIDERES Y LIBRES DE VIOLENCIA</t>
  </si>
  <si>
    <t>6. VEJEZ DIVINO TESORO</t>
  </si>
  <si>
    <t>10. VICTIMAS DEL CONFLICTO ARMADO CON GARANTIA DE DERECHOS</t>
  </si>
  <si>
    <t>3. VIVE Y CRECE ADOLESCENCIA</t>
  </si>
  <si>
    <t>1. TERRITORIO SOPORTE PARA EL DESARROLLO</t>
  </si>
  <si>
    <t>2. BIENES Y SERVICIOS AMBIENTALES PATRIMONIO DE CUNDINAMARCA</t>
  </si>
  <si>
    <t>3. AGUA POTABLE Y SANEAMIENTO BASICO PARA LA SALUD DE LOS CUNDINAMARQUESES</t>
  </si>
  <si>
    <t>4. DESARROLLO COMPETITIVO DEL SECTOR AGROPECUARIO</t>
  </si>
  <si>
    <t>5. DESARROLLO RURAL INTEGRAL</t>
  </si>
  <si>
    <t>6. GESTION DEL RIESGO Y ADAPTACION AL CAMBIO Y VARIABILIDAD CLIMATICA</t>
  </si>
  <si>
    <t>7. GESTION INTEGRAL DE RESIDUOS SOLIDOS</t>
  </si>
  <si>
    <t>8. CUNDINAMARCA VERDE: CALIDAD DE VIDA</t>
  </si>
  <si>
    <t>1. CUNDINAMARCA COMPETITIVA, EMPRENDEDORA Y EMPRESARIAL</t>
  </si>
  <si>
    <t>2. CUNDINAMARCA DINAMICA ATRACTIVA E INTERNACIONAL</t>
  </si>
  <si>
    <t>3. MINERIA Y ENERGIA RESPONSABLE PARA CUNDINAMARCA</t>
  </si>
  <si>
    <t>4. INFRAESTRUCTURA Y SERVICIOS PARA LA COMPETITIVIDAD Y LA MOVILIDAD</t>
  </si>
  <si>
    <t>5. CUNDINAMARCA INNOVADORA CON CIENCIA Y TECNOLOGIA</t>
  </si>
  <si>
    <t>6. TURISMO REGIONAL</t>
  </si>
  <si>
    <t>7. INTEGRACION REGIONAL</t>
  </si>
  <si>
    <t>2. MODERNIZACION DE LA GESTION</t>
  </si>
  <si>
    <t>3. EMPODERAMIENTO LOCAL PARA LA EQUIDAD Y LA UNIDAD TERRITORIAL</t>
  </si>
  <si>
    <t>4. CUNDINAMARCA CON ESPACIOS DE PARTICIPACION REAL</t>
  </si>
  <si>
    <t>5. CULTURA E IDENTIDAD CUNDINAMARQUESA</t>
  </si>
  <si>
    <t>6. TIC EN CUNDINAMARCA</t>
  </si>
  <si>
    <t>7. CUNDINAMARCA GOBIERNO INTELIGENTE CON DECISIONES INFORMADAS</t>
  </si>
  <si>
    <t>1. SEGURIDAD Y CONVIVENCIA CON DERECHOS HUMANOS</t>
  </si>
  <si>
    <t>8. SEGUIMIENTO Y EVALUACION PARA MEJOR DESEMPEÑO</t>
  </si>
  <si>
    <t>Dirección de Seguiemiento y Evaluación</t>
  </si>
  <si>
    <t>6. GESTION INTEGRAL DE RESIDUOS SOLIDOS</t>
  </si>
  <si>
    <t>7. GESTION DEL RIESGO Y ADAPTACION AL CAMBIO Y VARIABILIDAD CLIMATICA</t>
  </si>
  <si>
    <t>Programa_1</t>
  </si>
  <si>
    <t>Programa_2</t>
  </si>
  <si>
    <t>Programa_3</t>
  </si>
  <si>
    <t>Programa_4</t>
  </si>
  <si>
    <t>Programa_5</t>
  </si>
  <si>
    <t>Programa_6</t>
  </si>
  <si>
    <t>Programa_7</t>
  </si>
  <si>
    <t>Programa_8</t>
  </si>
  <si>
    <t>Programa_9</t>
  </si>
  <si>
    <t>Programa_10</t>
  </si>
  <si>
    <t>peso 1</t>
  </si>
  <si>
    <t>peso 2</t>
  </si>
  <si>
    <t>peso 3</t>
  </si>
  <si>
    <t>peso 4</t>
  </si>
  <si>
    <t>peso 5</t>
  </si>
  <si>
    <t>peso 6</t>
  </si>
  <si>
    <t>peso 7</t>
  </si>
  <si>
    <t>peso 8</t>
  </si>
  <si>
    <t>peso 9</t>
  </si>
  <si>
    <t>peso 10</t>
  </si>
  <si>
    <t>Totales</t>
  </si>
  <si>
    <t>OBJETIVO_2</t>
  </si>
  <si>
    <t>OBJETIVO_3</t>
  </si>
  <si>
    <t>OBJETIVO_4</t>
  </si>
  <si>
    <t>OBJETIVO1</t>
  </si>
  <si>
    <t>OBJETIVO2</t>
  </si>
  <si>
    <r>
      <t>OBJETIVO</t>
    </r>
    <r>
      <rPr>
        <b/>
        <i/>
        <sz val="8"/>
        <color indexed="9"/>
        <rFont val="Calibri"/>
        <family val="2"/>
      </rPr>
      <t>_</t>
    </r>
    <r>
      <rPr>
        <b/>
        <sz val="8"/>
        <color indexed="8"/>
        <rFont val="Calibri"/>
        <family val="2"/>
      </rPr>
      <t>1</t>
    </r>
  </si>
  <si>
    <r>
      <t>OBJETIVO</t>
    </r>
    <r>
      <rPr>
        <b/>
        <sz val="8"/>
        <color indexed="9"/>
        <rFont val="Calibri"/>
        <family val="2"/>
      </rPr>
      <t>_</t>
    </r>
    <r>
      <rPr>
        <b/>
        <sz val="8"/>
        <color indexed="8"/>
        <rFont val="Calibri"/>
        <family val="2"/>
      </rPr>
      <t>2</t>
    </r>
  </si>
  <si>
    <r>
      <t>OBJETIVO</t>
    </r>
    <r>
      <rPr>
        <b/>
        <sz val="8"/>
        <color indexed="9"/>
        <rFont val="Calibri"/>
        <family val="2"/>
      </rPr>
      <t>_</t>
    </r>
    <r>
      <rPr>
        <b/>
        <sz val="8"/>
        <color indexed="8"/>
        <rFont val="Calibri"/>
        <family val="2"/>
      </rPr>
      <t>3</t>
    </r>
  </si>
  <si>
    <r>
      <t>OBJETIVO</t>
    </r>
    <r>
      <rPr>
        <b/>
        <sz val="8"/>
        <color indexed="9"/>
        <rFont val="Calibri"/>
        <family val="2"/>
      </rPr>
      <t>_</t>
    </r>
    <r>
      <rPr>
        <b/>
        <sz val="8"/>
        <color indexed="8"/>
        <rFont val="Calibri"/>
        <family val="2"/>
      </rPr>
      <t>4</t>
    </r>
  </si>
  <si>
    <t>% Prog</t>
  </si>
  <si>
    <t>% Ejec</t>
  </si>
  <si>
    <t>Ejecutado</t>
  </si>
  <si>
    <t>1-DESARROLLO INTEGRAL DEL SER HUMANO</t>
  </si>
  <si>
    <t>2-SOSTENIBILIDAD Y RURALIDAD</t>
  </si>
  <si>
    <t>3-COMPETITIVIDAD, INNOVACION, MOVILIDAD Y REGION</t>
  </si>
  <si>
    <t>4-FORTALECIMIENTO INSTITUCIONAL PARA GENERAR VALOR DE LO PUBLICO</t>
  </si>
  <si>
    <t>Volver</t>
  </si>
  <si>
    <t>Breve Análisis del Comportamiento del Indicador:</t>
  </si>
  <si>
    <t>VALLE</t>
  </si>
  <si>
    <t>SANTANDER</t>
  </si>
  <si>
    <t>BOYACÁ</t>
  </si>
  <si>
    <t>BOGOTÁ D.C.</t>
  </si>
  <si>
    <t>ATLÁNTICO</t>
  </si>
  <si>
    <t>ANTIOQUIA</t>
  </si>
  <si>
    <t>NACIÓN</t>
  </si>
  <si>
    <t>CUNDINAMARCA</t>
  </si>
  <si>
    <t>ENTIDAD TERRITORIAL</t>
  </si>
  <si>
    <t>COMPARATIVO - 2014</t>
  </si>
  <si>
    <t>PROGRESIÓN</t>
  </si>
  <si>
    <t>3. COMPORTAMIENTO DEL INDICADOR</t>
  </si>
  <si>
    <t>Dificultad para la Actualización</t>
  </si>
  <si>
    <t>Fecha última Actualización</t>
  </si>
  <si>
    <t>Responsable de actualizar el Indicador:</t>
  </si>
  <si>
    <t>Periodicidad de Medida:</t>
  </si>
  <si>
    <t>Fuente:</t>
  </si>
  <si>
    <t>Indicador para el Cuatrenio</t>
  </si>
  <si>
    <t>Año de Cálculo</t>
  </si>
  <si>
    <t>Indicador Base</t>
  </si>
  <si>
    <t>Tipo</t>
  </si>
  <si>
    <t>Und. Medida</t>
  </si>
  <si>
    <t>Nombre del indicador:</t>
  </si>
  <si>
    <t>2. CARACTERIZACION DEL INDICADOR</t>
  </si>
  <si>
    <t>METAS DE PRODUCTO ASOCIADAS</t>
  </si>
  <si>
    <t>PROGRAMA:</t>
  </si>
  <si>
    <t xml:space="preserve">OBJETIVO: </t>
  </si>
  <si>
    <t xml:space="preserve">No. META </t>
  </si>
  <si>
    <t>1. DENOMINACIÓN DE ORÍGEN</t>
  </si>
  <si>
    <t>ENTIDAD RESPONSABLE:</t>
  </si>
  <si>
    <t>SELECCIONE LA META</t>
  </si>
  <si>
    <t>SELECCIONE LA ENTIDAD RESPONSABLE DEL INDICADOR</t>
  </si>
  <si>
    <t>VIVIENDA</t>
  </si>
  <si>
    <t>IDECUT</t>
  </si>
  <si>
    <t>EPC</t>
  </si>
  <si>
    <t>TODAS</t>
  </si>
  <si>
    <t/>
  </si>
  <si>
    <t>INCREMENTO</t>
  </si>
  <si>
    <t>MANTENIMIENTO</t>
  </si>
  <si>
    <t xml:space="preserve">100% ENTIDADES MEJORAN EL RESULTADO DE LA GESTIÓN CON HERRAMIENTAS GERENCIALES S Y E </t>
  </si>
  <si>
    <t>INFORMACIÓN PARA LA TOMA DE DECISIONES DISPONIBLE Y CONFIABLE EN CUALQUIER MOMENTO A TRAVÉS DE UNA PLATAFORMA TECNOLÓGICA</t>
  </si>
  <si>
    <t>ALCANZAR EN CUNDINAMARCA EL PROMEDIO NACIONAL DE PENETRACIÓN DE INTERNET (12,8%)</t>
  </si>
  <si>
    <t>GENERAR QUE UN 10% DE LOS CUNDINAMARQUESES IDENTIFIQUEN, APROPIEN Y DIFUNDAN SUS VALORES PATRIMONIALES PARA LOGRAR LA IDENTIDAD CUNDINAMARQUESA.</t>
  </si>
  <si>
    <t>LOGRAR QUE EL 100 % DE LOS MUNICIPIOS DEL DEPARTAMENTO (116) SUPEREN LA CALIFICACIÓN DEL 60% EN EL ÍNDICE DE DESEMPEÑO MUNICIPAL</t>
  </si>
  <si>
    <t>LOGRAR QUE EL 73 % DE LOS MUNICIPIOS DEL DEPARTAMENTO (92) MEJOREN SU CALIFICACIÓN EN EL ÍNDICE DE GOBIERNO ABIERTO</t>
  </si>
  <si>
    <t>LOGRAR QUE EL 19% DE LOS MUNICIPIOS DEL DEPARTAMENTO (22), CON MÁS BAJA CALIFICACIÓN, MEJOREN EN EL ÍNDICE DE DESEMPEÑO FISCAL NACIONAL</t>
  </si>
  <si>
    <t>SUBIR UN PUESTO EN EL RANKING DEL DESEMPEÑO A NIVEL NACIONAL DEL DEPARTAMENTO.</t>
  </si>
  <si>
    <t xml:space="preserve"> 3,8 CALIFICACIÓN EN CAPACIDAD DE GESTIÓN PARA RESULTADOS DE DESARROLLO</t>
  </si>
  <si>
    <t>INCREMENTAR AL 80% EL GRADO DE SATISFACCIÓN DE LOS CLIENTES DE LA GOBERNACIÓN DE CUNDINAMARCA</t>
  </si>
  <si>
    <t>ASCENDER DOS PUESTOS EN EL RANKING NACIONAL DE TRANSPARENCIA</t>
  </si>
  <si>
    <t xml:space="preserve">REDUCIR EN UN 20% LA FRECUENCIA DE LOS DELITOS QUE ATENTEN LA SEGURIDAD CIUDADANA Y DEMOCRÁTICA, EN EL DEPARTAMENTO DURANTE EL PERIODO DE GOBIERNO. </t>
  </si>
  <si>
    <t>DURANTE EL CUATRIENIO CERTIFICAR ANTE EL MINISTERIO DE EDUCACIÓN NACIONAL 5 PROCESOS DE LA SECRETARIA DE EDUCACIÓN DEPARTAMENTAL (GESTIÓN DE CALIDAD, CALIDAD EDUCATIVA, COBERTURA, TALENTO HUMANO Y ATENCIÓN AL CIUDADANO</t>
  </si>
  <si>
    <t>UN (1) ESQUEMA ASOCIATIVO CONSTITUIDO INTEGRA RECURSOS Y FORTALECE UNIDAD REGIONAL</t>
  </si>
  <si>
    <t>POSICIONAR 4 DESTINOS TURÍSTICOS DE CUNDINAMARCA</t>
  </si>
  <si>
    <t xml:space="preserve">CUNDINAMARCA, DURANTE EL PERIODO DE GOBIERNO, ASCIENDE 1 PUESTO EN EL FACTOR DE CTI DEL ESCALAFÓN DEPARTAMENTAL DE COMPETITIVIDAD </t>
  </si>
  <si>
    <t>AL FINALIZAR EL PERÍODO DE GOBIERNO, EL DEPARTAMENTO DE CUNDINAMARCA, ALCANZARÁ EXPORTACIONES POR UN VALOR DE 2.500 MILLONES DE DÓLARES.</t>
  </si>
  <si>
    <t>ASCENDER, DURANTE EL PERIODO DE GOBIERNO, UN PUESTO EN EL ESCALAFÓN DE FORTALEZA ECONÓMICA EN EL RANKING DE COMPETITIVIDAD DEPARTAMENTAL EN COLOMBIA</t>
  </si>
  <si>
    <t xml:space="preserve">INCREMENTAR EL ÁREA DE PLANTACIONES FORESTALES PRODUCTIVAS A 10.132 HECTÁREAS EN EL PERIODO DE GOBIERNO. </t>
  </si>
  <si>
    <t>AUMENTO EN UN 10% DE LA CAPACIDAD DE ADAPTACIÓN AL CAMBIO Y VARIABILIDAD CLIMÁTICA</t>
  </si>
  <si>
    <t>7 PROVINCIAS CON MANEJO EN LA GESTIÓN INTEGRAL DEL RIESGO</t>
  </si>
  <si>
    <t>REDUCIR EN 50 EL NÚMERO DE TONELADAS DE RESIDUOS SÓLIDOS DIARIAS QUE VAN A SITIOS DE DISPOSICIÓN FINAL EN EL DEPARTAMENTO.</t>
  </si>
  <si>
    <t>PASAR DE 13.926 FAMILIAS CON ACCESO A BIENES Y SERVICIOS PRODUCTIVOS, A BENEFICIAR 19.041 FAMILIAS EN EL PERIODO DE GOBIERNO</t>
  </si>
  <si>
    <t>INCREMENTAR EN 10% LAS TONELADAS ANUALES DE LA PRODUCCIÓN DE ALIMENTOS LLEGANDO A 4.400.000 TONELADAS PRODUCIDAS.</t>
  </si>
  <si>
    <t xml:space="preserve">ESPECIALIZAR Y/O RENOVAR EN CULTIVOS RELACIONADOS CON LAS CADENAS PRODUCTIVAS AGROPECUARIAS COMO MÍNIMO UN 5% (13.200 HAS) DEL TOTAL DE HECTÁREAS CULTIVADAS (264.098HAS). </t>
  </si>
  <si>
    <t>INCREMENTAR COBERTURA ALCANTARILLADO A 150.000 HABITANTES NUEVOS CON CALIDAD Y CONTINUIDAD EN ZONAS URBANAS Y CENTROS POBLADOS</t>
  </si>
  <si>
    <t>INCREMENTAR COBERTURA AGUA POTABLE A 202.000 HABITANTES NUEVOS CON CALIDAD Y CONTINUIDAD EN ZONAS URBANAS, RURALES Y CENTROS POBLADOS DURANTE EL PERIODO DE GOBIERNO.</t>
  </si>
  <si>
    <t>REDUCIR Y COMPENSAR 10.000 TONELADAS DE CO2 DE LA HUELLA DE CARBONO DEL DEPARTAMENTO EN EL CUATRIENIO, MEDIANTE LA IMPLEMENTACIÓN DE LA ESTRATEGIA CUNDINAMARCA NEUTRA.</t>
  </si>
  <si>
    <t xml:space="preserve">GARANTIZAR DISPONIBILIDAD DEL RECURSO HÍDRICO, CON LA CONSERVACIÓN DE 31.000 HECTÁREAS UBICADAS EN ZONAS DE IMPORTANCIA ESTRATÉGICA EN LAS ECO – REGIONES. </t>
  </si>
  <si>
    <t>CONSOLIDAR 4 INICIATIVAS DE INTEGRACIÓN REGIONAL QUE PERMITAN EL APROVECHAMIENTO DEL POTENCIAL DE LAS ECO REGIONES, PARA AVANZAR EN LA CONSTRUCCIÓN DE UN DEPARTAMENTO SOSTENIBLE, EQUITATIVO Y FUNCIONAL, DURANTE EL PRESENTE PERÍODO DE GOBIERNO.</t>
  </si>
  <si>
    <t>116 MUNICIPIOS RESTITUYEN DERECHOS Y MEJORAN CALIDAD DE VIDA DE LAS VÍCTIMAS DEL CONFLICTO ARMADO</t>
  </si>
  <si>
    <t>MEJORAR AMBIENTES FÍSICOS PARA LA PRESTACIÓN DE SERVICIOS SOCIALES EN LOS 116 MUNICIPIOS</t>
  </si>
  <si>
    <t>10% DE MUJERES CON LIDERAZGO Y EMPODERAMIENTO, POTENCIALIZAN HABILIDADES Y CAPACIDADES</t>
  </si>
  <si>
    <t>LOGAR QUE EL 80% DE LOS ENTES TERRITORIALES MUNICIPALES, LAS ENTIDADES RESPONSABLES DE PAGO Y LA RED CONTRATADA POR EL DEPARTAMENTO MEJOREN LOS RESULTADOS EN EL ASEGURAMIENTO Y LA PRESTACIÓN DE SERVICIOS DE SALUD</t>
  </si>
  <si>
    <t xml:space="preserve">30.000 FAMILIAS MAS SANAS Y FUERTES CON ACOMPAÑAMIENTO INSTITUCIONAL, FAMILIAR Y COMUNITARIO </t>
  </si>
  <si>
    <t>45.000 FAMILIAS MEJORAN SU CONVIVENCIA POR MEDIO DE LA INTERVENCIÓN DEL PROGRAMA "DEPORTE, CONVIVENCIA Y PAZ"</t>
  </si>
  <si>
    <t xml:space="preserve">INCREMENTAR EN EL CUATRIENIO EN 25.000 FAMILIAS, EL DERECHO DE HABITAR Y DISFRUTAR UNA VIVIENDA NUEVA O MEJORADA, CON PRIORIDAD EN LAS FAMILIAS DE POBREZA EXTREMA </t>
  </si>
  <si>
    <t>REDUCIR EN EL CUATRIENIO EN MÍNIMO 10% LAS MUERTES POR HOMICIDIO EN ADULTOS MAYORES</t>
  </si>
  <si>
    <t>AUMENTAR EN EL CUATRIENIO A 38% EL ÍNDICE DE FLORECIMIENTO JUVENIL</t>
  </si>
  <si>
    <t>LOGRAR QUE EN LAS 15 PROVINCIAS DEL DEPARTAMENTO EXISTAN JÓVENES CONSTRUCTORES DE PAZ - JCP DESARROLLANDO PROYECTOS DE INTERÉS PARA LA COMUNIDAD.</t>
  </si>
  <si>
    <t>REDUCIR EN EL CUATRIENIO EN MÍNIMO 10% LAS MUERTES POR HOMICIDIO EN JÓVENES</t>
  </si>
  <si>
    <t>LOGRAR QUE LOS ADOLESCENTES INFLUYAN EN LAS DESICIONES DE POLÍTICA SOCIAL DEPARTAMENTAL ASISTIENDO AL 100% DE LAS REUNIONES</t>
  </si>
  <si>
    <t>ALCANZAR EN EL CUATRIENIO UNA COBERTURA BRUTA EN EDUCACIÓN MEDIA DE 78,9%, PRIORIZANDO LA POBLACIÓN EN SITUACIÓN DE POBREZA EXTREMA QUE LO DEMANDE</t>
  </si>
  <si>
    <t>MEJORAR EN EL CUATRIENIO LOS PROCESOS EDUCATIVOS, FORMATIVOS, PEDAGÓGICOS E INSTITUCIONALES DEL 100% DE LAS INSTITUCIONES EDUCATIVAS DE LOS MUNICIPIOS NO CERTIFICADOS</t>
  </si>
  <si>
    <t>MEJORAR EN EL CUATRIENIO EL RESULTADO DE LAS PRUEBAS SABER DE GRADO 11° EN 2 PUNTOS EN 6 DE LAS ÁREAS EVALUADAS</t>
  </si>
  <si>
    <t>REDUCIR EN EL CUATRIENIO EN 20% LAS MUERTES POR ACCIDENTES DE TRÁNSITO EN ADOLESCENTES</t>
  </si>
  <si>
    <t>REDUCIR EN EL CUATRIENIO EN MÍNIMO 5% LAS MUERTES POR HOMICIDIO EN ADOLESCENTES</t>
  </si>
  <si>
    <t>LOGRAR QUE LAS Y LOS INFANTES INFLUYAN EN LAS DECISIONES DEL CONSEJO DE POLÍTICA SOCIAL DEPARTAMENTAL, COMO VOCEROS DE LA NIÑEZ ORGANIZADA ASISTIENDO AL 100% DE LAS REUNIONES</t>
  </si>
  <si>
    <t>REDUCIR EN EL CUATRIENIO LA TASA DE DESERCIÓN ESCOLAR AL 5.15%</t>
  </si>
  <si>
    <t>MANTENER CADA AÑO EN 100% LA COBERTURA BRUTA EN BÁSICA PRIMARIA, PRIORIZANDO LA POBLACIÓN EN POBREZA EXTREMA QUE DEMANDE EL SERVICIO</t>
  </si>
  <si>
    <t>ALCANZAR EN EL CUATRIENIO UNA COBERTURA BRUTA EN TRANSICIÓN DE 86.95%, PRIORIZANDO LA POBLACIÓN EN POBREZA EXTREMA QUE LO DEMANDE</t>
  </si>
  <si>
    <t>REDUCIR EN EL CUATRIENIO EN 20% LAS MUERTES POR ACCIDENTES DE TRÁNSITO EN NIÑOS Y NIÑAS DE 6 A 11 AÑOS</t>
  </si>
  <si>
    <t>REDUCIR EN EL CUATRIENIO EN 20% LAS MUERTES POR HOMICIDIO EN NIÑOS Y NIÑAS DE 6 A 11 AÑOS</t>
  </si>
  <si>
    <t>LOGRAR QUE LOS NIÑOS Y NIÑAS MENORES DE 6 AÑOS INFLUYAN EN LAS DECISIONES DEL CONSEJO DE POLÍTICA SOCIAL DEPARTAMENTAL COMO VOCEROS DE LOS NIÑOS ORGANIZADOS, ASISTIENDO AL 100% DE LAS REUNIONES</t>
  </si>
  <si>
    <t>REDUCIR LA PREVALENCIA DE DESNUTRICIÓN CRÓNICA EN NIÑOS Y NIÑAS MENORES DE 6 AÑOS A 9,5% EN EL CUATRIENIO</t>
  </si>
  <si>
    <t>REDUCIR LA PREVALENCIA DE DESNUTRICIÓN GLOBAL EN NIÑOS Y NIÑAS MENORES DE 6 AÑOS A 3.5% EN EL CUATRIENIO</t>
  </si>
  <si>
    <t>REDUCIR EN EL CUATRIENIO LA TASA DE MORTALIDAD DE NIÑOS Y NIÑAS DE 0 A 5 AÑOS A 14 POR MIL NACIDOS VIVOS</t>
  </si>
  <si>
    <t>REDUCIR EN EL CUATRIENIO A 40 POR 100.000 NACIDOS VIVOS LA RAZÓN DE MORTALIDAD MATERNA</t>
  </si>
  <si>
    <t>REDUCIR EN EL CUATRIENIO LA TASA DE MORTALIDAD INFANTIL (0 - 1 AÑO) A 11 POR 1.000 NACIDOS VIVOS</t>
  </si>
  <si>
    <t>ENTIDAD</t>
  </si>
  <si>
    <t>No. Meta</t>
  </si>
  <si>
    <t>Prog. Acumulado</t>
  </si>
  <si>
    <t>TODAS.</t>
  </si>
  <si>
    <t>Ponderador</t>
  </si>
  <si>
    <t>SUBPROGRAMA:</t>
  </si>
  <si>
    <t>3. COMPORTAMIENTO DE LA META</t>
  </si>
  <si>
    <t>%  Ejec_Cuatrienio</t>
  </si>
  <si>
    <t>Inversión Programada P.I</t>
  </si>
  <si>
    <t>Inversión Ejecutada</t>
  </si>
  <si>
    <t>Inversión Acumulada</t>
  </si>
  <si>
    <t>Principales Actividades Ejecutadas / Avance (Lo más relevante)</t>
  </si>
  <si>
    <t>Ejecución Física</t>
  </si>
  <si>
    <t>Ejecución Financiera</t>
  </si>
  <si>
    <t>SUBPROGRAMA</t>
  </si>
  <si>
    <t>DESCRIPCION META DE PRODUCTO</t>
  </si>
  <si>
    <t>NOMBRE DEL INDICADOR META DE PRODUCTO</t>
  </si>
  <si>
    <t>PONDERADOR META DE PRODUCTO CUATRIENIO (%)</t>
  </si>
  <si>
    <t>META_RESULTADO1</t>
  </si>
  <si>
    <t>Nombre MetaR1</t>
  </si>
  <si>
    <t>META_RESULTADO2</t>
  </si>
  <si>
    <t>Nombre MetaR2</t>
  </si>
  <si>
    <t>META_RESULTADO3</t>
  </si>
  <si>
    <t>META_RESULTADO4</t>
  </si>
  <si>
    <t>META_RESULTADO5</t>
  </si>
  <si>
    <t>META_RESULTADO6</t>
  </si>
  <si>
    <t>EXISTENCIA</t>
  </si>
  <si>
    <t>VACUNAR EN EL CUATRIENIO A 24.000 NIÑAS Y NIÑOS DE UN AÑO DE EDAD CON ESQUEMA DE VACUNACIÓN PAI PLUS (HEPATITIS A Y VARICELA).</t>
  </si>
  <si>
    <t>NO. DE NIÑOS DE 1 AÑO DE EDAD VACUNADOS CON PAI PLUS</t>
  </si>
  <si>
    <t>ATENDER CON LA ESTRATEGIA DE ATENCIÓN INTEGRAL PARA EL INICIO PAREJO DE LA VIDA EN EL 100% DE LOS HOSPITALES DE LA RED PÚBLICA A LOS NIÑOS Y NIÑAS DE 0 A 5 AÑOS.</t>
  </si>
  <si>
    <t>% DE HOSPITALES CON IMPLEMENTACIÓN DE LA ESTRATEGIA DE ATENCIÓN INTEGRAL PARA EL INICIO PAREJO DE LA VIDA</t>
  </si>
  <si>
    <t>LOGRAR ANUALMENTE COBERTURA ÚTIL DE VACUNACIÓN (95%) EN NIÑOS Y NIÑAS MENORES DE UN AÑO CON ESQUEMA COMPLETO SEGÚN NACIDOS VIVOS</t>
  </si>
  <si>
    <t>COBERTURA ANUAL DE VACUNACIÓN EN MENORES DE UN AÑO</t>
  </si>
  <si>
    <t>AUMENTAR EN EL CUATRIENIO LA MEDIANA DE LACTANCIA MATERNA EXCLUSIVA POR ENCIMA DE LOS 4.6 MESES.</t>
  </si>
  <si>
    <t>MEDIANA DE LACTANCIA MATERNA EXCLUSIVA</t>
  </si>
  <si>
    <t>MEJORAR LA CONDICIÓN NUTRICIONAL DE 4.000 NIÑOS Y NIÑAS DE PRIMERA INFANCIA, CADA AÑO, CON COMPLEMENTO ALIMENTARIO, CON PRIORIDAD EN LA POBLACIÓN DE POBREZA EXTREMA</t>
  </si>
  <si>
    <t>NO. DE NIÑOS DE PRIMERA INFANCIA ATENDIDOS ANUALMENTE CON COMPLEMENTO ALIMENTARIO</t>
  </si>
  <si>
    <t>MEJORAR LA CONDICIÓN NUTRICIONAL DE LOS NIÑOS, ATENDIENDO ANUALMENTE A 2.000 MADRES GESTANTES Y LACTANTES CON COMPLEMENTO ALIMENTARIO, CON PRIORIDAD EN LA POBLACIÓN DE POBREZA EXTREMA</t>
  </si>
  <si>
    <t>NO. DE MADRES GESTANTES Y LACTANTES ATENDIDAS ANUALMENTE CON COMPLEMENTO ALIMENTARIO</t>
  </si>
  <si>
    <t>RED DE ACTORES INSTITUCIONALES CON PROTOCOLO INTERVIENEN EN LOS 116 MUNICIPIOS PARA LA PROTECCIÓN DE LA VIDA Y LA INTEGRIDAD FÍSICA DE LOS NIÑOS Y NIÑAS DE 0 A 5 AÑOS</t>
  </si>
  <si>
    <t>NO. DE MUNICIPIOS CON PROTOCOLO DE INTERVENCIÓN PARA PROTECCIÓN DE LA VIDA Y LA INTEGRIDAD FÍSICA DE LO MENORES DE 5 AÑOS</t>
  </si>
  <si>
    <t>REDUCIR EN EL CUATRIENIO EN 50% LAS MUERTES POR HOMICIDIO EN NIÑOS Y NIÑAS DE 0 A 5 AÑOS</t>
  </si>
  <si>
    <t>DESARROLLO</t>
  </si>
  <si>
    <t>GARANTIZAR, EN EL CUATRIENIO 8.000 CUPOS PARA LA ATENCIÓN EN EDUCACIÓN INICIAL A NIÑOS Y NIÑAS MENORES DE 5 AÑOS, PRIORIZANDO LA POBLACIÓN EN POBREZA EXTREMA QUE LO DEMANDE.</t>
  </si>
  <si>
    <t>NO. DE CUPOS GENERADOS PARA LA ATENCIÓN EN EDUCACIÓN INICIAL EN EL CUATRIENIO</t>
  </si>
  <si>
    <t>NO. DE AGENTES EDUCATIVOS FORMADOS EN LOS PROCESOS PEDAGÓGICOS DE LA PRIMERA INFANCIA</t>
  </si>
  <si>
    <t>CONTRIBUIR AL DESARROLLO SICOMOTRIZ Y SOCIAL DE LOS NIÑOS FORTALECIENDO EN EL CUATRIENIO LA OPERACIÓN DE 160 LUDOTECAS CON AMBIENTE E IMPLEMENTOS ADECUADOS PARA LAS Y LOS NIÑOS DE 0 A 5 AÑOS</t>
  </si>
  <si>
    <t>NO DE LUDOTECAS CON SERVICIO ADECUADO PARA PRIMERA INFANCIA</t>
  </si>
  <si>
    <t>FOMENTAR HABILIDADES Y DESTREZAS CON ACTIVIDADES LÚDICAS Y CULTURALES EN EL 15% DE LOS NIÑOS Y NIÑAS DE PRIMERA INFANCIA CADA AÑO</t>
  </si>
  <si>
    <t>PROMOVER EN 35.000 NIÑAS Y NIÑOS EN EL CUATRIENIO EL JUEGO Y LA ACTIVIDAD FÍSICA A TRAVÉS DE LA MATROGIMNASIA</t>
  </si>
  <si>
    <t>NO. NIÑAS Y NIÑOS DESARROLLANDO HABILIDADES POR MEDIO DE LA MATROGIMNASIA EN EL CUATRIENIO</t>
  </si>
  <si>
    <t>NO. DE PARQUES INFANTILES PARA LA PRIMERA INFANCIA DOTADOS EN EL CUATRIENIO</t>
  </si>
  <si>
    <t>PROMOVER LA PARTICIPACIÓN ACTIVA DE 12.800 NIÑOS Y NIÑAS MENORES DE 6 AÑOS EN EVENTOS RECREATIVOS CON LA FAMILIA</t>
  </si>
  <si>
    <t>NO. DE NIÑOS PARTICIPANTES EN EVENTOS RECREATIVOS CON LA FAMILIA</t>
  </si>
  <si>
    <t>APOYAR EL DESARROLLO INTEGRAL A TRAVÉS DE PROCESOS DE FORMACIÓN ARTÍSTICA Y CULTURAL DE NIÑAS Y NIÑOS DE 0 A 5 AÑOS EN 12 MUNICIPIOS ANUALMENTE</t>
  </si>
  <si>
    <t>NO. DE MUNICIPIOS APOYADOS ANUALMENTE CON PROCESOS DE FORMACIÓN ARTÍSTICA Y CULTURAL PARA LA PRIMERA INFANCIA</t>
  </si>
  <si>
    <t>APOYAR EL PROCESO FORMATIVO DE LOS NIÑOS Y NIÑAS DE 0 A 5 AÑOS CON EL FORTALECIMIENTO DE 80 BIBLIOTECAS PÚBLICAS MUNICIPALES EN EL CUATRIENIO</t>
  </si>
  <si>
    <t>NO. DE BIBLIOTECAS EN EL CUATRIENIO QUE PROMUEVEN LA LECTURA EN LA PRIMERA INFANCIA</t>
  </si>
  <si>
    <t>DESARROLLAR INTELIGENCIAS MÚLTIPLES APOYANDO LA CONFORMACIÓN DE 12 AGRUPACIONES MUSICALES DE NIÑOS Y NIÑAS DE 0 A 5 AÑOS EN EL CUATRIENIO</t>
  </si>
  <si>
    <t>NO. DE AGRUPACIONES MUSICALES DE PRIMERA INFANCIA</t>
  </si>
  <si>
    <t>DESARROLLAR UNA CAMPAÑA EN EL CUATRIENIO PARA FOMENTAR QUE LAS NIÑAS Y NIÑOS INGRESEN AL SISTEMA EDUCATIVO AL GRADO TRANSICIÓN AL CUMPLIR 5 AÑOS</t>
  </si>
  <si>
    <t>CAMPAÑA DEPARTAMENTAL DE PROMOCIÓN DE INGRESO AL GRADO TRANSICIÓN</t>
  </si>
  <si>
    <t>CIUDADANIA</t>
  </si>
  <si>
    <t>PROMOVER Y DIVULGAR LA DEFENSA DE LOS DERECHOS DE LOS NIÑOS Y NIÑAS EN LOS 116 MUNICIPIOS CON ESTRATEGIAS IEC (INFORMACIÓN, EDUCACIÓN, COMUNICACIÓN)</t>
  </si>
  <si>
    <t>NO DE MUNICIPIOS CON ESTRATEGIAS IEC PARA LA DEFENSA DE LOS DERECHOS DE LOS NIÑOS</t>
  </si>
  <si>
    <t>PROTECCION</t>
  </si>
  <si>
    <t>CUNDINAMARQUESES UNIDOS EN CAMPAÑA DEPARTAMENTAL POR AÑO PARA LA PREVENCIÓN DEL MALTRATO Y/O ABUSO SEXUAL EN NIÑOS Y NIÑAS MENORES DE 6 AÑOS</t>
  </si>
  <si>
    <t>NO. DE CAMPAÑAS DEPARTAMENTALES PARA LA PREVENCIÓN DEL MALTRATO EN NIÑOS DE PRIMERA INFANCIA</t>
  </si>
  <si>
    <t>GARANTIZAR LA ATENCIÓN INTEGRAL AL 100% DE LAS VÍCTIMAS Y POSIBLES VÍCTIMAS DE TRATA DE PERSONAS QUE LO DEMANDEN</t>
  </si>
  <si>
    <t>% DE NIÑOS Y NIÑAS DE 0 A 5 AÑOS LIBRE DE TRATA DE PERSONAS</t>
  </si>
  <si>
    <t>LOGRAR NIÑOS Y NIÑAS DE 6 A 11 AÑOS MAS SALUDABLES CON LA IMPLEMENTACIÓN EN EL CUATRIENIO DE UN PROGRAMA INTEGRAL DE ESTILOS DE VIDA SALUDABLE A NIVEL COMUNITARIO EN EL 64% DE LOS MUNICIPIOS.</t>
  </si>
  <si>
    <t>% DE MUNICIPIOS QUE IMPLEMENTARON EL PROGRAM INTEGRAL DE SSTILOS DE VIDA SALUDABLE</t>
  </si>
  <si>
    <t>FOMENTAR HABILIDADES Y DESTREZAS CON ACTIVIDADES LÚDICAS, CULTURALES Y DEPORTIVAS EN EL 35% DE LOS NIÑOS Y NIÑAS DE 6 A 11 AÑOS</t>
  </si>
  <si>
    <t>IMPLEMENTAR EN 116 SEDES DE INSTITUCIONES EDUCATIVAS PÚBLICAS DURANTE EL CUATRIENIO LA ESTRATEGIA DE "ESCUELAS DE CALIDAD DE VIDA" EN EL MARCO DE LA TRANSECTORIALIDAD.</t>
  </si>
  <si>
    <t>NO. DE SEDES DE IE PÚBLICAS CON CUMPLIMIENTO DE TODOS LOS COMPONENTES DE LA ESTRATEGIA "ESCUELAS DE CALIDAD DE VIDA"</t>
  </si>
  <si>
    <t>CONTRIBUIR, EN EL CUATRIENIO CON LA PERMANENCIA DE 40.874 NIÑAS Y NIÑOS EN EL SISTEMA EDUCATIVO OFICIAL, MEDIANTE EL SUMINISTRO DE COMPLEMENTOS NUTRICIONALES.</t>
  </si>
  <si>
    <t>NO. DE INFANTES CON SUMINISTRO DE COMPLEMENTO NUTRICIONAL EN EL CUATRIENIO</t>
  </si>
  <si>
    <t>RED DE ACTORES INSTITUCIONALES CON PROTOCOLO INTERVIENEN EN LOS 116 MUNICIPIOS PARA LA PROTECCIÓN DE LA VIDA Y LA INTEGRIDAD FÍSICA DE LOS NIÑOS Y NIÑAS DE 6 A 11 AÑOS</t>
  </si>
  <si>
    <t>NO. DE MUNICIPIOS CON PROTOCOLO DE INTERVENCIÓN PARA PROTECCIÓN DE LA VIDA Y LA INTEGRIDAD FÍSICA DE LOS INFANTES</t>
  </si>
  <si>
    <t xml:space="preserve">IMPLEMENTAR DURANTE EL CUATRIENIO EN 35 MUNICIPIOS LA JORNADA COMPLEMENTARIA </t>
  </si>
  <si>
    <t>NO. DE MUNICIPIOS CON JORNADA COMPLEMENTARIA EN EL CUATRIENIO</t>
  </si>
  <si>
    <t>LOGRAR, EN EL CUATRIENIO, LA PERMANENCIA DE 34.560 NIÑAS Y NIÑOS MEDIANTE SUBSIDIO AL TRANSPORTE ESCOLAR INCREMENTANDO DE 62 A 90 DIAS LA COFINANCIACIÓN</t>
  </si>
  <si>
    <t>NO. DE NIÑOS ATENDIDOS EN EL CUATRIENIO CON SUBSIDIO DE TRANSPORTE ESCOLAR/ NO. DE DIAS SUBSIDIADOS</t>
  </si>
  <si>
    <t>FORTALECER EN EL CUATRIENIO AL 70% DE LAS Y LOS DOCENTES Y DIRECTIVOS DOCENTES EN GESTIÓN, LIDERAZGO, PROCESOS ACADÉMICOS, INVESTIGATIVOS, FORMATIVOS, PEDAGÓGICOS, CON UN ENFOQUE DE INCLUSIÓN.</t>
  </si>
  <si>
    <t>% DE DOCENTES Y DIRECTIVOS DOCENTES FORMADOS EN EL CUATRIENIO</t>
  </si>
  <si>
    <t>MEJORAR EN EL CUATRIENIO EL PROMEDIO DE DESEMPEÑO EN LAS PRUEBAS SABER DEL GRADO 5° DE LAS INSTITUCIONES EDUCATIVAS OFICIALES EN DOS PUNTOS POR CADA ÁREA EVALUADA</t>
  </si>
  <si>
    <t>MEJORAR EN EL CUATRIENIO, EL PROMEDIO DE DESEMPEÑO DE LAS PRUEBAS SABER DEL GRADO NOVENO DE LAS INSTITUCIONES EDUCATIVAS OFICIALES EN 2 PUNTOS EN CADA ÁREA EVALUADA</t>
  </si>
  <si>
    <t>INCENTIVAR EN EL CUATRIENIO A 200 DOCENTES Y/O PERSONAL DE APOYO QUE PARTICIPEN EN JORNADAS COMPLEMENTARIAS O QUE PRESENTEN PROYECTOS DE INVESTIGACIÓN</t>
  </si>
  <si>
    <t>NO. DE INCENTIVOS ENTREGADOS EN EL CUATRIENIO A DOCENTES Y/O PERSONAL DE APOYO</t>
  </si>
  <si>
    <t>MEJORAR EN EL CUATRIENIO EL FUNCIONAMIENTO DE LOS MODELOS FLEXIBLES DE APRENDIZAJE PARA PRIMARIA EN 76 SEDES EDUCATIVAS RURALES (ESCUELA NUEVA Y ACELERACIÓN DEL APRENDIZAJE)</t>
  </si>
  <si>
    <t>NO. DE SEDES EDUCATIVAS RURALES CON MODELOS FLEXIBLES DE APRENDIZAJE MEJORADOS EN EL CUATRIENIO</t>
  </si>
  <si>
    <t>IMPLEMENTAR DURANTE EL CUATRIENIO LA EDUCACIÓN INCLUSIVA PARA LA INFANCIA EN 100 INSTITUCIONES EDUCATIVAS DE LOS MUNICIPIOS NO CERTIFICADOS</t>
  </si>
  <si>
    <t>NO. DE IE CON EDUCACIÓN INCLUSIVA PARA LA INFANCIA</t>
  </si>
  <si>
    <t>ACOMPAÑAR DURANTE EL CUATRIENIO AL 100% DE LAS INSTITUCIONES EDUCATIVAS PÚBLICAS DE LOS MUNICIPIOS NO CERTIFICADOS EN LA REVISIÓN Y REELABORACIÓN DE SUS PEI, ARTICULACIÓN CON EL PLAN DE ESTUDIOS, MANUALES DE CONVIVENCIA CON ENFOQUE DE DERECHOS Y SISTEMAS</t>
  </si>
  <si>
    <t>% DE IE ACOMPAÑADAS PARA REVISIÓN Y REELABORACIÓN DE PEI</t>
  </si>
  <si>
    <t>ATENDER INTEGRALMENTE A 600 NIÑAS Y NIÑOS DE ESCASOS RECURSOS, CADA AÑO, EN LOS CENTROS DE PROTECCIÓN DE LA BENEFICENCIA DE CUNDINAMARCA</t>
  </si>
  <si>
    <t>NO. DE NIÑAS Y NIÑOS ATENDIDOS CADA AÑO EN LOS CENTROS DE LA BENEFICENCIA</t>
  </si>
  <si>
    <t>CONTRIBUIR AL DESARROLLO SICOMOTRIZ Y SOCIAL DE LOS NIÑOS FORTALECIENDO EN EL CUATRIENIO LA OPERACIÓN DE 160 LUDOTECAS CON AMBIENTE E IMPLEMENTOS ADECUADOS PARA LAS Y LOS NIÑOS DE 6 A 11 AÑOS</t>
  </si>
  <si>
    <t>NO. DE LUDOTECAS CON AMBIENTE Y DOTACIÓN ADECUADA PARA LOS INFANTES</t>
  </si>
  <si>
    <t>OFRECER FORMACIÓN DEPORTIVA INICIAL A 33.228 NIÑAS Y NIÑOS ENTRE 6 Y 11 AÑOS EN EL CUATRIENIO A TRAVÉS DE ESCUELAS DE FORMACIÓN ESPECIALIZADAS</t>
  </si>
  <si>
    <t>NO. DE INFANTES BENEFICIADOS CON ESCUELAS DE FORMACIÓN DEPORTIVA</t>
  </si>
  <si>
    <t>GARANTIZAR LA RESERVA DEPORTIVA CON LA IDENTIFICACIÓN Y SELECCIÓN EN EL CUATRIENIO DE 850 NUEVOS TALENTOS PARA DEPORTE CONVENCIONAL Y CON DISCAPACIDAD</t>
  </si>
  <si>
    <t>NO. DE NUEVOS TALENTOS IDENTIFICADOS</t>
  </si>
  <si>
    <t>PROMOVER LA PRÁCTICA DEL DEPORTE ESCOLAR EN LAS SEDES DE BÁSICA PRIMARIA DE LOS MUNICIPIOS CON LA PARTICIPACIÓN DE 24.000 NIÑOS Y NIÑAS CADA AÑO EN FESTIVALES ESCOLARES</t>
  </si>
  <si>
    <t>NO. DE NIÑOS PARTICIPANDO EN FESTIVALES ESCOLARES CADA AÑO</t>
  </si>
  <si>
    <t>PROMOVER LA ACTIVIDAD FÍSICA EN LOS ESTABLECIMIENTOS EDUCATIVOS A 12,180 NIÑOS Y NIÑAS CON EL PROGRAMA "SUPERATE"</t>
  </si>
  <si>
    <t>NO. DE NIÑOS Y NIÑAS UE PARTICIPAN EN EL PROGRAMA "SUPERATE" EN EL CUATRIENIO</t>
  </si>
  <si>
    <t>APOYAR EL DESARROLLO INTEGRAL DE NIÑAS Y NIÑOS DE 6 A 11 AÑOS A TRAVÉS DE PROCESOS DE FORMACIÓN ARTÍSTICA Y CULTURAL EN 35 MUNICIPIOS ANUALMENTE CON INTERVENCIÓN ARTICULADA CON LA JORNADA COMPLEMENTARIA</t>
  </si>
  <si>
    <t>NO. DE MUNICIPIOS APOYADOS ANUALMENTE CON PROCESOS DE FORMACIÓN ARTÍSTICA Y CULTURAL CON NIÑOS Y NIÑAS DE 6 A 11 AÑOS</t>
  </si>
  <si>
    <t>APOYAR EL PROCESO FORMATIVO DE HABILIDADES LECTORAS DE LOS NIÑOS Y NIÑAS DE 6 A 11 AÑOS CON EL FORTALECIMIENTO DE 92 BIBLIOTECAS PÚBLICAS MUNICIPALES EN EL CUATRIENIO</t>
  </si>
  <si>
    <t>NO. DE BIBLIOTECAS PÚBLICAS MUNICIPALES FORTALECIDAS QUE PROMUEVAN HABILIDADES LECTORAS DE NIÑOS Y NIÑAS DE 6 A 11 AÑOS</t>
  </si>
  <si>
    <t>GARANTIZAR MEJORES AMBIENTES EN EL 100% DE LAS INSTITUCIONES EDUCATIVAS DE LOS MUNICIPIOS NO CERTIFICADOS A TRAVÉS DE LA PRESTACIÓN DEL SERVICIO DE ASEO</t>
  </si>
  <si>
    <t>% DE IE CON PAGO DE SERVICIO DE ASEO</t>
  </si>
  <si>
    <t>GARANTIZAR MEJORES AMBIENTES EN EL 100% DE LAS INSTITUCIONES EDUCATIVAS DE LOS MUNICIPIOS NO CERTIFICADOS A TRAVÉS DE LA PRESTACIÓN DE LOS SERVICIOS PÚBLICOS DE ENERGÍA Y ACUEDUCTO</t>
  </si>
  <si>
    <t>% DE IE CON PAGO DE SERVICIOS PÚBLICOS</t>
  </si>
  <si>
    <t>APOYAR ANUALMENTE EL SERVICIO DE VIGILANCIA EN CUALQUIERA DE SUS MODALIDADES EN EL 52% DE LAS INSTITUCIONES EDUCATIVAS DE LOS MUNICIPIOS NO CERTIFICADOS</t>
  </si>
  <si>
    <t>% DE IE CON PAGO DE SERVICIO DE VIGILANCIA ANUALMENTE</t>
  </si>
  <si>
    <t>GARANTIZAR QUE EL 100% DE LAS PLANTAS DE DOCENTES DE LAS INSTITUCIONES EDUCATIVAS DE LOS MUNICIPIOS NO CERTIFICADOS ESTÉN COMPLETAS AL INICIO DE CADA AÑO LECTIVO</t>
  </si>
  <si>
    <t>% DE IE CON PLANTA DOCENTE COMPLETA AL INICIO DE CADA AÑO LECTIVO</t>
  </si>
  <si>
    <t>GARANTIZAR EL PAGO DEL 100% DE LOS APORTES DE PREVISIÓN SOCIAL DE LOS DOCENTES</t>
  </si>
  <si>
    <t>% DE PAGO DE LOS APORTES DE PREVISIÓN SOCIAL DE LOS DOCENTES</t>
  </si>
  <si>
    <t>LOGRAR EN EL CUATRIENIO QUE EL 100% DE LOS NIÑOS Y NIÑAS DE 6 A 11 AÑOS QUE LO DEMANDEN TENGAN REGISTRO CIVIL Y TARJETA DE IDENTIDAD, CON PRIORIDAD EN LA POBLACIÓN EN POBREZA EXTREMA.</t>
  </si>
  <si>
    <t>% DE NIÑOS Y NIÑAS CON DOCUMENTO DE IDENTIDAD</t>
  </si>
  <si>
    <t>IMPLEMENTAR DURANTE EL CUATRIENIO EN 35 MUNICIPIOS ESPACIOS DE PARTICIPACIÓN CIUDADANA CON NIÑOS Y NIÑAS DE 6 A 11 AÑOS (CONCEJALITOS Y COMUNALITOS, ENTRE OTROS)</t>
  </si>
  <si>
    <t>NO. DE MUNICIPIOS CON ESPACIOS DE PARTICIPACIÓN CIUDADANA EN NIÑOS Y NIÑAS DE 6 A 11 AÑOS</t>
  </si>
  <si>
    <t>PROMOVER DURANTE EL CUATRIENIO EN EL 100% DE LOS ORGANISMOS COMUNALES LA PARTICIPACIÓN DE NIÑAS Y NIÑOS DE 6 A 11 AÑOS</t>
  </si>
  <si>
    <t>% DE ORGANISMOS COMUNALES CON PROMOCIÓN DE LA PARTICIPACIÓN DE NIÑOS Y NIÑAS DE 6 A 11 AÑOS</t>
  </si>
  <si>
    <t>LA INSTITUCIÓN DEPARTAMENTAL, LOS GOBIERNOS TERRITORIALES Y LA COMUNIDAD INVOLUCRAN AL 100% DE LAS DIFERENTES INSTANCIAS DE PARTICIPACIÓN EN EL DESARROLLO DE SUS PROGRAMAS Y PROYECTOS GENERANDO CORRESPONSABILIDAD CON PARTICIPACIÓN REAL Y ACTIVA.</t>
  </si>
  <si>
    <t xml:space="preserve">ACOMPAÑAR Y ASISTIR TÉCNICAMENTE EN EL CUATRIENIO A LOS 116 MUNICIPIOS PARA LA EFECTIVA INCLUSIÓN DE TEMAS DE INFANCIA EN LA AGENDA DEL CONSEJO MUNICIPAL DE POLÍTICA SOCIAL - COMPOS </t>
  </si>
  <si>
    <t>NO. DE MUNICIPIOS CON ASISTENCIA TÉCNICA EN COMPOS Y AGENDA QUE INCLUYE TEMAS DE INFANCIA</t>
  </si>
  <si>
    <t xml:space="preserve">DESARROLLAR E IMPLEMENTAR EN LOS 116 MUNICIPIOS, ESTRATEGIAS DE INFORMACIÓN, EDUCACIÓN Y COMUNICACIÓN DIRIGIDAS A LA PREVENCIÓN DEL MALTRATO INFANTIL, EXPLOTACIÓN Y ABUSO SEXUAL DE LOS NIÑOS Y NIÑAS PROMOVIENDO CULTURA DE RESPONSABILIDAD DE TODAS Y TODOS </t>
  </si>
  <si>
    <t xml:space="preserve">NO. DE MUNICIPIOS IMPLEMENTANDO ESTRATEGIAS DE IEC EN PREVENCIÓN DEL MALTRATO INFANTIL, EXPLOTACIÓN Y EL ABUSO DE LOS NIÑOS Y NIÑAS </t>
  </si>
  <si>
    <t>IMPLEMENTAR DURANTE EL CUATRIENIO EL PLAN DEPARTAMENTAL DE ERRADICACIÓN DEL TRABAJO INFANTIL</t>
  </si>
  <si>
    <t>PLAN DEPARTAMENTAL DE ERRADICACIÓN DEL TRABAJO INFANTIL IMPLEMENTADO</t>
  </si>
  <si>
    <t>GARANTIZAR LA ATENCIÓN INTEGRAL AL 100% DE LAS Y LOS INFANTES VÍCTIMAS Y POSIBLES VÍCTIMAS DE TRATA DE PERSONAS QUE LO DEMANDEN</t>
  </si>
  <si>
    <t>% DE INFANTES VÍCTIMAS Y POSIBLES VÍCTIMAS DE TRATA D EPERSONAS CON ATENCIÓN INTEGRAL</t>
  </si>
  <si>
    <t>LOGRAR ADOLESCENTES MAS SALUDABLES CON LA IMPLEMENTACIÓN EN EL CUATRIENIO DE UN PROGRAMA INTEGRAL DE ESTILOS DE VIDA SALUDABLE A NIVEL COMUNITARIO EN EL 64% DE LOS MUNICIPIOS.</t>
  </si>
  <si>
    <t>% DE MUNICIPIOS QUE IMPLEMENTARON EL PROGRAMA INTEGRAL DE ESTILOS DE VIDA SALUDABLE</t>
  </si>
  <si>
    <t>FOMENTAR HABILIDADES Y DESTREZAS CON ACTIVIDADES LÚDICAS, CULTURALES Y DEPORTIVAS ANUALMENTE EN EL 60% DE LAS Y LOS ADOLESCENTES</t>
  </si>
  <si>
    <t>IMPLEMENTAR, DURANTE EL CUATRIENIO, EN 13 INSTITUCIONES DE EDUCACIÓN PÚBLICA DE BÁSICA SECUNDARIA LA ESTRATEGIA DE "COLEGIOS DE CALIDAD DE VIDA" EN EL MARCO DE LA TRANSECTORIALIDAD</t>
  </si>
  <si>
    <t>NO. DE IE DE BÁSICA SECUNDARIA QUE DAN CUMPLIMIENTO A TODOS LOS COMPONENTES DE LA ESTRATEGIA DE "COLEGIO DE CALIDAD DE VIDA"</t>
  </si>
  <si>
    <t>IMPLEMENTAR Y/O MANTENER DURANTE EL CUATRIENIO UNA ESTRATEGIA DEPARTAMENTAL DE SENSIBILIZACIÓN Y FOMENTO DE LA RESPONSABILIDAD FRENTE AL EMBARAZO TEMPRANO</t>
  </si>
  <si>
    <t>ESTRATEGIA DEPARTAMENTAL DE SENSIBILIZACIÓN FRENTE AL EMBARAZO TEMPRANO IMPLEMENTADA</t>
  </si>
  <si>
    <t>RED DE ACTORES INSTITUCIONALES CON PROTOCOLO INTERVIENEN EN LOS 116 MUNICIPIOS PARA LA PREVENCIÓN DE HOMICIDIOS Y LA COMISIÓN DE DELITOS EN ADOLESCENTES.</t>
  </si>
  <si>
    <t>NO. DE MUNICIPIOS CON PROTOCOLO DE INTERVENCIÓN PARA PREVENCIÓN DE LOS HOMICIDIOS Y LA COMISIÓN DE DELITOS EN ADOLESCENTES.</t>
  </si>
  <si>
    <t>MEJORAR EN EL CUATRIENIO EL FUNCIONAMIENTO DEL 25% DE LOS MODELOS FLEXIBLES DE APRENDIZAJE PARA ADOLESCENTES EN LAS ZONAS RURALES (POSTPRIMARIA, TELESECUNDARIA, MEDIA RURAL Y ESCUELA Y CAFÉ)</t>
  </si>
  <si>
    <t>% DE MODELOS FLEXIBLES DE APRENDIZAJE PARA ADOLESCENTES MEJORADOS</t>
  </si>
  <si>
    <t>CREAR EN EL CUATRIENIO EL OBSERVATORIO PEDAGÓGICO DE REDES SOCIALES EDUCATIVAS DEL DEPARTAMENTO</t>
  </si>
  <si>
    <t>OBSERVATORIO DE REDES SOCIALES EDUCATIVAS CREADO</t>
  </si>
  <si>
    <t>FORMAR EN EL CUATRIENIO A 3.000 DOCENTES EN PROGRAMAS DE INCORPORACIÓN DE LAS TIC EN LOS PROCESOS PEDAGÓGICOS</t>
  </si>
  <si>
    <t>NO. DE DOCENTES FORMADOS EN INCORPORACIÓN DE LAS TIC EN LOS PROCESOS PEDAGÓGICOS</t>
  </si>
  <si>
    <t>VINCULAR INSTITUCIONES EDUCATIVAS OFICIALES PARA ADELANTAR 350 PROYECTOS CON COMPONENTES DE CIENCIA Y TECNOLOGÍA EN EL CUATRIENIO</t>
  </si>
  <si>
    <t>NO. DE PROYECTOS CON COMPONENTE DE CT EN INSTITUCIONES EDUCATIVAS</t>
  </si>
  <si>
    <t>NO. DE IE CON FORMACIÓN EN EMPRENDIMIENTO ALREDEDOR DE PROCESOS PRODUCTIVOS MEJORADOS</t>
  </si>
  <si>
    <t>CREAR E IMPLEMENTAR DURANTE EL CUATRIENIO EN 15 INSTITUCIONES EDUCATIVAS OFICIALES NUEVAS UNIDADES PRODUCTIVAS PARA FORMACIÓN Y TRANSFERENCIA, CON COMPONENTES DE INVESTIGACIÓN EN CT&amp;I, ORIENTADAS A SOLUCIONAR PROBLEMÁTICAS IDENTIFICADAS EN CADENAS PRODU</t>
  </si>
  <si>
    <t xml:space="preserve">NO. DE IE CON NUEVAS UNIDADES PRODUCTIVAS </t>
  </si>
  <si>
    <t>NO. DE IE CON ARTICULACIÓN A LA EDUCACIÓN TÉCNICA, TECNOLÓGICA Y SUPERIOR</t>
  </si>
  <si>
    <t>IMPLEMENTAR LA EDUCACIÓN INCLUSIVA PARA LA ADOLESCENCIA EN 72 INSTITUCIONES EDUCATIVAS DE LOS MUNICIPIOS NO CERTIFICADOS DURANTE EL CUATRIENIO</t>
  </si>
  <si>
    <t>NO. DE IE CON EDUCACIÓN INCLUSIVA PARA LA ADOLESCENCIA</t>
  </si>
  <si>
    <t>NO. DE CONVENIOS SUSCRITOS PARA PRÁCTICAS DOCENTES EN LENGUAS EXTRANJERAS</t>
  </si>
  <si>
    <t>APOYAR ANUALMENTE AL 100% DE LAS Y LOS ESTUDIANTES DE GRADO 11 DE LAS INSTITUCIONES EDUCATIVAS UBICADAS POR DEBAJO DEL NIVEL MEDIO EN LAS PRUEBAS SABER, CON PROGRAMAS DE PREPARACIÓN PARA LAS PRUEBAS SABER PRO.</t>
  </si>
  <si>
    <t>% DE ESTUDIANTES DE GRADO 11 APOYADOS ANUALMENTE PARA LA PREPARACIÓN A LAS PRUEBAS SABER PRO</t>
  </si>
  <si>
    <t>CONTRIBUIR EN EL CUATRIENIO CON LA PERMANENCIA DE 57.000 ADOLESCENTES EN EL SISTEMA EDUCATIVO OFICIAL, MEDIANTE EL SUMINISTRO DE COMPLEMENTOS NUTRICIONALES.</t>
  </si>
  <si>
    <t>NO. DE ADOLESCENTES CON SUMINISTRO DE COMPLEMENTO NUTRICIONAL EN EL CUATRIENIO</t>
  </si>
  <si>
    <t>LOGRAR EN EL CUATRIENIO LA PERMANENCIA DE 221.817 ADOLESCENTES MEDIANTE ESTRATEGIAS COMO SUBSIDIO AL TRANSPORTE ESCOLAR, PASANDO DE 62 A 90 DÍAS Y ALOJAMIENTO, ENTRE OTROS.</t>
  </si>
  <si>
    <t>NO. DE ADOLESCENTES CON SUBSIDIO DE TRANSPORTE ESCOLAR DURANTE EL CUATRIENIO / NO. DE DIAS</t>
  </si>
  <si>
    <t>ATENDER INTEGRALMENTE A 500 ADOLESCENTES DE ESCASOS RECURSOS, CADA AÑO, EN LOS CENTROS DE PROTECCIÓN DE LA BENEFICENCIA DE CUNDINAMARCA</t>
  </si>
  <si>
    <t>NO. DE ADOLESCENTES ATENDIDOS CADA AÑO EN LOS CENTROS DE LA BENEFICENCIA</t>
  </si>
  <si>
    <t>FORTALECER EL DESARROLLO SICOMOTRIZ Y SOCIAL DE LAS Y LOS ADOLESCENTES MEJORANDO EN EL CUATRIENIO LA OPERACIÓN DE 160 LUDOTECAS CON AMBIENTE E IMPLEMENTOS ADECUADOS</t>
  </si>
  <si>
    <t>NO. DE LUDOTECAS CON AMBIENTE Y DOTACIÓN ADECUADA PARA LOS ADOLESCENTES</t>
  </si>
  <si>
    <t>FORTALECER LA ENSEÑANZA HACIA EL DEPORTE DE COMPETENCIA DE 49.844 ADOLESCENTES ANUALMENTE EN LAS ESCUELAS DE FORMACIÓN DEPORTIVA Y RECREATIVA, ARTICULADAS CON LA JORNADA COMPLEMENTARIA</t>
  </si>
  <si>
    <t>NO. DE ADOLESCENTES ATENDIDOS EN ESCUELAS DE FORMACIÓN DEPORTIVA Y RECREATIVA</t>
  </si>
  <si>
    <t>FORTALECER LA PRÁCTICA DEL DEPORTE ASOCIADO MEDIANTE LA ORGANIZACIÓN Y PARTICIPACIÓN DE LAS LIGAS EN TORNEOS Y EVENTOS DE LAS DIFERENTES DISCIPLINAS</t>
  </si>
  <si>
    <t>NO. DE AGENDAS ANUALES COMPETITIVAS DE INTERLIGAS</t>
  </si>
  <si>
    <t>LOGRAR QUE ANUALMENTE EL 35% DE LAS Y LOS JÓVENES PARTICIPEN DE DINÁMICAS INTEGRALES (CULTURALES, DEPORTIVAS, AMBIENTALES, EMPRENDIMIENTO, EDUCATIVAS)</t>
  </si>
  <si>
    <t>CONTRIBUIR A LA FORMACIÓN INTEGRAL Y AL USO ADECUADO DEL TIEMPO LIBRE CON LA PARTICIPACIÓN DE 80.000 ADOLESCENTES CADA AÑO CON JUEGOS INTERCOLEGIADOS EN TODAS SUS FASES.</t>
  </si>
  <si>
    <t>NO. DE ADOLESCENTES QUE PARTICIPAN ANUALMENTE EN JUEGOS INTERCOLEGIADOS EN EL CUATRIENIO</t>
  </si>
  <si>
    <t>PROMOVER LA ACTIVIDAD FÍSICA EN LOS ESTABLECIMIENTOS EDUCATIVOS A 17,400 ADOLESCENTES CON EL PROGRAMA "SUPERATE"</t>
  </si>
  <si>
    <t>NO. DE ADOLESCENTES QUE PARTICIPAN EN EL PROGRAMA "SUPERATE" DURANTE EL CUATRIENIO</t>
  </si>
  <si>
    <t>APOYAR EL DESARROLLO INTEGRAL DE LAS Y LOS ADOLESCENTES A TRAVÉS DE PROCESOS DE FORMACIÓN ARTÍSTICA Y CULTURAL EN 40 MUNICIPIOS ANUALMENTE CON INTERVENCIÓN ARTICULADA CON LA JORNADA COMPLEMENTARIA</t>
  </si>
  <si>
    <t>NO. DE MUNICIPIOS APOYADOS ANUALMENTE CON PROCESOS DE FORMACIÓN ARTÍSTICA Y CULTURAL CON ADOLESCENTES</t>
  </si>
  <si>
    <t>APOYAR EL PROCESO FORMATIVO DE LAS Y LOS ADOLESCENTES CON EL FORTALECIMIENTO DE 116 BIBLIOTECAS PÚBLICAS MUNICIPALES EN EL CUATRIENIO</t>
  </si>
  <si>
    <t>NO. DE BIBLIOTECAS PÚBLICAS MUNICIPALES DOTADAS PARA LA ATENCIÓN DE ADOLESCENTES</t>
  </si>
  <si>
    <t xml:space="preserve">REALIZAR DURANTE EL CUATRIENIO 5 CONVENIOS DE COLABORACIÓN CON COLEGIOS BILINGÜES UBICADOS EN EL DEPARTAMENTO. </t>
  </si>
  <si>
    <t>NO. DE CONVENIOS CON COLEGIOS BILINGÜES</t>
  </si>
  <si>
    <t>DESARROLLAR UNA CAMPAÑA EN EL CUATRIENIO PARA FOMENTAR QUE LAS Y LOS ADOLESCENTES CONTINUEN EN EL SISTEMA EDUCATIVO DESPUES DEL GRADO 9°</t>
  </si>
  <si>
    <t>CAMPAÑA DEPARTAMENTAL DE PROMOCIÓN DE INGRESO A EDUCACIÓN MEDIA</t>
  </si>
  <si>
    <t>LOGRAR LA PARTICIPACIÓN ACTIVA DE LAS Y LOS ADOLESCENTES EN LOS GOBIERNOS ESCOLARES DEL 100% DE LAS INSTITUCIONES EDUCATIVAS CADA AÑO</t>
  </si>
  <si>
    <t>% DE IE CON ADOLESCENTES ACTIVOS EN GOBIERNOS ESCOLARES CADA AÑO</t>
  </si>
  <si>
    <t>PROMOVER DURANTE EL CUATRIENIO EN EL 100% DE LOS ORGANISMOS COMUNALES LA PARTICIPACIÓN DE LOS ADOLESCENTES</t>
  </si>
  <si>
    <t>% DE ORGANISMOS COMUNALES CON PROMOCIÓN DE PARTICIPACIÓN DE LOS ADOLESCENTES</t>
  </si>
  <si>
    <t>GARANTIZAR ANUALMENTE QUE EN EL 50% DE LAS SESIONES DEL CONSEJO DE POLÍTICA SOCIAL DEPARTAMENTAL PARTICIPEN ADOLESCENTES</t>
  </si>
  <si>
    <t>% DE SESIONES DEL CODEPS CADA AÑO CON ASISTENCIA DE ADOLESCENTES</t>
  </si>
  <si>
    <t>SENSIBILIZAR EN EL CUATRIENIO A 2.000 PERSONAS EN PREVENCIÓN DEL MALTRATO EN ADOLESCENTES</t>
  </si>
  <si>
    <t>NO. DE PERSONAS SENSIBILIZADAS EN PREVENCIÓN DEL MALTRATO EN ADOLESCENTES</t>
  </si>
  <si>
    <t>IMPLEMENTAR DURANTE EL CUATRIENIO EL PLAN DEPARTAMENTAL DE ERRADICACIÓN DEL TRABAJO INFANTIL EN ADOLESCENTES</t>
  </si>
  <si>
    <t>IMPLEMENTAR EN EL CUATRIENIO LA ESTRATEGIA DE PROTECCIÓN AL ADOLESCENTE TRABAJADOR EN EL MARCO DEL PLAN DEPARTAMENTAL DE ERRADICACIÓN DEL TRABAJO INFANTIL</t>
  </si>
  <si>
    <t>ESTRATEGIA DE PROTECCIÓN AL ADOLESCENTE TRABAJADOR IMPLEMENTADA</t>
  </si>
  <si>
    <t>GARANTIZAR LA ATENCIÓN INTEGRAL AL 100% DE LAS Y LOS ADOLESCENTES VÍCTIMAS Y POSIBLES VÍCTIMAS DE TRATA DE PERSONAS QUE LO DEMANDEN</t>
  </si>
  <si>
    <t>% DE ADOLESCENTES VÍCTIMAS Y POSIBLES VÍCTIMAS DE TRATA DE PERSONAS CON ATENCIÓN INTEGRAL</t>
  </si>
  <si>
    <t>ARTICULAR CON LOS MUNICIPIOS EL CUMPLIMIENTO DEL SISTEMA DE RESPONSABILIDAD PENAL PARA ADOLESCENTES EN CUANTO AL FUNCIONAMIENTO DE 15 CENTROS DE SERVICIOS JUDICIALES PARA ADOLESCENTES (CETRAS)</t>
  </si>
  <si>
    <t>NO. DE CENTROS MEJORADOS EN SU FUNCIONAMIENTO</t>
  </si>
  <si>
    <t>LOGRAR JÓVENES MAS SALUDABLES CON LA IMPLEMENTACIÓN EN EL CUATRIENIO DE UN PROGRAMA INTEGRAL DE ESTILOS DE VIDA SALUDABLES A NIVEL COMUNITARIO EN EL 100% DE LOS MUNICIPIOS</t>
  </si>
  <si>
    <t>% DE MUNICIPIOS CON CUMPLIMIENTO DE TODOS LOS COMPONENTES DE ESTILOS DE VIDA SALUDABLE PARA LOS JÓVENES A NIVEL COMUNITARIO</t>
  </si>
  <si>
    <t>NO. DE ESTUDIANTES VINCULADOS A LA EDUCACIÓN SUPERIOR</t>
  </si>
  <si>
    <t>FORTALECER DURANTE EL CUATRIENIO 4 CERES PARA QUE OFREZCAN NUEVOS PROGRAMAS DE FORMACIÓN EN FUNCIÓN DEL DESARROLLO POTENCIAL, PERSONAL, PRODUCTIVO Y COMPETITIVO DE LOS TERRITORIOS.</t>
  </si>
  <si>
    <t>NO. DE CERES FORTALECIDOS PARA OFRECER NUEVOS PROGRAMAS</t>
  </si>
  <si>
    <t>CREAR DURANTE EL CUATRIENIO 4 CERES QUE OFREZCAN PROGRAMAS DE FORMACIÓN EN FUNCIÓN DEL DESARROLLO POTENCIAL, PERSONAL, PRODUCTIVO Y COMPETITIVO DE LOS TERRITORIOS.</t>
  </si>
  <si>
    <t>NO. DE CERES CREADOS</t>
  </si>
  <si>
    <t xml:space="preserve">ALFABETIZAR Y ELEVAR EL NIVEL EDUCATIVO A 3.723 JÓVENES, DURANTE EL CUATRIENIO, CON PRIORIDAD EN LA POBLACIÓN EN CONDICIÓN DE EXTREMA POBREZA. </t>
  </si>
  <si>
    <t>NO. DE JÓVENES ALFABETIZADOS EN EL CUATRIENIO</t>
  </si>
  <si>
    <t>NO. DE JÓVENES FORMADOS EN LIDERAZGO Y FORMACIÓN POLÍTICA.</t>
  </si>
  <si>
    <t>MEJORAR DINÁMICAS DE INTERACCIÓN SOCIAL DE LAS Y LOS JÓVENES, VINCULÁNDOLOS A 160 LUDOTECAS FORTALECIDAS EN SU CAPACIDAD DE SERVICIO</t>
  </si>
  <si>
    <t>NO. DE LUDOTECAS CON AMBIENTE Y DOTACIÓN ADECUADA PARA LOS JÓVENES</t>
  </si>
  <si>
    <t>MEJORAR LA CONVIVENCIA CON LA REALIZACIÓN DE 2 ENCUENTROS ANUALES INTERCULTURALES DE JÓVENES PERTENECIENTES A GRUPOS ÉTNICOS</t>
  </si>
  <si>
    <t>NO. DE ENCUENTROS INTERCULTURALES DE JÓVENES DE GRUPOS ÉTNICOS</t>
  </si>
  <si>
    <t>CONTRIBUIR AL DESARROLLO PERSONAL Y LA CONVIVENCIA A TRAVÉS DE LA PARTICIPACIÓN DE 9.600 JÓVENES DURANTE EL CUATRIENIO EN ACTIVIDADES DE COOPERACIÓN AL AIRE LIBRE CON TÉCNICAS CAMPAMENTILES JUVENILES</t>
  </si>
  <si>
    <t>NO. DE JÓVENES ASISTENTES A CAMPAMENTOS JUVENILES EN EL CUATRIENIO</t>
  </si>
  <si>
    <t>PROMOVER Y MASIFICAR LA PRÁCTICA DEPORTIVA CON LA PARTICIPACIÓN DE 15.000 JÓVENES EN EL CUATRIENIO EN ESPACIOS DE COMPETICIÓN A NIVEL MUNICIPAL, REGIONAL Y DEPARTAMENTAL</t>
  </si>
  <si>
    <t>NO. DE JÓVENES QUE PARTICIPAN EN JUEGOS DEPARTAMENTALES JUVENILES</t>
  </si>
  <si>
    <t>FORTALECER LA PRÁCTICA DE DEPORTES EXTREMOS EN EL DEPARTAMENTO CON LA REALIZACIÓN DE 3 FESTIVALES</t>
  </si>
  <si>
    <t>NO. DE FESTIVALES DE DEPORTE EXTREMO</t>
  </si>
  <si>
    <t>APOYAR LA PREPARACIÓN ANUAL DEL 100% DE LAS Y LOS DEPORTISTAS DE ALTO RENDIMIENTO CONVENCIONALES Y CON DISCAPACIDAD QUE PARTICIPARÁN EN LOS JUEGOS NACIONALES 2012 Y 2015</t>
  </si>
  <si>
    <t>% DE DEPORTISTAS DE ALTO RENDIMIENTO APOYADOS ANUALMENTE EN SU PREPARACIÓN A JUEGOS NACIONALES</t>
  </si>
  <si>
    <t>PARTICIPAR CON DEPORTISTAS DE ALTO RENDIMIENTO CONVENCIONALES Y CON DISCAPACIDAD A JUEGOS NACIONALES 2012 Y 2015</t>
  </si>
  <si>
    <t>NO. DE PARTICIPACIONES DEL DEPARTAMENTO EN JUEGOS NACIONALES EN EL CUATRIENIO</t>
  </si>
  <si>
    <t>ESTIMULAR LA EXCELENCIA DEPORTIVA CON APOYO ECONÓMICO A 100 DEPORTISTAS MEDALLISTAS CADA AÑO</t>
  </si>
  <si>
    <t>NO. DE DEPORTISTAS APOYADOS ECONÓMICAMENTE CADA AÑO</t>
  </si>
  <si>
    <t>PROMOVER LA ACTIVIDAD FÍSICA A 5.220 JÓVENES CON EL PROGRAMA "SUPERATE"</t>
  </si>
  <si>
    <t>NO. DE JÓVENES QUE PARTICIPAN EN EL PROGRAMA "SUPERATE"</t>
  </si>
  <si>
    <t>NO. DE CONCIERTOS DE LA BANDA SINFÓNICA DE CUNDINAMARCA EN EL CUATRIENIO</t>
  </si>
  <si>
    <t>APOYAR EL TALENTO DE JÓVENES ARTISTAS CON SU PARTICIPACIÓN EN 10 ENCUENTROS Y/O CONCURSOS ARTÍSTICOS Y CULTURALES ANUALMENTE</t>
  </si>
  <si>
    <t>NO. DE ENCUENTROS Y/O CONCURSOS ARTÍSTICOS Y CULTURALES FOCALIZADAS A JÓVENES CADA AÑO</t>
  </si>
  <si>
    <t>APOYAR EL PROCESO FORMATIVO DE LAS Y LOS JÓVENES CON EL FORTALECIMIENTO DE 100 BIBLIOTECAS PÚBLICAS MUNICIPALES EN EL CUATRIENIO</t>
  </si>
  <si>
    <t>NO. DE BIBLIOTECAS PÚBLICAS MUNICIPALES APOYADAS PARA LA ATENCIÓN DE JÓVENES</t>
  </si>
  <si>
    <t>FOMENTAR EL DESARROLLO INTEGRAL A TRAVÉS DE PROCESOS DE FORMACIÓN ARTÍSTICA Y CULTURAL DE LAS Y LOS JÓVENES EN 15 MUNICIPIOS ANUALMENTE</t>
  </si>
  <si>
    <t>MUNICIPIOS APOYADOS ANUALMENTE CON PROCESOS DE FORMACIÓN ARTÍSTICA Y CULTURAL CON JÓVENES</t>
  </si>
  <si>
    <t>PROMOVER CON CAPITAL SEMILLA 20 PROYECTOS PRODUCTIVOS Y DE EMPRENDIMIENTO VINCULANDO A JÓVENES DE EXTREMA POBREZA Y REINTEGRADOS</t>
  </si>
  <si>
    <t>NO. DE PROYECTOS PRODUCTIVOS DE EMPRENDIMIENTO JUVENIL APOYADOS</t>
  </si>
  <si>
    <t>CONFORMAR, OPERAR Y DESARROLLAR DURANTE EL CUATRIENIO UNA RED DEPARTAMENTAL DE COMUNICACIÓN POPULAR JUVENIL</t>
  </si>
  <si>
    <t>RED DEPARTAMENTAL DE COMUNICACIÓN POPULAR JUVENIL CREADA</t>
  </si>
  <si>
    <t>NO. DE INICIATIVAS DE PARTICIPACIÓN CIUDADANA APOYADAS</t>
  </si>
  <si>
    <t>APOYAR EN EL CUATRIENIO LA CREACIÓN Y FORTALECIMIENTO DE 40 CLUBES, ORGANIZACIONES Y ASOCIACIONES JUVENILES</t>
  </si>
  <si>
    <t>NO. DE CLUBES JUVENILES APOYADOS EN LA CREACIÓN Y DESARROLLO.</t>
  </si>
  <si>
    <t>ASISTIR TÉCNICAMENTE EN EL CUATRIENIO A 107 MUNICIPIOS PARA LA CREACIÓN DE LOS CONSEJOS MUNICIPALES DE JUVENTUD - CMJ</t>
  </si>
  <si>
    <t>NO. DE MUNICIPIOS ASISTIDOS TÉCNICAMENTE EN EL CUATRIENIO PARA LA CREACIÓN DE LOS CMJ</t>
  </si>
  <si>
    <t>CREAR DURANTE EL CUATRIENIO 5 VEEDURÍAS TEMÁTICAS CIUDADANAS CONFORMADAS POR JÓVENES POR MEDIO DE UNA RED SOCIAL VIRTUAL.</t>
  </si>
  <si>
    <t>NO. DE VEEDURÍAS CIUDADANAS DE JÓVENES DESARROLLADAS POR MEDIO DE UNA RED VIRTUAL.</t>
  </si>
  <si>
    <t>LOGRAR QUE EN EL CUATRIENIO 20 JÓVENES REALICEN INTERCAMBIOS ACADÉMICOS, SOCIALES Y LABORALES EN OTROS PAÍSES.</t>
  </si>
  <si>
    <t>NO. DE JÓVENES BENEFICIADOS CON PROGRAMA DE INTERCAMBIO EN OTROS PAÍSES</t>
  </si>
  <si>
    <t>% DE JÓVENES BENEFICIADOS CON DOCUMENTOS DE IDENTIFICACIÓN.</t>
  </si>
  <si>
    <t>NO. DE JÓVENES BENEFICIADOS CON LA EXPEDICIÓN DE LA LIBRETA MILITAR</t>
  </si>
  <si>
    <t>ATENDER EN EL CUATRIENIO A 21,000 FAMILIAS DE LA RED UNIDOS CON SINERGIA DE SECTORES</t>
  </si>
  <si>
    <t>PROMOVER EN EL 100% DE LOS ORGANISMOS COMUNALES LA PARTICIPACIÓN DE LAS Y LOS JÓVENES</t>
  </si>
  <si>
    <t>% DE ORGANISMOS COMUNALES CON PROMOCIÓN DE PARTICIPACIÓN DE LOS JÓVENES</t>
  </si>
  <si>
    <t xml:space="preserve">PROMOVER LA PARTICIPACIÓN DE LAS Y LOS JÓVENES EN ACTIVIDADES DE INVESTIGACIÓN, CONSERVACIÓN Y RESCATE DEL PATRIMONIO CULTURAL EN 5 MUNICIPIOS EN EL CUATRIENIO </t>
  </si>
  <si>
    <t>NO. DE MUNICIPIOS APOYADOS PARA LA PARTICIPACIÓN DE LOS JÓVENES EN RESCATE DEL PATRIMONIO CULTURAL</t>
  </si>
  <si>
    <t>APOYAR 5 INICIATIVAS DE EMPRENDIMIENTO E INDUSTRIA CULTURAL DE JÓVENES EN EL CUATRIENIO</t>
  </si>
  <si>
    <t>NO. DE INICIATIVAS DE EMPRENDIMIENTO CULTURAL DE JÓVENES APOYADOS</t>
  </si>
  <si>
    <t>PROMOVER LA PARTICIPACIÓN DE  1000 JÓVENES EN LOS PROCESOS DE  REVEGETALIZACION PROTECTORA, MANTENIMIENTO Y CONSERVACIÓN DEL RECURSO HÍDRICO, CONSERVACIÓN Y/O RECUPERACIÓN DE ECOSISTEMAS LENTICOS, EDUCACIÓN Y CONCIENTIZACIÓN AMBIENTAL.</t>
  </si>
  <si>
    <t>NO. DE JÓVENES VINCULADOS A PROGRAMAS AMBIENTALES</t>
  </si>
  <si>
    <t>LOGRAR EN LOS 116 MUNICIPIOS ENTORNOS LABORALES SALUDABLES PARA LAS Y LOS JÓVENES CON EL FOMENTO DE LA SALUD OCUPACIONAL PRIORITARIAMENTE EN EL SECTOR MINERO, TURISMO Y AGRICULTURA</t>
  </si>
  <si>
    <t>NO. DE MUNICIPIOS CON CUMPLIMIENTO DE TODOS LOS COMPONENTES DE LA POLÍTICA DE SALUD LABORAL EN EL DEPARTAMENTO</t>
  </si>
  <si>
    <t>APOYAR EN EL CUATRIENIO A 30 MUNICIPIOS FRENTE A LOS NUEVOS MODELOS DE ABORDAJE INTEGRAL SOCIAL EN LA PREVENCIÓN Y/O ATENCIÓN DE LAS ADICCIONES Y LA INDAGACIÓN DE LAS CAUSAS</t>
  </si>
  <si>
    <t>NO. DE MUNICIPIOS APOYADOS PARA ABORDAR LOS NUEVOS MODELOS DE PREVENCIÓN Y/O ATENCIÓN DE ADICCIONES</t>
  </si>
  <si>
    <t>GARANTIZAR LA ATENCIÓN INTEGRAL AL 100% DE LAS Y LOS JÓVENES VÍCTIMAS Y POSIBLES VÍCTIMAS DE TRATA DE PERSONAS QUE LO DEMANDEN</t>
  </si>
  <si>
    <t>% DE JÓVENES VÍCTIMAS Y POSIBLES VÍCTIMAS DE TRATA DE PERSONAS CON ATENCIÓN INTEGRAL</t>
  </si>
  <si>
    <t>RED DE ACTORES INSTITUCIONALES CON PROTOCOLO INTERVIENEN EN LOS 116 MUNICIPIOS PARA LA PREVENCIÓN DE HOMICIDIOS Y LA COMISIÓN DE DELITOS EN JÓVENES</t>
  </si>
  <si>
    <t>NO. DE MUNICIPIOS CON PROTOCOLO DE INTERVENCIÓN PARA PREVENCIÓN DE LOS HOMICIDIOS Y LA COMISIÓN DE DELITOS EN JÓVENES</t>
  </si>
  <si>
    <t>IMPLEMENTAR UN MODELO PARA LA GESTIÓN DE LOS PROGRAMAS DE CÁNCERES ASOCIADOS A SALUD SEXUAL Y REPRODUCTIVA (CÉRVIX, SENO Y PRÓSTATA), CON ENFOQUE DE RIESGO EN LOS 116 MUNICIPIOS</t>
  </si>
  <si>
    <t>NO. DE MUNICIPIOS CON MODELO PARA LA GESTIÓN DE PROGRAMAS DE CÁNCERES ASOCIADOS A SALUD SEXUAL IMPLEMENTADOS</t>
  </si>
  <si>
    <t>BENEFICIAR ANUALMENTE AL 30% DE LAS Y LOS ADULTOS CON ACTIVIDADES CULTURALES, LÚDICAS Y DEPORTIVAS</t>
  </si>
  <si>
    <t>LOGRAR ADULTAS Y ADULTOS MAS SALUDABLES CON LA IMPLEMENTACIÓN EN EL CUATRIENIO DE UN PROGRAMA INTEGRAL DE ESTILOS DE VIDA SALUDABLES A NIVEL COMUNITARIO EN EL 100% DE LOS MUNICIPIOS</t>
  </si>
  <si>
    <t>% DE MUNICIPIOS CON CUMPLIMIENTO DE TODOS LOS COMPONENTES DE ESTILOS DE VIDA SALUDABLE PARA LOS ADULTOS A NIVEL COMUNITARIO</t>
  </si>
  <si>
    <t>ALFABETIZAR Y ELEVAR EL NIVEL EDUCATIVO A 6.206 ADULTOS Y ADULTAS, DURANTE EL CUATRIENIO, CON PRIORIDAD EN LA POBLACIÓN EN EXTREMA POBREZA.</t>
  </si>
  <si>
    <t>NO. DE ADULTOS ALFABETIZADOS</t>
  </si>
  <si>
    <t>MEJORAR DINÁMICAS DE INTERACCIÓN SOCIAL DE LAS Y LOS ADULTOS, VINCULÁNDOLOS A 160 LUDOTECAS FORTALECIDAS EN SU CAPACIDAD DE SERVICIO</t>
  </si>
  <si>
    <t>NO. DE LUDOTECAS CON AMBIENTE Y DOTACIÓN ADECUADA PARA LOS ADULTOS</t>
  </si>
  <si>
    <t>PROPICIAR LA PARTICIPACIÓN E INTEGRACIÓN DE 25.000 ADULTAS Y ADULTOS ANUALMENTE EN SANA COMPETENCIA DEPORTIVA EN LOS JUEGOS COMUNALES</t>
  </si>
  <si>
    <t>NO. DE PARTICIPANTES CADA AÑO EN JUEGOS COMUNALES</t>
  </si>
  <si>
    <t>PROMOCIONAR ACTIVIDAD FÍSICA A 123.236 ADULTOS Y ADULTAS PARA MEJORAR ESTILOS DE VIDA SALUDABLE PARA LA COMUNIDAD DEL DEPARTAMENTO</t>
  </si>
  <si>
    <t>NO. DE ADULTOS PARTICIPANTES DE PROYECTO DE ACTIVIDAD FÍSICA</t>
  </si>
  <si>
    <t xml:space="preserve">DIFUNDIR LA MÚSICA FOLCLÓRICA COLOMBIANA Y UNIVERSAL A TRAVÉS DE LA REALIZACIÓN DE 80 ENCUENTROS Y/O CONCIERTOS DE EXPRESIONES MUSICALES, TRADICIONALES, FOLCLORICAS Y CORALES EN EL CUATRIENIO </t>
  </si>
  <si>
    <t>NO. DE CONCIERTOS Y/O ENCUENTROS DE AGRUPACIONES MUSICALES EN EL CUATRIENIO</t>
  </si>
  <si>
    <t>APOYAR 3 INICIATIVAS DE EMPRENDIMIENTO E INDUSTRIA CULTURAL DE ADULTOS EN EL CUATRIENIO</t>
  </si>
  <si>
    <t>NO. DE INICIATIVAS DE EMPRENDIMIENTO CULTURAL PRESENTADOS POR ADULTOS APOYADOS</t>
  </si>
  <si>
    <t>APOYAR EL DESARROLLO INTEGRAL A TRAVÉS DE PROCESOS DE FORMACIÓN ARTÍSTICA Y CULTURAL DE LAS Y LOS ADULTOS EN 5 MUNICIPIOS ANUALMENTE</t>
  </si>
  <si>
    <t>MUNICIPIOS APOYADOS ANUALMENTE CON PROCESOS DE FORMACIÓN ARTÍSTICA Y CULTURAL PARA ADULTOS</t>
  </si>
  <si>
    <t>APOYAR EL PROCESO FORMATIVO DE LAS Y LOS ADULTOS CON EL FORTALECIMIENTO DE 100 BIBLIOTECAS PÚBLICAS MUNICIPALES EN EL CUATRIENIO</t>
  </si>
  <si>
    <t>NO. DE BIBLIOTECAS PÚBLICAS MUNICIPALES APOYADAS EN EL CUATRIENIO PARA LA ATENCIÓN DE ADULTOS</t>
  </si>
  <si>
    <t>% DE ADULTOS CON DOCUMENTOS DE IDENTIFICACIÓN.</t>
  </si>
  <si>
    <t>GENERAR CAPACIDADES DE GESTIÓN LOCAL CON LA FORMACIÓN DE 6.500 DIGNATARIAS Y DIGNATARIOS DE LAS JUNTAS DE ACCIÓN COMUNAL EN EL CUATRIENIO</t>
  </si>
  <si>
    <t>NO. DE DIGNATARIOS DE LAS JAC FORMADOS</t>
  </si>
  <si>
    <t>GARANTIZAR LA ATENCIÓN INTEGRAL AL 100% DE LAS Y LOS ADULTOS VÍCTIMAS Y POSIBLES VÍCTIMAS DE TRATA DE PERSONAS QUE LO DEMANDEN</t>
  </si>
  <si>
    <t>% DE ADULTOS VÍCTIMAS Y POSIBLES VÍCTIMAS DE TRATA DE PERSONAS CON ATENCIÓN INTEGRAL</t>
  </si>
  <si>
    <t>REDUCIR EN EL CUATRIENIO EN MÍNIMO 10% LAS MUERTES POR HOMICIDIO EN ADULTOS</t>
  </si>
  <si>
    <t>RED DE ACTORES INSTITUCIONALES CON PROTOCOLO INTERVIENEN EN LOS 116 MUNICIPIOS PARA LA PREVENCIÓN DE HOMICIDIOS Y LA COMISIÓN DE DELITOS EN ADULTOS</t>
  </si>
  <si>
    <t>CONSOLIDAR EN EL CUATRIENIO 3 ALIANZAS CON ORGANISMOS PÚBLICOS O PRIVADOS, CON EL FIN DE ENCAMINAR ESFUERZOS HACIA LA PROTECCIÓN DE LOS DERECHOS HUMANOS, CIVILES Y POLÍTICOS DE LA POBLACIÓN ADULTA DEL DEPARTAMENTO.</t>
  </si>
  <si>
    <t>NO DE ALIANZAS PARA LA PROTECCIÓN DE LOS DERECHOS DE LOS ADULTOS</t>
  </si>
  <si>
    <t>LOGRAR ADULTAS Y ADULTOS MAYORES MAS SALUDABLES CON LA IMPLEMENTACIÓN EN EL CUATRIENIO DE UN PROGRAMA INTEGRAL DE ESTILOS DE VIDA SALUDABLE A NIVEL COMUNITARIO EN EL 100% DE LOS MUNICIPIOS</t>
  </si>
  <si>
    <t>% DE MUNICIPIOS CON CUMPLIMIENTO DE TODOS LOS COMPONENTES DE ESTILOS DE VIDA SALUDABLE PARA LOS ADULTOS MAYORES A NIVEL COMUNITARIO</t>
  </si>
  <si>
    <t>POTENCIALIZAR HABILIDADES Y DESTREZAS EN EL 5% DE LAS PERSONAS ADULTAS MAYORES CON Y SIN DISCAPACIDAD COMO USUARIOS DE PROGRAMAS CULTURALES, RECREATIVOS Y LÚDICOS CADA AÑO</t>
  </si>
  <si>
    <t>VACUNAR EN EL CUATRIENIO A 40.000 ADULTAS Y ADULTOS MAYORES DE 60 AÑOS CONTRA INFLUENZA Y NEUMOCOCO</t>
  </si>
  <si>
    <t>NO. DE ADULTOS MAYORES VACUNADOS CONTRA INFLUENZA Y NEUMOCOCO</t>
  </si>
  <si>
    <t>ATENDER ANUALMENTE A 400 ADULTAS Y ADULTOS MAYORES EN PROGRAMA DE SEGURIDAD ALIMENTARIA</t>
  </si>
  <si>
    <t>NO. DE ADULTOS MAYORES ATENDIDOS ANUALMENTE EN PROGRAMAS DE SEGURIDAD ALIMENTARIA</t>
  </si>
  <si>
    <t xml:space="preserve">ALFABETIZAR Y ELEVAR EL NIVEL EDUCATIVO A 3.817 ADULTOS Y ADULTAS MAYORES, DURANTE EL CUATRIENIO, CON PRIORIDAD EN LA POBLACIÓN EN CONDICIÓN DE EXTREMA POBREZA. </t>
  </si>
  <si>
    <t>NO. DE ADULTOS MAYORES ALFABETIZADOS EN EL CUATRIENIO</t>
  </si>
  <si>
    <t>NO. DE INICIATIVAS PRODUCTIVAS DE ADULTOS MAYORES APOYADAS</t>
  </si>
  <si>
    <t>CREAR EN LOS 2 PRIMEROS AÑOS EL BANCO DE SABERES Y TALENTOS DE PERSONAS ADULTAS MAYORES LIDERES EN LA TRANSMISIÓN DEL CONOCIMIENTO, HABILIDADES, EXPERIENCIA Y SABIDURÍA.</t>
  </si>
  <si>
    <t>BANCO DE SABERES Y TALENTOS CREADO</t>
  </si>
  <si>
    <t>CELEBRAR EN EL CUATRIENIO 6 ENCUENTROS DE ADULTAS Y ADULTOS MAYORES E INTERGENERACIONALES</t>
  </si>
  <si>
    <t>NO. DE ENCUENTROS INTERGENERACIONALES CELEBRADOS</t>
  </si>
  <si>
    <t>CONTRIBUÍR CON ESPACIOS DE INTEGRACIÓN PARA LOS ADULTOS MAYORES, FORTALECIENDO EN EL CUATRIENIO LA OPERACIÓN DE 160 LUDOTECAS CON AMBIENTE E IMPLEMENTOS ADECUADOS</t>
  </si>
  <si>
    <t>NO. DE LUDOTECAS CON AMBIENTE Y DOTACIÓN ADECUADA PARA LOS ADULTOS MAYORES</t>
  </si>
  <si>
    <t>CONTRIBUÍR AL FORTALECIMIENTO SOCIAL Y A LA CALIDAD DE VIDA DE 18.000 ADULTAS Y ADULTOS MAYORES MEDIANTE LA PARTICIPACIÓN EN ENCUENTROS DEPORTIVOS AUTOCTONOS, OLIMPIADAS DEPARTAMENTALES "VEJEZ DIVINO TESORO"</t>
  </si>
  <si>
    <t>NO. DE ADULTOS MAYORES QUE PARTICIPAN EN LAS OLIMPIADAS DEPARTAMENTALES "VEJEZ DIVINO TESORO"</t>
  </si>
  <si>
    <t>PROMOCIONAR EL PROYECTO DE ACTIVIDAD FÍSICA A 17.863 ADULTOS Y ADULTAS MAYORES PARA MEJORAR LOS ESTILOS DE VIDA SALUDABLE PARA LA COMUNIDAD DEL DEPARTAMENTO</t>
  </si>
  <si>
    <t>NO. DE ADULTOS MAYORES BENEFICIARIOS DEL PROGRAMA DE ACTIVIDAD FÍSICA</t>
  </si>
  <si>
    <t>APOYAR EL PROCESO FORMATIVO DE LAS Y LOS ADULTOS MAYORES CON EL FORTALECIMIENTO DE 100 BIBLIOTECAS PÚBLICAS MUNICIPALES EN EL CUATRIENIO</t>
  </si>
  <si>
    <t>NO. DE BILIOTECAS APOYADAS PARA LA ATENCIÓN DE ADULTOS MAYORES</t>
  </si>
  <si>
    <t>APOYAR EL DESARROLLO INTEGRAL A TRAVÉS DE PROCESOS DE FORMACIÓN ARTÍSTICA Y CULTURAL DE LAS Y LOS ADULTOS MAYORES EN 5 MUNICIPIOS ANUALMENTE</t>
  </si>
  <si>
    <t>MUNICIPIOS APOYADOS ANUALMENTE CON PROCESOS DE FORMACIÓN ARTÍSTICA Y CULTURAL PARA ADULTOS MAYORES</t>
  </si>
  <si>
    <t>GARANTIZAR ANUALMENTE EL PAGO DEL 100% DE LA NÓMINA DE PENSIONADOS Y SUSTITUTOS DEL MAGISTERIO DEL DEPARTAMENTO DE CUNDINAMARCA</t>
  </si>
  <si>
    <t>% DE PAGO DE NÓMINA DE PENSIONADOS Y SUSTITUTOS DEL MAGISTERIO</t>
  </si>
  <si>
    <t>TRES ESPACIOS Y/O DINAMICAS DE PARTICIPACIÒN PROMUEVEN CIUDADADANIA EN LOS Y LAS ADULLTAS MAYORES (CONSEJO DE POLITICA SOCIAL, COMITÉ DE ADULTO MAYOR, ENTRE OTROS)</t>
  </si>
  <si>
    <t>NO. DE ESPACIOS Y/O DINAMICAS QUE FORTALECEN EL DERECHO A LA PARTICIPACIÓN EN LOS Y LAS ADULTAS MAYORES</t>
  </si>
  <si>
    <t>% DE ADULTOS MAYORES BENEFICIADOS CON EXPEDICIÓN Y/O ACTUALIZACIÓN DE DOCUMENTOS DE IDENTIDAD</t>
  </si>
  <si>
    <t>PROTEGER INTEGRALMENTE A 630 ADULTAS Y ADULTOS MAYORES CADA AÑO EN LOS CENTROS DE PROTECCIÓN DE LA BENEFICENCIA DE CUNDINAMARCA</t>
  </si>
  <si>
    <t>NO. DE PERSONAS MAYORES ATENDIDOS CADA AÑO EN LOS CENTROS DE LA BENEFICENCIA</t>
  </si>
  <si>
    <t>GARANTIZAR LA ATENCIÓN INTEGRAL AL 100% DE LAS Y LOS ADULTOS MAYORES VÍCTIMAS Y POSIBLES VÍCTIMAS DE TRATA DE PERSONAS QUE LO DEMANDEN</t>
  </si>
  <si>
    <t>% DE ADULTOS MAYORES VÍCTIMAS Y POSIBLES VÍCTIMAS DE TRATA DE PERSONAS CON ATENCIÓN INTEGRAL</t>
  </si>
  <si>
    <t>IMPLEMENTAR EN EL CUATRIENIO EN 35 MUNICIPIOS EL PROGRAMA DE CUIDADORES DE PERSONAS ADULTAS MAYORES</t>
  </si>
  <si>
    <t>NO. DE MUNICIPIOS CON PROGRAMA DE CUIDADORES DE PERSONAS ADULTAS MAYORES</t>
  </si>
  <si>
    <t>RED DE ACTORES INSTITUCIONALES CON PROTOCOLO INTERVIENEN EN LOS 116 MUNICIPIOS PARA LA PREVENCIÓN DE HOMICIDIOS Y LA COMISION DE DELITOS EN LOS ADULTOS MAYORES</t>
  </si>
  <si>
    <t>NO. DE MUNICIPIOS CON PROTOCOLO DE INTERVENCIÓN PARA PREVENCIÓN DE LOS HOMICIDIOS Y LA COMISION DE DELITOS EN ADLTOS MAYORES</t>
  </si>
  <si>
    <t>CONTRIBUIR TÉCNICA Y FINANCIERAMENTE DURANTE EL CUATRIENIO PARA QUE 500 FAMILIAS URBANAS, ACCEDAN A VIVIENDAS NUEVAS (VIS Y VIP) Y REUBICACIÓN, A TRAVÉS DE PROGRAMAS DE CONSTRUCCIÓN DE INFRAESTRUCTURA URBANÍSTICA, EN CONJUNTO CON LAS DEMÁS ENTIDADES COOP</t>
  </si>
  <si>
    <t>NO. DE FAMILIAS APOYADAS CON INFRAESTRUCTURA URBANÍSTICA</t>
  </si>
  <si>
    <t>CONTRIBUIR TÉCNICA Y FINANCIERAMENTE DURANTE EL CUATRIENIO PARA QUE 3.000 FAMILIAS ACCEDAN A VIVIENDAS NUEVAS RURALES (VISR) Y REUBICACIÓN, A TRAVÉS DE PROGRAMAS DE CONSTRUCCIÓN EN CONJUNCIÓN CON LAS DEMÁS ENTIDADES COOPERANTES DEL SNV</t>
  </si>
  <si>
    <t>NO. DE FAMILIAS RURALES APOYADAS CON PROYECTOS DE CONSTRUCCIÓN DE VIVIENDA NUEVA EN EL CUATRIENIO</t>
  </si>
  <si>
    <t>APOYAR EN EL CUATRIENIO A 5.000 FAMILIAS URBANAS, TÉCNICA Y FINANCIERAMENTE, A TRAVÉS DE PROGRAMAS DE CONSTRUCCIÓN DE VIVIENDA NUEVA VIS Y VIP Y REUBICACIÓN EN CONJUNCIÓN CON LAS DEMÁS ENTIDADES COOPERANTES DEL SNV.</t>
  </si>
  <si>
    <t>NO. DE FAMILIAS URBANAS APOYADAS CON PROYECTOS DE CONSTRUCCIÓN DE VIVIENDA NUEVA EN EL CUATRIENIO</t>
  </si>
  <si>
    <t>NO. DE FAMILIAS RURALES APOYADAS CON PROYECTOS DE MEJORAMIENTO DE VIVIENDA EN EL CUATRIENIO</t>
  </si>
  <si>
    <t>APOYAR EN EL CUATRIENIO A 1.000 FAMILIAS URBANAS, TÉCNICA Y FINANCIERAMENTE, A TRAVÉS DE PROGRAMAS DE MEJORAMIENTO DE VIVIENDAS, EN CONJUNCIÓN CON LAS DEMÁS ENTIDADES COOPERANTES DEL SNV. CON PRIORIDAD EN LAS FAMILIAS DE POBREZA EXTREMA</t>
  </si>
  <si>
    <t>NO. DE FAMILIAS URBANAS APOYADAS CON PROYECTOS DE MEJORAMIENTO DE VIVIENDA EN EL CUATRIENIO</t>
  </si>
  <si>
    <t>NO. DE VIVIENDAS MEJORADAS CON PISOS EN CONCRETO ANTIBACTERIAL</t>
  </si>
  <si>
    <t>CONTRIBUIR AL BUEN HABITAT DE 500 FAMILIAS URBANAS CON PROGRAMAS DE MEJORAMIENTO BARRIAL INTEGRAL DURANTE EL CUATRIENIO</t>
  </si>
  <si>
    <t>NO. DE VIVIENDAS ATENDIDAS A TRAVÉS DE PROGRAMAS DE MEJORAMIENTO BARRIAL</t>
  </si>
  <si>
    <t>PROMOVER LA TITULACIÓN PREDIAL APOYANDO TÉCNICA, JURÍDICA Y SOCIALMENTE A 250 HOGARES URBANOS Y RURALES EN EL CUATRIENIO</t>
  </si>
  <si>
    <t>NO. PREDIOS TITULADOS EN EL CUATRIENIO</t>
  </si>
  <si>
    <t>FORTALECER INSTITUCIONALMENTE EN EL CUATRIENIO A LOS 116 MUNICIPIOS EN HERRAMIENTAS DE GESTIÓN DEL SUELO, FORMULACIÓN DE PROYECTOS DE VIVIENDA Y NORMATIVIDAD URBANA</t>
  </si>
  <si>
    <t>NO. DE MUNICIPIOS FORTALECIDOS EN GESTIÓN DEL SUELO, PROYECTOS DE VIVIENDA Y NORMATIVIDAD URBANA</t>
  </si>
  <si>
    <t>POBREZA</t>
  </si>
  <si>
    <t>NO. DE FAMILIAS DE LA RED UNIDOS ATENDIDAS CON ESTRATEGIAS DE RESPONSABILIDAD EMPRESARIAL Y COOPERACIÓN PUBLICA</t>
  </si>
  <si>
    <t>NO. DE NUEVAS FAMILIAS DE LA RED UNIDOS QUE AHORRAN A TRAVÉS DE MECANISMOS FORMALES Y NO FORMALES.</t>
  </si>
  <si>
    <t>BENEFICIAR EN EL CUATRIENIO A 11.000 FAMILIAS EN ESTADO DE INSEGURIDAD ALIMENTARIA A TRAVÉS DE LOS BANCOS DE ALIMENTOS.</t>
  </si>
  <si>
    <t>NO. DE FAMILIAS BENEFICIADAS CON BANCOS DE ALIMENTOS EN EL CUATRIENIO</t>
  </si>
  <si>
    <t>BENEFICIAR EN EL CUATRIENIO A 5.000 PERSONAS EN SITUACIÓN DE INSEGURIDAD ALIMENTARIA A TRAVÉS DE LAS PLANTAS DE SOYA.</t>
  </si>
  <si>
    <t>NO. DE PERSONAS BENEFICIADAS CON PLANTAS DE SOYA EN EL CUATRIENIO</t>
  </si>
  <si>
    <t>PROMOVER QUE EL 100% DE LAS FAMILIAS EN POBREZA EXTREMA CONOZCAN LAS RUTAS DE ATENCIÓN DE LOS SERVICIOS DE JUSTICIA Y ACCEDAN A ESTOS DE MANERA OPORTUNA Y EFICAZ.</t>
  </si>
  <si>
    <t>% DE FAMILIAS EN POBREZA EXTREMA QUE CONOCEN Y ACCEDEN DE MANERA OPORTUNA Y EFICAZ AL SISTEMA DE JUSTICIA.</t>
  </si>
  <si>
    <t xml:space="preserve">INCREMENTAR EN EL CUATRIENIO EL ÍNDICE DE CAPTACIÓN DE LOS PACIENTES SINTOMÁTICOS DE PIEL Y SISTEMA NERVIOSO PERIFÉRICO A 1 POR CADA 1.000 HABITANTES, </t>
  </si>
  <si>
    <t>ÍNDICE DE CAPTACIÓN DE PACIENTES SINTOMÁTICOS DE PIEL Y SISTEMA NERVIOSO PERIFÉRICO</t>
  </si>
  <si>
    <t>INCREMENTAR EN EL CUATRIENIO, EN 10 PUNTOS PORCENTUALES LA BÚSQUEDA DE LAS Y LOS PACIENTES SINTOMÁTICOS RESPIRATORIOS PARA EL DIAGNOSTICO DE LA TUBERCULOSIS PULMONAR</t>
  </si>
  <si>
    <t>ÍNDICE DE CAPTACIÓN DE PACIENTES SINTOMÁTICOS RESPIRATORIOS PARA EL DIAGNOSTICO DE LA TUBERCULOSIS PULMONAR</t>
  </si>
  <si>
    <t>REDUCIR EN EL CUATRENIO LOS ÍNDICES DE INFESTACIÓN LARVARIO AEDES AEGYPTI (DENGUE) AL 10%</t>
  </si>
  <si>
    <t xml:space="preserve"> ÍNDICE DE INFESTACIÓN LARVARIO AEDES AEGYPTI </t>
  </si>
  <si>
    <t>NO. DE COBERTURA DE PRUEBAS DE VIH</t>
  </si>
  <si>
    <t>IMPLEMENTAR LA ASISTENCIA TÉCNICA EN EL MARCO DE LA ATENCIÓN DEL SISTEMA GENERAL DE SEGURIDAD SOCIAL EN SALUD EN EL 50% DE LOS MUNICIPIOS Y LAS DEMÁS EMPRESAS ADMINISTRADORAS DE PLANES DE BENEFICIOS</t>
  </si>
  <si>
    <t>% DE ADMINISTRADORAS DE PLANES DE BENEFICIO Y MUNICIPIOS CON ASISTENCIA TÉCNICA IMPLEMENTADA</t>
  </si>
  <si>
    <t>GESTIONAR EL ACCESO A LA PRESTACIÓN DE SERVICIOS DE SALUD AL 100% DE LA POBLACIÓN POBRE NO ASEGURADA QUE DEMANDE LAS ATENCIONES EN SALUD Y AFILIADA AL RÉGIMEN SUBSIDIADO EN LO NO CUBIERTO POR SUBSIDIOS A LA DEMANDA DEL DEPARTAMENTO</t>
  </si>
  <si>
    <t>% DE PERSONAS ATENDIDAS DE LA POBLACIÓN POBRE NO ASEGURADA Y AFILIADA AL RÉGIMEN SUBSIDIADO EN LO NO CUBIERTO POR SUBSIDIOS QUE DEMANDAN SERVICIOS DE SALUD</t>
  </si>
  <si>
    <t>MONITOREAR EN EL 60% DE LAS EMPRESAS ADMINISTRADORAS DE PLANES DE BENEFICIO LA CALIDAD DE LA PRESTACIÓN DE LOS SERVICIOS DE SALUD A LA POBLACIÓN ASEGURADA</t>
  </si>
  <si>
    <t>% DE EMPRESAS ADMINISTRADORAS DE PLANES DE BENEFICIO MONITOREADAS</t>
  </si>
  <si>
    <t>ETNIAS</t>
  </si>
  <si>
    <t>APOYAR A LA POBLACIÓN PERTENECIENTES A GRUPOS ETNICOS, RESPETANDO SU COSMOVISION, SABERES, IDENTIDAD CULTURAL E IMAGINARIOS, CON 5 EVENTOS ARTÍSTICOS Y/O CULTURALES FOCALIZADOS DURANTE EL CUATRIENIO</t>
  </si>
  <si>
    <t>NO. DE EVENTOS ARTÍSTICOS Y/O CULTURALES FOCALIZADAS A LA POBLACIÓN PERTENECIENTE A GRUPOS ÉTNICOS</t>
  </si>
  <si>
    <t xml:space="preserve">NO. DE PLANES DE VIDA PARA GRUPOS INDÍGENAS CONSTRUIDOS </t>
  </si>
  <si>
    <t>IMPLEMENTAR Y EJECUTAR UN PROYECTO DE RECONOCIMIENTO Y AUTORRECONOCIMIENTO DE LA IDENTIDAD ETNICA.</t>
  </si>
  <si>
    <t>NO. DE PROYECTOS DE IDENTIDAD ETNICA IMPLEMENTADOS</t>
  </si>
  <si>
    <t>6 COMUNIDADES PERTENECIENTES A GRUPOS ETNICOS FORTALECIDAS Y ASESORADAS EN GESTION, AUTODETERMINACION, PRODUCTIVIDAD, INSTITUCIONALIDAD Y LIDERAZGO.</t>
  </si>
  <si>
    <t>NO DE COMUNIDADES ASESORADAS</t>
  </si>
  <si>
    <t>6 EVENTOS CONMEMORATIVOS DE LA DIVERSIDAD ETNICA REALIZADOS</t>
  </si>
  <si>
    <t>NO DE EVENTOS DE CONMEMORACIÓN DE LA DIVERSIDAD ETNICA REALIZADOS</t>
  </si>
  <si>
    <t>DISCAPACIDAD</t>
  </si>
  <si>
    <t>APOYAR EN EL CUATRIENIO A 2.000 PERSONAS CON DISCAPACIDAD, FAMILIAS Y/O CUIDADORES CON INGRESOS, POR EMPLEO, PROYECTOS PRODUCTIVOS</t>
  </si>
  <si>
    <t xml:space="preserve">NO. DE PERSONAS CON DISCPACIDAD PCD, FAMILIS Y/O CUIDADORES EN PROYECTOS AUTOSOSTENIBLES </t>
  </si>
  <si>
    <t>INCLUIR EN EL CUATRIENIO A 400 FAMILIAS Y/O CUIDADORES EN DINAMICAS SOCIALES, LUDICAS, COMUNITARIAS Y CON HERRAMIENTAS PARA EL MANEJO DE LA DISCAPACIDAD E INTEGRACIÒN FAMILIAR.</t>
  </si>
  <si>
    <t>NO. DE FAMILIAS Y/O CUIDADORES EN DINAMICAS SOCIALES, LUDICAS Y CON HERRAMIENATS PARA EL MANEJO DE LA DISCAPACIDAD</t>
  </si>
  <si>
    <t>APOYAR A LA POBLACIÓN EN CONDICIÓN DE DISCAPACIDAD CON 5 EVENTOS ARÍSTICOS Y/O CULTURALES FOCALIZADOS EN EL CUATRIENIO</t>
  </si>
  <si>
    <t>NO. DEEVENTOS ARTISTICOS Y/O CULTURALES PARA LA POBLACIÓN DISCAPACITADA</t>
  </si>
  <si>
    <t>AUMENTAR DURANTE EL CUATRIENIO AL 100% DE LOS MUNICIPIOS LA COBERTURA DE LOS PROGRAMAS EN SALUD PARA LA POBLACIÓN EN CONDICION DE DISCAPACIDAD (CENTROS DE VIDA SENSORIAL, AYUDAS TÉCNICAS Y/O REHABILITACIÓN BASADA EN COMUNIDAD)</t>
  </si>
  <si>
    <t>% DE MUNICIPIOS CON COBERTURA DE PROGRAMAS EN SALUD PARA POBLACIÓN EN CONDICIÓN DE DISCAPACIDAD</t>
  </si>
  <si>
    <t>ATENDER INTEGRALMENTE A 1.200 PERSONAS CON DISCAPACIDAD MENTAL, CADA AÑO, EN LOS CENTROS DE PROTECCIÓN DE LA BENEFICENCIA DE CUNDINAMARCA</t>
  </si>
  <si>
    <t>NO. DE PERSONAS EN SITUACION DE DISCAPACIDAD MENTAL ATENDIDOS CADA AÑO EN LOS CENTROS DE LA BENEFICENCIA</t>
  </si>
  <si>
    <t>DINAMICA FAMILIAR</t>
  </si>
  <si>
    <t>FORMAR EN EL CUATRIENIO A 120 ORIENTADORES Y ORIENTADORAS, PARA VINCULAR A 5.000 FAMILIAS EN LAS QUE LOS PADRES SEAN SUJETOS ACTIVOS DEL PROCESO FORMATIVO Y EDUCATIVO DE SUS HIJOS E HIJAS.</t>
  </si>
  <si>
    <t>NO. DE ORIENTADORES CAPACITADOS</t>
  </si>
  <si>
    <t>NO. DE FAMILIAS ATENDIDAS CON ESTRATEGIAS DE COMUNICACIÓN PARA PREVENIR LA VIOLENCIA INTRAFAMILIAR</t>
  </si>
  <si>
    <t>FORMULAR EN EL CUATRIENIO LAS POLÍTICAS PÚBLICAS POBLACIONALES DE POBLACIÓN EN CONDICIÓN DE DISCAPACIDAD; PRIMERA INFANCIA, INFANCIA Y ADOLESCENCIA; FAMILIA; SEGURIDAD ALIMENTARIA Y NUTRICIONAL , VEJEZ Y ENVEJECIMIENTO, ENTRE OTRAS. CON ENFOQUE DIFEREN</t>
  </si>
  <si>
    <t>NO. DE POLÍTICAS PÚBLICAS DEPARTAMENTALES POBLACIONALES FORMULADAS</t>
  </si>
  <si>
    <t>IMPLEMENTAR EN LOS 116 MUNICIPIOS UNA ESTRATEGIA DE MOVILIZACION SOCIAL Y GESTIÓN DEL PLAN DE INTERVENCIONES COLECTIVAS PARA FORTALECER LOS PROGRAMAS INTEGRALES DE LAS ETAPAS DEL CICLO VITAL</t>
  </si>
  <si>
    <t xml:space="preserve">NO. DE MUNICIPIOS CON ESTRATEGIA DE MOVILIZACIÓN SOCIAL Y GESTIÓN DEL PLAN DE INTERVENCIONES COLECTIVAS IMPLEMENTADA </t>
  </si>
  <si>
    <t>MANTENER CADA AÑO LA COFINANCIACIÓN DEL ASEGURAMIENTO AL RÉGIMEN SUBSIDIADO EN LOS 116 MUNICIPIOS DEL DEPARTAMENTO</t>
  </si>
  <si>
    <t>NO. DE MUNICIPIOS COFINANCIADOS PARA EL ASEGURAMIENTO AL RÉGIMEN SUBSIDIADO</t>
  </si>
  <si>
    <t>IMPLEMENTAR LA ESTRATEGIA "CUNDINAMARCA ASEGURADA Y SALUDABLE" EN LOS 116 MUNICIPIOS</t>
  </si>
  <si>
    <t>NO. DE MUNICIPIOS CON LA ESTRETEGIA "CUNDINAMARCA SEGURADA Y SALUDABLE" IMPLEMENTADA</t>
  </si>
  <si>
    <t>FOMENTAR LA TRADICIÓN, LA CULTURA Y LAS ARTES CON EVENTOS ARTÍSTICOS Y CULTURALES EN 90 MUNICIPIOS CADA AÑO</t>
  </si>
  <si>
    <t>NO. DE EVENTOS MUNICIPALES QUE FOMENTAN LA TRADICIÓN, LA CULTURA Y LAS ARTES CADA AÑO</t>
  </si>
  <si>
    <t xml:space="preserve">REALIZAR ACCIONES DE PREVENCIÓN PARA MEJORAR LA CONVIVENCIA EN LOS 116 MUNICIPIOS MEDIANTE LA IMPLEMENTACIÓN DE LA ESTRATEGIA "DEPORTE, CONVIVENCIA Y PAZ" </t>
  </si>
  <si>
    <t>NO. DE MUNICIPIOS CON IMPLEMENTACIÓN DE LA ESTRATEGIA "DEPORTE, CONVIVENCIA Y PAZ"</t>
  </si>
  <si>
    <t>FOMENTAR LA ACTIVIDAD FÍSICA Y LA INTEGRACIÓN SOCIAL MEDIANTE LA ADECUACIÓN EN EL CUATRIENIO DE 40 PARQUES BIOSALUDABLES</t>
  </si>
  <si>
    <t>NO. DE PARQUES BIOSALUDABLES INSTALADOS</t>
  </si>
  <si>
    <t>FORTALECER LA ACTIVIDAD FÍSICA EN 400.000 PERSONAS CADA AÑO MEDIANTE LA PARTICIPACIÓN EN LAS MARATONES DE AEROBICOS Y EN EL DÍA DEL DESAFIO</t>
  </si>
  <si>
    <t>NO. DE PERSONAS QUE PARTICIPAN EN EVENTOS MASIVOS DE ACTIVIDAD FÍSICA</t>
  </si>
  <si>
    <t>PROMOVER LA AFILIACIÓN AL 100% DE LA POBLACIÓN OBJETO DE ASEGURAMIENTO AL RÉGIMEN SUBSIDIADO EN EL DEPARTAMENTO</t>
  </si>
  <si>
    <t>% DE POBLACION OBJETO DE ASEGURAMIENTO AFILIADA</t>
  </si>
  <si>
    <t>INCREMENTAR EN EL DEPARTAMENTO EN 0.8 PUNTOS PORCENTUALES EL ASEGURAMIENTO AL RÉGIMEN CONTRIBUTIVO</t>
  </si>
  <si>
    <t>PUNTOS PORCENTUALES DE INCREMENTO DEL ASEGURAMIENTO AL RÉGIMEN CONTRIBUTIVO</t>
  </si>
  <si>
    <t>DESARROLLO INTEGRAL DE LA MUJER</t>
  </si>
  <si>
    <t>GENERAR EN LAS MUJERES MAYOR AUTONOMÍA ECONÓMICA, APOYANDO A 500 PROYECTOS PRODUCTIVOS, ENTRE OTROS CON EL FONDO EMPRESARIAL PARA LA MUJER CUNDINAMARQUESA Y LA RED DE EMPRESARIAS DEL DEPARTAMENTO</t>
  </si>
  <si>
    <t>NO. DE PROYECTOS PRODUCTIVOS LIDERADOS POR MUJERES APOYADOS</t>
  </si>
  <si>
    <t>TRANSFERIR CAPACIDADES Y HABILIDADES A 2.000 MUJERES EN EMPRENDIMIENTO, DESARROLLO EMPRESARIAL Y GESTIÓN DE PROYECTOS DURANTE EL CUATRIENIO</t>
  </si>
  <si>
    <t>NO DE MUJERES VINCULADAS AL MÓDULO DE CAPACITACIÓN EN EMPRESARISMO Y GESTIÓN DE PROYECTOS</t>
  </si>
  <si>
    <t>INSTITUCIONALIZAR E IMPLEMENTAR EN EL CUATRENIO UNA ESCUELA DE FORMACIÓN Y CAPACITACIÓN DE MUJERES EN LIDERAZGO, POLÍTICA Y GÉNERO EN EL DEPARTAMENTO, DE ACUERDO A LA ORDENANZA 99 DE 2011</t>
  </si>
  <si>
    <t>ESCUELA DE FORMACIÓN Y CAPACITACIÓN DE MUJERES OPERANDO</t>
  </si>
  <si>
    <t>PROMOVER EN EL CUATRIENIO LA PARTICIPACIÓN DE LAS MUJERES EN EL 100% DE LOS ORGANISMOS COMUNALES</t>
  </si>
  <si>
    <t>% DE ORGANIZACIONES DE MUJERES FORTALECIDAS</t>
  </si>
  <si>
    <t>FORTALECER EL 100% DE LAS ORGANIZACIONES DE MUJERES EXISTENTES EN EL DEPARTAMENTO</t>
  </si>
  <si>
    <t>CREAR EL 100% DE LAS INSTANCIAS DEPARTAMENTALES DE MUJER Y GÉNERO ESTABLECIDAS EN LA ORDENANZA 099 DE 2011</t>
  </si>
  <si>
    <t>% DE CREACIÓN DE INSTANCIAS DE MUJER Y GÉNERO ESTABLECIDAS EN LA ORDENANZA 099 DE 2011</t>
  </si>
  <si>
    <t>MUJER LIBRE DE VIOLENCIA</t>
  </si>
  <si>
    <t>IMPLEMENTAR EN EL CUATRIENIO LA RUTA DE ATENCIÓN Y PROTECCIÓN A LA MUJER</t>
  </si>
  <si>
    <t>RUTA DE ATENCIÓN Y PROTECCION A LA MUJER IMPLEMENTADA</t>
  </si>
  <si>
    <t>116 MUNICIPIOS APOYADOS PARA LA IMPLEMENTACIÓN DE ESTRATEGIAS DE PREVENCIÓN DE LA VIOLENCIA DE LA MUJER CON ENFOQUE MULTISECTORIAL Y TRANSVERSAL</t>
  </si>
  <si>
    <t>NO. DE MUNICIPIOS APOYADO CON ESTRATEGIAS PARA PREVENCIÓN DE LA VIOENCIA CONTRA LA MUJER</t>
  </si>
  <si>
    <t>CREAR EL COMITÉ DE SEGUIMIENTO A LA IMPLEMENTACIÓN Y SEGUIMIENTO DE LA LEY 1257 DE 2008, ARTÍCULO 35</t>
  </si>
  <si>
    <t>COMITÉ DE SEGUIMIENTO A LA LEY 1257 ACTIVO</t>
  </si>
  <si>
    <t>INFRAESTRUCTURA SOCIAL</t>
  </si>
  <si>
    <t>CONSTRUIR, ADECUAR Y/O MANTENER EN EL CUATRIENIO 500 SEDES EDUCATIVAS EN LOS MUNICIPIOS NO CERTIFICADOS DEL DEPARTAMENTO</t>
  </si>
  <si>
    <t>NO. DE SEDES EDUCATIVAS INTERVENIDAS EN EL CUATRIENIO</t>
  </si>
  <si>
    <t>CONSTRUIR, AMPLIAR, ADECUAR Y MANTENER LA INFRAESTRUCTURA FÍSICA DEL CENTRO REGULADOR DE URGENCIAS, EMERGENCIAS Y DESASTRES, QUE INCLUYA LA ADECUACIÓN DE LA SALA DE CRISIS DE EMERGENCIAS Y DESASTRES DEL DEPARTAMENTO.</t>
  </si>
  <si>
    <t>INTERVENCIÓN DEL CENTRO REGULADOR DE URGENCIAS, EMERGENCIAS Y DESASTRES.</t>
  </si>
  <si>
    <t>CONSTRUIR Y/O TERMINAR EN EL CUATRIENIO LA INFRAESTRUCTURA FÍSICA DE 6 IPS QUE CONFORMAN LA RED PÚBLICA DEL DEPARTAMENTO (HOSPITALES, CENTROS Y/O PUESTOS DE SALUD) PARA MEJORAR LA PRESTACIÓN DE SERVICIOS DE SALUD CON CALIDAD, ACCESO EFECTIVO Y OPORTUNIDA</t>
  </si>
  <si>
    <t>NO. DE IPS CONSTRUIDAS EN EL CUATRIENIO</t>
  </si>
  <si>
    <t xml:space="preserve"> MEJORAR DURANTE EL CUATRIENIO LAS CONDICIONES DE CAPACIDAD TECNOLÓGICA Y CIENTÍFICA DEL SISTEMA ÚNICO DE HABILITACIÓN EN EL COMPONENTE DE INFRAESTRUCTURA EN EL 25% DE LAS EMPRESAS SOCIALES DEL ESTADO CON ÉNFASIS EN LA BAJA COMPLEJIDAD.</t>
  </si>
  <si>
    <t>% DE EMPRESAS SOCIALES DEL ESTADO CON EL COMPONENTE DE INFRAESTRUCTURA MEJORADO.</t>
  </si>
  <si>
    <t>CONSTRUIR, ADECUAR Y MANTENER EN EL CUATRIENIO 50 ESPACIOS SOCIALES DE RECREACIÓN Y DEPORTE</t>
  </si>
  <si>
    <t xml:space="preserve">NO. DE ESPACIOS DE RECREACIÓN Y DEPORTE INTERVENIDOS EN EL CUATRIENIO </t>
  </si>
  <si>
    <t>ADECUAR, MANTENER Y CONSERVAR 8 BIENES INMUEBLES DE INTERÉS CULTURAL EN EL CUATRIENIO</t>
  </si>
  <si>
    <t>NO. DE BIENES DE INTERÉS CULTURAL APOYADOS PARA SU CONSERVACIÓN EN EL CUATRIENIO</t>
  </si>
  <si>
    <t>ADECUAR Y MANTENER 6 ESPACIOS CULTURALES EN EL CUATRIENIO</t>
  </si>
  <si>
    <t>NO. DE ESPACIOS DE INTERÉS CULTURAL APOYADOS PARA SU CONSERVACIÓN EN EL CUATRIENIO</t>
  </si>
  <si>
    <t>AUNAR ESFUERZOS PARA LA CONSTRUCCIÓN DE UNA UNIDAD BÁSICA DE REHABILITACIÓN INTEGRAL EN EL CUATRIENIO</t>
  </si>
  <si>
    <t>UNIDAD BÁSICA DE REHABILITACIÓN CONSTRUIDA</t>
  </si>
  <si>
    <t>CONSTRUIR EN EL CUATRIENIO UN CENTRO REGIONAL DE ATENCIÓN A VICTIMAS DEL CONFLICTO ARMADO - VCA EN EL MUNICIPIO DE SOACHA</t>
  </si>
  <si>
    <t>NO. CENTROS REGIONALES DE ATENCIÓN A VICTIMAS CONSTRUIDOS</t>
  </si>
  <si>
    <t>COFINANCIAR LA ELABORACIÓN DE 21 ESTUDIOS DE VULNERABILIDAD SÍSMICA Y REFORZAMIENTO ESTRUCTURAL ACTUALIZADOS A LA NORMA NSR 10 PARA HOSPITALES DE LA RED PÚBLICA, QUE PERMITIRÁN ESTABLECER LAS NECESIDADES DE INTERVENCIÓN A LAS EDIFICACIONES HOSPITALARIAS.</t>
  </si>
  <si>
    <t>NO. DE HOSPITALES QUE CUENTEN CON ESTUDIOS DE VULNERABILIDAD SÍSMICA Y DE REFORZAMIENTO ESTRUCTURAL.</t>
  </si>
  <si>
    <t>VIDA, INTEGRIDAD, LIBERTAD Y SEGURIDAD</t>
  </si>
  <si>
    <t>IMPLEMENTAR DURANTE EL CUATRIENIO 116 PLANES DE PREVENCIÓN MUNICIPAL Y UNO DEPARTAMENTAL</t>
  </si>
  <si>
    <t>NO. DE PLANES MUNICIPALES Y DEPATAMENTAL ACTIVAS</t>
  </si>
  <si>
    <t>ACTIVAR DURANTE EL CUATRIENIO 116 RUTAS DE PROTECCIÓN</t>
  </si>
  <si>
    <t>NO. DE RUTAS DE PROTECCIÓN MUNICIPALES ACTIVAS</t>
  </si>
  <si>
    <t xml:space="preserve">BRINDAR DURANTE EL CUATRIENIO ATENCIÓN HUMANITARIA DE EMERGENCIA AL 100% DE LAS VICTIMAS DEL CONFLICTO ARMADO QUE LO SOLICITEN A TRAVÉS DE LOS CTJT MUNICIPALES (GASTOS FUNERARIOS, ALOJAMIETO DE EMERGENCIA, TRANSPORTE DE VCA) </t>
  </si>
  <si>
    <t>% VÍCTIMAS DEL CONFLICTO ARMADO CON ATENCIÓN HUMANITARIA</t>
  </si>
  <si>
    <t>FORTALECER DURANTE EL CUATRIENIO 116 CTJT DE LOS 116 MUNICIPIOS Y LA COMUNIDAD CON ASISTENCIA TÉCNICA</t>
  </si>
  <si>
    <t>NO. DE CTJT FORTALECIDAS</t>
  </si>
  <si>
    <t>AVANZAR DURANTE EL CUATRIENIO EN LA RESTITUCIÓN, LEGALIZACIÓN Y TITULACIÓN DE PREDIOS DEL 100% DE LA POBLACIÓN VÍCTIMA DE CONFLICTO ARMADO QUE LO REQUIERA.</t>
  </si>
  <si>
    <t>% PREDIOS RESTITUIDOS, LEGALIZADOS Y TITULADOS.</t>
  </si>
  <si>
    <t>EJECUTAR DURANTE EL CUATRIENIO EN EL 100% DE LOS MUNICIPIOS DEFINIDOS POR EL PROGRAMA DE LA VICEPRESIDENCIA DE LA REPÚBLICA, PLAN ESTRATÉGICO, EN CONTRA DE MINAS ANTIPERSONAL Y MUNICIONES DE GUERRA ABANDONADAS SIN EXPLOTAR.</t>
  </si>
  <si>
    <t>% DE MUNICIPIOS IDENTIFICADOS CON EL PLAN ESTRATÉGICO EJECUTADO</t>
  </si>
  <si>
    <t>NO. DE CAMPAÑAS PREVENTIVAS DE ESCNNA REALIZADAS</t>
  </si>
  <si>
    <t>ATENCION HUMANITARIA</t>
  </si>
  <si>
    <t>ATENDER DURANTE EL CUATRIENIO AL 100% (2.841) DE LAS VCA QUE SOLICITEN A TRAVÉS DEL CTJT MERCADOS Y KIT DE ASEO.</t>
  </si>
  <si>
    <t>% DE PVCA QUE SOLICITEN EL SUMINISTRO DE MERCADOS Y KIT DE ASEO</t>
  </si>
  <si>
    <t>ATENDER DURANTE EL CUATRIENIO AL 100% DE LOS NIÑOS, NIÑAS Y ADOLESCENTES, ADULTO MAYOR Y PERSONAS CON DISCAPACIDAD MENTAL VÍCTIMAS DEL CONFLICTO ARMADO QUE LO REQUIERAN, EN LOS CENTROS DE PROTECCIÓN DE LA BENEFICENCIA DE CUNDINAMARCA.</t>
  </si>
  <si>
    <t>% DE PERSONAS ATENDIDAS</t>
  </si>
  <si>
    <t>ATENCION INTEGRAL BASICA</t>
  </si>
  <si>
    <t>FORTALECER DURANTE EL CUATRIENIO CINCO (5) PROYECTOS DE RETORNO EN EL DEPARTAMENTO DE CUNDINAMARCA EN EL PROCESO DE ARTICULACIÓN INTERINSTITUCIONAL, NACIÓN, DEPARTAMENTO Y MUNICIPIOS.</t>
  </si>
  <si>
    <t>NO. DE PROYECTOS DE RETORNO FORTALECIDOS</t>
  </si>
  <si>
    <t>CONTRIBUIR A LA IDENTIFICACIÓN, REGISTRO CIVIL, TARJETA DE IDENTIDAD, CEDULAS DE CIUDADANÍA Y (LIBRETA MILITAR MAYORES DE 25 AÑOS) AL 100% DE LA PVCA, FOCALIZADOS Y PRIORIZADOS A TRAVÉS DE LA RED UNIDOS.</t>
  </si>
  <si>
    <t>% DE PERSONAS VCA CON DOCUMENTO DE IDENTIDAD Y LIBRETA MILITAR</t>
  </si>
  <si>
    <t>% DE FAMILIAS VCA ATENDIDAS EN LA PROBLEMÁTICA DE VIOLENCIA INTRAFAMILIAR</t>
  </si>
  <si>
    <t>MANTENER EN EL CUATRIENIO LAS ACCIONES DE PROMOCIÓN Y PREVENCIÓN EN SALUD MENTAL AL 100% DE LAS PERSONAS VÍCTIMAS DEL CONFLICTO ARMADO IDENTIFICADAS.</t>
  </si>
  <si>
    <t>% DE POBLACIÓN ATENDIDA CON SALUD MENTAL</t>
  </si>
  <si>
    <t>ATENDER DURANTE EL CUATRIENIO AL 100% (73) DE LAS MUJERES GESTANTES, LACTANTES Y ADULTOS MAYORES EN RIESGO DE DESNUTRICIÓN VÍCTIMAS DEL CONFLICTO ARMADO, FOCALIZADAS Y PRIORIZADAS A TRAVÉS DE LA RED UNIDOS</t>
  </si>
  <si>
    <t>% DE MUJERES ATENDIDAS</t>
  </si>
  <si>
    <t>ATENDER DURANTE EL CUATRIENIO AL 100% (32) DE LOS NIÑOS Y NIÑAS MENORES DE CINCO AÑOS EN RIESGO DE DESNUTRICIÓN VÍCTIMAS DEL CONFLICTO ARMADO, FOCALIZADOS Y PRIORIZADOS A TRAVÉS DE LA RED UNIDOS.</t>
  </si>
  <si>
    <t>% DE NN ATENDIDOS</t>
  </si>
  <si>
    <t>% DE FAMILIAS VCA CON INTEGRANTES CON DISCAPACIDAD ATENDIDAS</t>
  </si>
  <si>
    <t>GESTIONAR EL ACCESO A LA PRESTACIÓN DE SERVICIOS DE SALUD AL 100% DE LA POBLACIÓN VÍCTIMA DEL CONFLICTO ARMADO QUE DEMANDE SERVICIOS DE URGENCIAS COMO NO ASEGURADOS Y LOS AFILIADOS AL RS EN LO NO CUBIERTO POR SUBSIDIOS A LA DEMANDA DEL DEPARTAMENTO</t>
  </si>
  <si>
    <t>% DE POBLACIÓN VINCULADA</t>
  </si>
  <si>
    <t>PROMOVER LA AFILIACIÓN AL SGSSS AL 100% DE LA POBLACIÓN VÍCTIMA DEL CONFLICTO ARMADO QUE RESIDE EN EL DEPARTAMENTO MEDIANTE LA ESTRATEGIA CUNDINAMARCA ASEGURADA Y SALUDABLE.</t>
  </si>
  <si>
    <t>% DE POBLACIÓN VCA AFILIADA AL SGSSS</t>
  </si>
  <si>
    <t>IMPLEMENTAR LA ASISTENCIA TÉCNICA EN EL MARCO DE LA ATENCIÓN DEL SISTEMA GENERAL DE SEGURIDAD SOCIAL EN SALUD EN EL 50% DE LOS MUNICIPIOS Y LAS EMPRESAS ADMINISTRADORAS DE PLANES DE BENEFICIOS.</t>
  </si>
  <si>
    <t>% ENTES TERRITORIALES Y APB CON ASISTENCIA TÉCNICA IMPLEMENTADA</t>
  </si>
  <si>
    <t>MANTENER EN EL CUATRIENIO LAS ACCIONES DE PROMOCIÓN Y PREVENCIÓN EN VACUNACIÓN AL 100% DE LAS PERSONAS VÍCTIMAS DEL CONFLICTO ARMADO IDENTIFICADAS.</t>
  </si>
  <si>
    <t>% DE POBLACIÓN VCA ATENDIDA CON VACUNACIÓN</t>
  </si>
  <si>
    <t>MANTENER EN EL CUATRIENIO LAS ACCIONES DE PROMOCIÓN Y PREVENCIÓN EN SALUD SEXUAL Y REPRODUCTIVA AL 100% DE LAS PERSONAS VÍCTIMAS DEL CONFLICTO ARMADO IDENTIFICADAS.</t>
  </si>
  <si>
    <t>% DE POBLACIÓN VCA ATENDIDA EN SALUD SEXUAL Y REPRODUCTIVA</t>
  </si>
  <si>
    <t>CONFERIR DURANTE EL CUATRIENIO 600 AYUDAS TÉCNICAS PARA PROMOVER LA INCLUSIÓN SOCIAL A LA POBLACIÓN VÍCTIMA DEL CONFLICTO ARMADO EN CONDICIÓN DE DISCAPACIDAD.</t>
  </si>
  <si>
    <t>NO. DE PERSONAS VCA DISCAPACITADAS CON AYUDAS TÉCNICAS</t>
  </si>
  <si>
    <t>LOGRAR DURANTE EL CUATRIENIO MEJORES HABILIDADES OCUPACIONALES EN EL 100% DE LOS JÓVENES CON Y SIN DISCAPACIDAD VCA QUE SOLICITEN PROGRAMA DE CAPACITACIÓN.</t>
  </si>
  <si>
    <t>% DE JÓVENES EN CON MEJORES HABILIDADES OCUPACIONALES</t>
  </si>
  <si>
    <t>GENERAR DURANTE EL CUATRIENIO OPORTUNIDADES DE DESARROLLO AL 100% DE LAS MUJERES CABEZA DE HOGAR VCA CON Y SIN DISCAPACIDAD, QUE SOLICITEN.</t>
  </si>
  <si>
    <t>% DE MUJERES VCA CON OPORTUNIDADES DE DESARROLLO INTEGRAL</t>
  </si>
  <si>
    <t>ATENDER DURANTE EL CUATRIENIO 3.000 ESTUDIANTES EN SITUACIÓN DE DESPLAZAMIENTO DEL SECTOR OFICIAL CON SUBSIDIO DE TRANSPORTE ESCOLAR.</t>
  </si>
  <si>
    <t>NO. DE ESTUDIANTES VCA ATENDIDOS CON SUBSIDIO DE TRANSPORTE ESCOLAR</t>
  </si>
  <si>
    <t>VINCULAR AL 100% (2.329) DE LA POBLACIÓN EN SITUACIÓN DE DESPLAZAMIENTO EN EDAD ESCOLAR DE CUNDINAMARCA QUE DEMANDE EL SERVICIO EDUCATIVO.</t>
  </si>
  <si>
    <t>% DE ESTUDIANTES VCA MATRICULADOS</t>
  </si>
  <si>
    <t>REALIZAR DURANTE EL CUATRIENIO SEGUIMIENTO DEL SUMINISTRO DEL COMPLEMENTO NUTRICIONAL AL 100% (1.392) DE LOS ESTUDIANTES VINCULADOS AL SISTEMA EDUCATIVO VCA A TRAVÉS DE LA ENTIDAD COMPETENTE.</t>
  </si>
  <si>
    <t>% DE ESTUDIANTES VCA CON SEGUIMIENTO AL SUMINISTRO DEL COMPLEMENTO NUTRICIONAL</t>
  </si>
  <si>
    <t>PROMOVER DURANTE EL CUATRIENIO, ACTIVIDAD FÍSICA, JUEGOS DIDÁCTICOS, LÚDICAS, PRE DEPORTIVA PEDAGÓGICA A 3.776 Y Y LAS NIÑAS Y LOS NIÑOS DE 0 A 6 AÑOS VÍCTIMAS DEL CONFLICTO ARMADO.</t>
  </si>
  <si>
    <t>NO. DE NIÑOS Y NIÑAS VCA INCORPORADAS EN ACTIVIDADES LÚDICAS Y PRE DEPORTIVAS</t>
  </si>
  <si>
    <t>FOMENTAR DURANTE EL CUATRIENIO EN 400 MADRES COMUNITARIAS, HABILIDADES PARA EL ADECUADO MANEJO DEL DESARROLLO MOTRIZ DE LAS Y LOS MENORES DE 0 A 6 AÑOS, VCA.</t>
  </si>
  <si>
    <t>NO. MADRES COMUNITARIAS QUE APLICAN HABILIDADES DESARROLLO MOTRIZ DE LOS MENORES DE 6 AÑOS VCA</t>
  </si>
  <si>
    <t>PROMOVER CON ESCUELA DE FORMACIÓN DURANTE EL CUATRIENIO HABILIDAD DEPORTIVA A 1.363 NIÑAS Y NIÑOS DE 6 A 11 AÑOS VCA.</t>
  </si>
  <si>
    <t>NO. DE NIÑOS Y NIÑAS DE 6 A 11 AÑOS VCA CON HABILIDAD DEPORTIVA ESCUELAS DE FORMACIÓN</t>
  </si>
  <si>
    <t>PROMOVER LA PARTICIPACIÓN DE 2.000 NIÑAS Y NIÑOS VÍCTIMAS DEL CONFLICTO ARMADO EN LOS FESTIVALES DEPORTIVOS ESCOLARES POR AÑO.</t>
  </si>
  <si>
    <t>NO. DE NIÑOS Y NIÑAS QUE PARTICIPAN EN FESTIVALES DEPORTIVOS ESCOLARES</t>
  </si>
  <si>
    <t>IDENTIFICAR EL 100 % DE TALENTOS PARA SEMILLEROS DE DEPORTISTAS E INCLUIRLOS EN ENTRENAMIENTO DE ALTO RENDIMIENTO DE LAS VÍCTIMAS DEL CONFLICTO ARMADO.</t>
  </si>
  <si>
    <t>% DE TALENTOS DEPORTIVOS IDENTIFICADOS E INCLUIDOS EN ENTRENAMIENTO DE ALTO RENDIMIENTO</t>
  </si>
  <si>
    <t>PROMOVER DURANTE EL CUATRIENIO HABILIDAD DEPORTIVA DE 1.500 ADOLESCENTES VÍCTIMAS DEL CONFLICTO ARMADO CON ESCUELAS DE FORMACIÓN</t>
  </si>
  <si>
    <t>NO. ADOLESCENTES VCA CON HABILIDAD DEPORTIVA EN ESCUELAS DE FORMACIÓN</t>
  </si>
  <si>
    <t>LOGRAR ANUALMENTE QUE 2.329 ESCOLARES VÍCTIMAS DEL CONFLICTO ARMADO PARTICIPEN EN LOS JUEGOS INTERCOLEGIADOS DEPARTAMENTALES.</t>
  </si>
  <si>
    <t>NO. DE NIÑOS Y NIÑAS VCA QUE PARTICIPAN ANUALMENTE EN LOS JUEGOS INTERCOLEGIADOS</t>
  </si>
  <si>
    <t>FOMENTAR DURANTE EL CUATRIENIO ACTIVIDAD FÍSICA EN 3.600 ADULTAS Y ADULTOS VÍCTIMAS DEL CONFLICTO ARMADO.</t>
  </si>
  <si>
    <t>NO. DE ADULTOS VCA QUE PARTICIPAN EN ACTIVIDAD FÍSICA</t>
  </si>
  <si>
    <t>PROMOVER ANUALMENTE INTEGRACIÓN FAMILIAR CON DE 2.000 PERSONAS VCA EN EVENTOS RECREATIVOS.</t>
  </si>
  <si>
    <t>NO. INTEGRANTES FAMILIAS VCA CON EVENTOS RECREATIVOS</t>
  </si>
  <si>
    <t>LOGRAR LA PARTICIPACIÓN DE 2.500 PERSONAS VCA EN LOS JUEGOS DEPORTIVOS COMUNALES DEPARTAMENTALES.</t>
  </si>
  <si>
    <t>NO. DE PVCA QUE PARTICIPAN EN LOS JUEGOS COMUNALES</t>
  </si>
  <si>
    <t>FOMENTAR DURANTE EL CUATRIENIO ACTIVIDAD FÍSICA ADECUADA A LA EDAD DE 2.800 ADULTAS Y ADULTOS MAYORES VÍCTIMAS DEL CONFLICTO ARMADO (GIMNASIA - AERÓBICOS).</t>
  </si>
  <si>
    <t>NO. DE ADULTOS MAYORES VCA CON ACTIVIDAD FÍSICA ESPECÍFICA</t>
  </si>
  <si>
    <t>PROMOVER LA PARTICIPACIÓN CADA AÑO DE 2500 PERSONAS, VÍCTIMAS DEL CONFLICTO ARMADO EN EVENTOS RECREATIVOS PARA ADULTAS Y ADULTOS MAYORES</t>
  </si>
  <si>
    <t>NO. DE ADULTOS MAYORES VCA QUE PARTICIPAN EN EVENTOS RECREATIVOS</t>
  </si>
  <si>
    <t>FOMENTAR EL EMPLEO Y EMPRENDIMIENTO EN 100% DE LA POBLACIÓN ECONÓMICAMENTE ACTIVA, VÍCTIMA DEL CONFLICTO ARMADO CON PROCESOS DE CONVOCATORIA COMPETENCIAS LABORALES, CAPACITACIÓN, CREACIÓN DE EMPRESA.</t>
  </si>
  <si>
    <t>% DE PVCA EN PROCESOS DE COMPETENCIA LABORAL Y DE EMPRENDIMIENTO</t>
  </si>
  <si>
    <t>APOYAR, VINCULAR AL 100% DE LA POBLACIÓN ECONÓMICAMENTE ACTIVA, VÍCTIMA DEL CONFLICTO ARMADO QUE PARTICIPE EN LA CONVOCATORIA EN PROCESOS DE COMPETENCIAS LABORALES, CAPACITACIÓN, CREACIÓN DE EMPRESA Y EMPLEABILIDAD. CON ENFOQUE DIFERENCIAL, AFRO DESCENDIE</t>
  </si>
  <si>
    <t>% DE PERSONAS FORMADAS Y FORTALECIDAS</t>
  </si>
  <si>
    <t>INCORPORAR DURANTE EL CUATRIENIO A 500 FAMILIAS VÍCTIMAS DEL CONFLICTO Y EN CONDICIÓN DE DESPLAZAMIENTO A PROYECTOS Y SISTEMA PRODUCTIVO.</t>
  </si>
  <si>
    <t>NO. DE FAMILIAS VCA REINCORPORADAS AL SISTEMA PRODUCTIVO</t>
  </si>
  <si>
    <t>INCORPORAR DURANTE EL CUATRIENIO A 150 MUJERES VÍCTIMAS DEL CONFLICTO Y EN CONDICIÓN DE DESPLAZAMIENTO A FINANCIACIÓN PROYECTOS Y SECTOR PRODUCTIVO.</t>
  </si>
  <si>
    <t>NO. DE MUJERES VCA REINCORPORADAS AL SISTEMA PRODUCTIVO</t>
  </si>
  <si>
    <t>INCORPORAR DURANTE EL CUATRIENIO A 50 FAMILIAS INDÍGENAS VÍCTIMAS DEL CONFLICTO Y EN CONDICIÓN DE DESPLAZAMIENTO A FINANCIACIÓN PROYECTOS Y SECTOR PRODUCTIVO.</t>
  </si>
  <si>
    <t>NO. DE FAMILIAS INDÍGENAS VCA REINCORPORADAS AL SISTEMA PRODUCTIVO</t>
  </si>
  <si>
    <t>PROMOVER HABILIDADES DE ASOCIATIVIDAD PARA EL TRABAJO Y GENERACIÓN DE FUENTES DE INGRESOS CON 3 CONVENIOS INTERINSTITUCIONALES PARA LAS VCA.</t>
  </si>
  <si>
    <t>NO. DE CONVENIOS QUE FOMENTAN HABILIDADES EN FUENTES DE INGRESO PARA LAS PVCA</t>
  </si>
  <si>
    <t>LOGRAR DURANTE EL CUATRIENIO QUE 20 EMPRENDIMIENTOS TURÍSTICOS BENEFICIEN A POBLACIÓN VCA.</t>
  </si>
  <si>
    <t>NO. DE EMPRENDIMIENTOS TURÍSTICOS QUE BENEFICIAN PVCA</t>
  </si>
  <si>
    <t>SENSIBILIZAR Y FORTALECER DURANTE EL CUATRIENIO EL ARRAIGO CULTURAL E INCLUSIÓN DE LA POBLACIÓN VÍCTIMA DEL CONFLICTO ARMADO, MEDIANTE SU PARTICIPACIÓN EN 8 ENCUENTROS Y/O TALLERES CULTURALES.</t>
  </si>
  <si>
    <t>NO. DE ENCUENTROS Y/O TALLERES REALIZADOS CON PVCA QUE FORTALECEN Y ARRAIGAN CULTURA</t>
  </si>
  <si>
    <t>REALIZAR 4 RECORRIDOS TURÍSTICOS DIRIGIDOS A LA PVCA CON EL OBJETO DE APROVECHAR EL USO DEL TIEMPO LIBRE DE LA PVCA DE LOS MUNICIPIOS DE SOACHA, LA PALMA Y VIOTÁ.</t>
  </si>
  <si>
    <t>NO. DE RECORRIDOS TURÍSTICOS REALIZADOS CON PVCA</t>
  </si>
  <si>
    <t>APOYAR DURANTE EL CUATRIENIO A 200 HOGARES VÍCTIMAS DEL CONFLICTO ARMADO EN LA ADQUISICIÓN DE VIVIENDA NUEVA O USADA, CONSTRUCCIÓN EN SITIO PROPIO O MEJORAMIENTO DE SU VIVIENDA.</t>
  </si>
  <si>
    <t>NO. DE HOGARES VCA CON UNA VIVIENDA DIGNA.</t>
  </si>
  <si>
    <t>ATENDER AL 100% DE LA POBLACIÓN EN CONDICIÓN DE DESPLAZAMIENTO DE GRUPOS ÉTNICOS EN TEMAS DE PREVENCIÓN, PROTECCIÓN, ATENCIÓN INTEGRAL, ACOMPAÑAMIENTO INTEGRAL A PROCESOS DE RETORNO Y VERDAD, QUE LO SOLICITEN.</t>
  </si>
  <si>
    <t>% DE PERSONAS VCA EN CONDICIÓN DE GRUPOS ÉTNICOS ATENDIDAS</t>
  </si>
  <si>
    <t>REALIZAR EL 100% DEL PROCESO DE IDENTIFICACIÓN Y CARACTERIZACIÓN DE LAS VÍCTIMAS DEL CONFLICTO ARMADO SEGÚN MODALIDAD Y EXCEPTUANDO EL DESPLAZAMIENTO FORZADO.</t>
  </si>
  <si>
    <t>% CARACTERIZACIÓN DE VÍCTIMAS DEL CONFLICTO</t>
  </si>
  <si>
    <t>% CARACTERIZACIÓN VÍCTIMAS DEL CONFLICTO</t>
  </si>
  <si>
    <t>BENEFICIAR DURANTE EL CUATRIENIO 5.000 PERSONAS EN SITUACIÓN DE CONFLICTO ARMADO CON EL SERVICIO DE ACUEDUCTO, EN EL PERIODO DE GOBIERNO.</t>
  </si>
  <si>
    <t>NO. DE PERSONAS VCA CON SERVICIO DE ACUEDUCTO</t>
  </si>
  <si>
    <t>BRINDAR HERRAMIENTAS PARA EL EMPODERAMIENTO Y LIDERAZGO COMUNITARIO EN CAPACITACIÓN, ACOMPAÑAMIENTO Y COMUNICACIONES AL 100% DE LAS PERSONAS VÍCTIMAS DEL CONFLICTO ARMADO QUE LO DEMANDEN.</t>
  </si>
  <si>
    <t>% DE PERSONAS QUE DEMANDEN EL SERVICIO QUE SON CAPACITADAS</t>
  </si>
  <si>
    <t>CONSTRUIR E IMPLEMENTAR DURANTE EL CUATRIENIO UN CENTRO REGIONAL DE ATENCIÓN A VÍCTIMAS DEL CONFLICTO ARMADO EN EL MUNICIPIO DE SOACHA.</t>
  </si>
  <si>
    <t>N° DE CENTROS REGIONALES IMPLEMENTADOS</t>
  </si>
  <si>
    <t>N° DE CENTROS IMPLEMENTADOS</t>
  </si>
  <si>
    <t>REALIZAR ANUALMENTE 1 RENDICIÓN DE CUENTAS DE VCA.</t>
  </si>
  <si>
    <t>N° RENDICIONES DE CUENTAS REALIZADAS</t>
  </si>
  <si>
    <t>DESARROLLO LOCAL TERRITORIAL</t>
  </si>
  <si>
    <t>APOYAR TÉCNICA Y FINANCIERAMENTE LA REVISIÓN DE 25 PLANES DE ORDENAMIENTO TERRITORIAL DURANTE EL CUATRIENIO.</t>
  </si>
  <si>
    <t>NO DE PLANES DE ORDENAMIENTO TERRITORIAL DURANTE EL CUATRIENIO</t>
  </si>
  <si>
    <t xml:space="preserve">APOYAR AL 50% DE LAS ENTIDADES TERRITORIALES DEL DEPARTAMENTO , CON HERRAMIENTAS QUE PERMITAN LA ADECUADA TOMA DE DECISIONES EN EL ORDENAMIENTO DE SU TERRITORIO, TALES COMO CARTOGRAFÍA, FOTOGRAFÍAS ESPACIALES, CLASIFICACIÓN DEL SUELO, INDICADORES BÁSICOS </t>
  </si>
  <si>
    <t>% DE ENTIDADES CON HERRAMIENTAS UTILIZADAS EN EL ORDENAMIENTO</t>
  </si>
  <si>
    <t>DESARROLLAR 1 PROYECTO PILOTO DE CAMBIO CLIMÁTICO Y ORDENAMIENTO TERRITORIAL COMO ACCIÓN DEMOSTRATIVA DE MANEJO ADAPTATIVO DEL TERRITORIO, EN EL PERIODO DE GOBIERNO.</t>
  </si>
  <si>
    <t>NO DE PROYECTOS DESARROLLADOS</t>
  </si>
  <si>
    <t>NO. DE INSTRUMENTOS DE GESTIÓN IMPLEMENTADOS</t>
  </si>
  <si>
    <t>CUNDINAMARCA HACIA LA CONSOLIDACIÓN E INTEGRACIÓN REGIONAL</t>
  </si>
  <si>
    <t>PROTECCIÓN Y ASEGURAMIENTO DEL RECURSO HÍDRICO</t>
  </si>
  <si>
    <t>INCREMENTAR A 31.000 LAS HECTÁREAS DE CONSERVACIÓN DEL RECURSO HÍDRICO DEL DEPARTAMENTO UBICADAS EN ZONAS DE IMPORTANCIA ESTRATÉGICA EN EL PERIODO DE GOBIERNO, MEDIANTE LA CONSOLIDACIÓN DE CORREDORES AMBIENTALES.</t>
  </si>
  <si>
    <t>NO. DE HECTÁREAS ADQUIRIDAS PARA GARANTIZAR LA CONSERVACIÓN DEL RECURSO HÍDRICO</t>
  </si>
  <si>
    <t xml:space="preserve">INCREMENTAR EN 500 LAS HECTÁREAS CONSERVADAS EN ECOSISTEMAS REGULADORES DEL RECURSO HÍDRICO EN EL PERIODO DE GOBIERNO, MEDIANTE LA ESTRATEGIA DE MANTENIMIENTO DE PREDIOS ADQUIRIDOS. </t>
  </si>
  <si>
    <t xml:space="preserve">NO. DE HECTÁREAS EN USO DE CONSERVACIÓN CON MANTENIMIENTO. </t>
  </si>
  <si>
    <t>CONSERVACIÓN Y MANEJO DE ECOSISTEMAS ESTRATÉGICOS</t>
  </si>
  <si>
    <t>RESTAURAR LA OFERTA AMBIENTAL DE 400 HECTÁREAS DE ECOSISTEMAS SENSIBLES, EN EL PERIODO DE GOBIERNO.</t>
  </si>
  <si>
    <t xml:space="preserve">CONSERVAR Y/O RECUPERAR ECOSISTEMAS LENTICOS EN EL PERIODO DE GOBIERNO MEDIANTE LA EJECUCIÓN DE 4 ACCIONES DE MEJORAMIENTO AMBIENTAL. </t>
  </si>
  <si>
    <t xml:space="preserve">NO. ACCIONES EJECUTADAS </t>
  </si>
  <si>
    <t>IMPULSAR 2 PROYECTOS DE DESCONTAMINACIÓN ALREDEDOR DEL RIO BOGOTÁ CON PARTICIPACIÓN COMUNITARIA E INSTITUCIONAL, EN EL PERIODO DE GOBIERNO.</t>
  </si>
  <si>
    <t>NO. DE PROYECTOS APOYADOS PARA LA DESCONTAMINACIÓN DEL RÍO BOGOTÁ.</t>
  </si>
  <si>
    <t>CUNDINAMARCA NEUTRA</t>
  </si>
  <si>
    <t xml:space="preserve">COMPENSAR 10.000 TONELADAS DE CO2 DE LA HUELLA DEL DEPARTAMENTO, MEDIANTE LA IMPLEMENTACIÓN DE 4 ESTRATEGIAS PARA LA REDUCCIÓN Y COMPENSACIÓN DE EMISIONES DE GASES EFECTO INVERNADERO EN CUNDINAMARCA EN EL PERIODO DE GOBIERNO. </t>
  </si>
  <si>
    <t>NO DE TONELADAS COMPENSADAS</t>
  </si>
  <si>
    <t>MEJORAR ENTORNOS AMBIENTALES COMUNITARIOS CON LA IMPLEMENTACIÓN DE 8 PROYECTOS DE INCIATIVA LOCAL</t>
  </si>
  <si>
    <t>NO DE PROYECTOS AMBIENTALES QUE INCIDEN EN ENTORNOS COMUNITARIOS</t>
  </si>
  <si>
    <t xml:space="preserve">PROMOVER 2 PROYECTOS AMBIENTALES BAJO ALIANZAS PÚBLICO-PRIVADAS EN EL MARCO DE LA RESPONSABILIDAD AMBIENTAL EMPRESARIAL EN EL PERIODO DE GOBIERNO. </t>
  </si>
  <si>
    <t>NO. DE PROYECTOS AMBIENTALES IMPLEMENTADOS MEDIANTE ALIANZAS PÚBLICO PRIVADAS </t>
  </si>
  <si>
    <t>VALORACIÓN DE BIENES Y SERVICIOS AMBIENTALES</t>
  </si>
  <si>
    <t>PROMOVER 1 PROYECTO DE INVESTIGACIÓN CIENTÍFICA APLICADA A LA CONSERVACIÓN DE LOS ECOSISTEMAS Y SU BIODIVERSIDAD Y A LA GENERACIÓN DE VALORES AGREGADOS PARA LA ECONOMÍA AMBIENTAL EN EL PERIODO DE GOBIERNO, MEDIANTE LA IMPLEMENTACIÓN DE UN PROYECTO PILOT</t>
  </si>
  <si>
    <t xml:space="preserve">NO DE PROYECTOS DE INVESTIGACIÓN IMPLEMENTADOS PARA LA CONSERVACIÓN. </t>
  </si>
  <si>
    <t xml:space="preserve">CONSOLIDAR EN 116 MUNICIPIOS LA INFORMACIÓN TEMÁTICA AMBIENTAL COMO INSUMO PARA LA CONSTRUCCIÓN DE UN SISTEMA DE INFORMACIÓN DEPARTAMENTAL, EN EL PERIODO DE GOBIERNO. </t>
  </si>
  <si>
    <t>NO DE MUNICIPIOS CON INFORMACIÓN TEMÁTICA AMBIENTAL CONSOLIDADA.</t>
  </si>
  <si>
    <t>INFRAESTRUCTURA DE AGUA POTABLE Y SANEAMIENTO BÁSICO</t>
  </si>
  <si>
    <t>BENEFICIAR A 202.000 HABITANTES NUEVOS CON SERVICIO DE ACUEDUCTO, PARA INCREMENTAR COBERTURA CON ESTE SERVICIO EN EL PERIODO DE GOBIERNO.</t>
  </si>
  <si>
    <t>NO.DE HABITANTES NUEVOS CON SERVICIOS DE ACUEDUCTO</t>
  </si>
  <si>
    <t>BENEFICIAR A 150.000 HABITANTES NUEVOS CON SERVICIO DE ALCANTARILLADO, EN EL PERIODO DE GOBIERNO, PARA INCREMENTAR COBERTURA CON ESTE SERVICIO.</t>
  </si>
  <si>
    <t>NO. DE HABITANTES NUEVOS CON SERVICIO DE ALCANTARILLADO</t>
  </si>
  <si>
    <t>NO. VIVIENDAS RURALES CON UNIDADES SANITARIAS CONSTRUIDAS</t>
  </si>
  <si>
    <t>NO. DE CONEXIONES INTRA DOMICILIARIAS CONSTRUIDAS PARA POBLACIÓN POBRE Y VULNERABLE</t>
  </si>
  <si>
    <t>CONSTRUIR OCHO (8) PTAR EN EL CUATRIENIO, PARA MEJORAR EL SANEAMIENTO AMBIENTAL Y LA CALIDAD DE AGUA DE LAS FUENTES RECEPTORAS</t>
  </si>
  <si>
    <t>NO. DE PTAR Y CONSTRUIDAS</t>
  </si>
  <si>
    <t>CALIDAD DE AGUA</t>
  </si>
  <si>
    <t>FOCALIZAR RECURSOS ECONÓMICOS Y/O TÉCNICOS PARA QUE EN LOS MUNICIPIOS DEL DEPARTAMENTO SE INCREMENTE UN 11% EN PROMEDIO EL SUMINISTRO CON AGUA POTABLE EN ZONAS URBANAS, PARA MEJORAR LAS CONDICIONES DE SALUBRIDAD DE LA POBLACIÓN, ESPECIALMENTE LA INFANT</t>
  </si>
  <si>
    <t>BENEFICIAR A 70.000 PERSONAS DE LA ZONA RURAL, EN EL PERIODO DE GOBIERNO, CON AGUA POTABLE PARA MEJORAR LAS CONDICIONES DE SALUBRIDAD DE LA POBLACIÓN, ESPECIALMENTE LA INFANTIL.</t>
  </si>
  <si>
    <t xml:space="preserve">No. DE PERSONAS CON AGUA POTABLE EN ZONAS RURALES </t>
  </si>
  <si>
    <t>FORTALECIMIENTO EMPRESARIAL</t>
  </si>
  <si>
    <t>APOYAR LA INICIATIVA DE ELABORAR UN ESTUDIO DE PREFACTIBILIDAD Y FACTIBILIDAD PARA RESOLVER A NIVEL EMPRESARIAL Y DE OPERACIÓN EL SUMINISTRO DE AGUA POTABLE A LOS MUNICIPIOS DE LA SABANA DE BOGOTÁ EN EL PERÍODO DE GOBIERNO</t>
  </si>
  <si>
    <t>NO. DE ESTUDIOS DE FACTIBILIDAD Y PREFACTIBILIDAD A NIVEL EMPRESARIAL Y DE OPERACIÓN</t>
  </si>
  <si>
    <t>ABASTECIMIENTO Y PREVENCIÓN</t>
  </si>
  <si>
    <t xml:space="preserve">ELABORAR UN (1) ESTUDIO DE IDENTIFICACIÓN DE EMBALSES A NIVEL DEPARTAMENTAL, EN EL PERÍODO DE GOBIERNO, PARA DETERMINAR LA PRIORIZACIÓN DE INVERSIONES EN CUANTO A ABASTECIMIENTO Y REGULACIÓN DE CAUDALES. </t>
  </si>
  <si>
    <t>NO. DE ESTUDIOS DE IDENTIFICACIÓN DE EMBALSES</t>
  </si>
  <si>
    <t xml:space="preserve">REALIZACIÓN PRIMERA FASE EMBALSE CALANDAIMA DURANTE EL PERÍODO DE GOBIERNO. </t>
  </si>
  <si>
    <t>NO. FASES REALIZADAS DURANTE EL CUATRIENIO</t>
  </si>
  <si>
    <t>PRODUCTIVIDAD AGROPECUARIA</t>
  </si>
  <si>
    <t xml:space="preserve">INCREMENTAR Y/O RENOVAR EN 10.000 HECTÁREAS EL ÁREA SEMBRADA DE 7 CADENAS PRODUCTIVAS PRIORIZADAS. (HORTALIZAS, FRUTAS, CAFÉ, CACAO, CAÑA PANELERA, PAPA Y CAUCHO) EN EL PERIODO DE GOBIERNO, ESPECIALIZÁNDOLAS DE ACUERDO A LAS POTENCIALIDADES DE LAS ECO – </t>
  </si>
  <si>
    <t>NO DE HECTÁREAS INCREMENTADAS Y/O RENOVADAS.</t>
  </si>
  <si>
    <t>FORTALECER 4 GRUPOS DE MINI CADENAS: BALANCEADOS (MAÍZ, YUCA Y SORGO), GRAMÍNEAS Y LEGUMINOSAS (FRIJOL, ARVEJA, HABICHUELA), CEREALES Y ESPECIES MENORES (CUNÍCOLA, OVINOS - CAPRINOS, PISCICULTURA Y APICULTURA, ENTRE OTROS) DE IMPORTANCIA SOCIOECONÓMICA Y</t>
  </si>
  <si>
    <t>NO DE GRUPOS DE MINI CADENAS FORTALECIDAS</t>
  </si>
  <si>
    <t>FORTALECER LAS 3 PRINCIPALES CADENAS PRODUCTIVAS PECUARIAS (BOVINA CARNE, LÁCTEA, PORCÍCOLA) EN EL PERIODO DE GOBIERNO</t>
  </si>
  <si>
    <t>NO DE CADENAS PRODUCTIVAS PECUARIAS FORTALECIDAS</t>
  </si>
  <si>
    <t>IMPLEMENTAR 20 BANCOS DE MAQUINARIA Y EQUIPOS AGRÍCOLAS EN EL DEPARTAMENTO EN EL PERIODO DE GOBIERNO.</t>
  </si>
  <si>
    <t>NO DE BANCOS DE MAQUINARIA Y EQUIPOS AGRÍCOLAS IMPLEMENTADOS</t>
  </si>
  <si>
    <t>FINANCIAMIENTO PARA EL SECTOR AGROPECUARIO</t>
  </si>
  <si>
    <t>VINCULAR 6000 PRODUCTORES AL SISTEMA FINANCIERO AGROPECUARIO CON GARANTÍAS, E INCENTIVOS COMPLEMENTARIOS EN EL PERIODO DE GOBIERNO.</t>
  </si>
  <si>
    <t>NO DE PRODUCTORES VINCULADOS AL SISTEMA FINANCIERO AGROPECUARIO CON GARANTÍAS E INCENTIVOS.</t>
  </si>
  <si>
    <t>COMPETITIVIDAD AGROPECUARIA</t>
  </si>
  <si>
    <t>POSICIONAR EN LOS MERCADOS REGIONALES Y NACIONALES 10 PRODUCTOS DE LAS CADENAS PRODUCTIVAS (LÁCTEOS, PORCÍCOLA CÁRNICOS, FRUTAS, PANELA, CAFÉ, PAPA, CACAO, CAUCHO Y HORTALIZAS) EN EL PERIODO DE GOBIERNO.</t>
  </si>
  <si>
    <t>NO DE PRODUCTOS POSICIONADOS EN MERCADOS REGIONALES Y NACIONALES DE LAS CADENAS PRODUCTIVAS.</t>
  </si>
  <si>
    <t>DESARROLLAR Y FORTALECER LAS CAPACIDADES EMPRESARIALES A 500 EMPRESAS DEL SECTOR AGROPECUARIO EN EL PERIODO DE GOBIERNO</t>
  </si>
  <si>
    <t>NO DE EMPRESAS AGROPECUARIAS CON CAPACIDADES EMPRESARIALES DESARROLLADAS Y FORTALECIDAS.</t>
  </si>
  <si>
    <t>DESARROLLO TECNOLÓGICO, TRANSFERENCIA DE TECNOLOGÍA, ASISTENCIA TÉCNICA Y PLANIFICACIÓN AGROPECUARIA</t>
  </si>
  <si>
    <t>CONSOLIDAR UNA EVALUACIÓN AGROPECUARIA ANUAL DE LOS 116 MUNICIPIOS EN COORDINACIÓN CON LAS EPSAGRO, MINISTERIO DE AGRICULTURA Y DESARROLLO RURAL Y CON PUBLICACIÓN ANUAL</t>
  </si>
  <si>
    <t>NO DE EVALUACIONES AGROPECUARIAS CONSOLIDADAS Y PUBLICADAS EN EL AÑO</t>
  </si>
  <si>
    <t>DESARROLLAR TRES (3) INSTRUMENTOS DE PLANIFICACIÓN AGROPECUARIA IMPLEMENTADOS Y SOCIALIZADOS (USO ACTUAL DEL SUELO - CONFLICTO POR USO DEL SUELO Y ZONIFICACIÓN DE CADENAS PRODUCTIVAS) EN EL PERIODO DE GOBIERNO</t>
  </si>
  <si>
    <t>NO DE INSTRUMENTOS DE PLANIFICACIÓN AGROPECUARIA DESARROLLADOS E IMPLEMENTADOS</t>
  </si>
  <si>
    <t>IMPLEMENTAR, OPERATIVIZAR, FORTALECER, SEGUIR Y EVALUAR EL SERVICIO PÚBLICO DE ASISTENCIA TÉCNICA DIRECTA RURAL AGROPECUARIA EN LOS 116 MUNICIPIOS</t>
  </si>
  <si>
    <t>NO DE MUNICIPIOS IMPLEMENTADOS, OPERATIVIZADOS, FORTALECIDOS Y CON SEGUIMIENTO Y EVALUACIÓN CON ASISTENCIA TÉCNICA</t>
  </si>
  <si>
    <t>IMPLEMENTAR 200 MODELOS INTEGRALES PARA EL FORTALECIMIENTO DEL SERVICIO DE ASISTENCIA TÉCNICA DIRECTA RURAL AGROPECUARIA</t>
  </si>
  <si>
    <t>NO DE MODELOS INTEGRALES IMPLEMENTADOS</t>
  </si>
  <si>
    <t>INCORPORAR EL SERVICIO PÚBLICO DE ASISTENCIA TÉCNICA AGROPECUARIA A LOS PROGRAMAS DE INNOVACIÓN, CIENCIA Y TECNOLOGÍA</t>
  </si>
  <si>
    <t>NO DE EPSA ACREDITADAS</t>
  </si>
  <si>
    <t>1 SISTEMA DE INFORMACIÓN AGROPECUARIO AL SERVICIO DEL SECTOR</t>
  </si>
  <si>
    <t>NO SISTEMAS DE INFORMACIÓN AGROPECUARIA EN SERVICIO.</t>
  </si>
  <si>
    <t>116 MUNICIPIOS ARTICULADOS AL SERVICIO PÚBLICO DE ASISTENCIA TÉCNICA AGROPECUARIA A LOS PROGRAMAS DE SOSTENIBILIDAD EN EL DEPARTAMENTO</t>
  </si>
  <si>
    <t>NO DE MUNICIPIOS ARTICULADOS</t>
  </si>
  <si>
    <t>ACCESO A LA TIERRA RURAL</t>
  </si>
  <si>
    <t xml:space="preserve">APOYAR 90 PROYECTOS PRODUCTIVOS DE FAMILIAS BENEFICIADAS POR LAS CONVOCATORIAS DE ACCESO A TIERRA EN EL PERIODO DE GOBIERNO. </t>
  </si>
  <si>
    <t>NO DE PROYECTOS PRODUCTIVOS DE FAMILIAS BENEFICIADAS EN CONVOCATORIAS DE ACCESO A TIERRA.</t>
  </si>
  <si>
    <t>APOYAR LA LEGALIZACIÓN Y/O LA ADJUDICACIÓN DE 600 PREDIOS RURALES BALDÍOS Y/O FALSA TRADICIÓN, DE ACUERDO A LA NORMATIVIDAD VIGENTE EN EL PERIODO DE GOBIERNO.</t>
  </si>
  <si>
    <t>NO DE PREDIOS RURALES BALDÍOS Y/O DE FALSA TRADICIÓN APOYADOS EN LEGALIZACIÓN Y/O ADJUDICACIÓN.</t>
  </si>
  <si>
    <t>ADECUACIÓN DE TIERRAS</t>
  </si>
  <si>
    <t>ADECUAR Y/O REHABILITAR 2025 HECTÁREAS MEDIANTE LA CONSTRUCCIÓN DE DISTRITOS DE RIEGO Y DRENAJE EN EL PERIODO DE GOBIERNO.</t>
  </si>
  <si>
    <t>NO DE HECTÁREAS ADECUADAS Y/O REHABILITADAS CON DISTRITOS DE RIEGO Y DRENAJE.</t>
  </si>
  <si>
    <t>EQUIDAD Y GENERO</t>
  </si>
  <si>
    <t>FORTALECER LAS CAPACIDADES DE LIDERAZGO Y ASOCIATIVISMO Y PROPENDER POR EL MEJORAMIENTO PRODUCTIVO Y COMPETITIVO DE 400 MUJERES Y/O JÓVENES Y/O GRUPOS ÉTNICOS RURALES DEL DEPARTAMENTO, MEDIANTE LA IMPLEMENTACIÓN DE PROYECTOS AGROPECUARIOS Y/O AGROINDUSTRI</t>
  </si>
  <si>
    <t xml:space="preserve">NO DE MUJERES Y/O JÓVENES Y/O GRUPOS ÉTNICOS RURALES FORTALECIDOS EN CAPACIDADES DE LIDERAZGO Y ASOCIATIVISMO IMPLEMENTANDO PROYECTOS AGROPECUARIOS Y/O AGROINDUSTRIALES. </t>
  </si>
  <si>
    <t>SEGURIDAD ALIMENTARIA Y NUTRICIONAL</t>
  </si>
  <si>
    <t>BENEFICIAR 5.000 FAMILIAS CON EL PROGRAMA DE SEGURIDAD ALIMENTARIA Y NUTRICIONAL EN EL PERIODO DE GOBIERNO, DE LAS CUALES 50 FAMILIAS DE GRUPOS ÉTNICOS.</t>
  </si>
  <si>
    <t>NO DE FAMILIAS BENEFICIADAS CON EL PROGRAMA DE SEGURIDAD ALIMENTARIA Y NUTRICIONAL.</t>
  </si>
  <si>
    <t>NO DE GRANJAS INTEGRALES DE AUTO ABASTECIMIENTO IMPLEMENTADAS.</t>
  </si>
  <si>
    <t xml:space="preserve">APOYAR EL DESARROLLO DE 35 PROYECTOS PRODUCTIVOS, PRESENTADOS Y APROBADOS MEDIANTE CONVOCATORIAS PÚBLICAS, DE LOS CUALES 2 DE ELLOS DIRIGIDOS A GRUPOS ÉTNICOS, EN EL PERIODO DE GOBIERNO. </t>
  </si>
  <si>
    <t>NO DE PROYECTOS PRODUCTIVOS APROBADOS E IMPLEMENTADOS.</t>
  </si>
  <si>
    <t>FORTALECER PROGRAMAS DE EXTENSIÓN RURAL Y ESTRATEGIAS QUE PROPENDAN POR DESARROLLO RURAL DE LAS COMUNIDADES CAMPESINAS CON LAS 116 ENTIDADES PRESTADORAS DEL SERVICIO DE ASISTENCIA TÉCNICA AGROPECUARIA, DURANTE EL PERIODO DE GOBIERNO.</t>
  </si>
  <si>
    <t>NO DE ENTIDADES PRESTADORAS DE ASISTENCIA TÉCNICA AGROPECUARIA FORTALECIDAS EN PROGRAMAS DE EXTENSIÓN RURAL.</t>
  </si>
  <si>
    <t>ARTICULAR Y APOYAR TÉCNICAMENTE CONVOCATORIAS PARA EL ACCESO A FACTORES PRODUCTIVOS</t>
  </si>
  <si>
    <t>NO DE CONVOCATORIAS APOYADAS Y ARTICULADAS</t>
  </si>
  <si>
    <t>ARTICULAR Y PROPENDER POR LA OPERATIVIZACIÓN DEL COMITÉ DEPARTAMENTAL DE DESARROLLO RURAL Y REFORMA AGRARIA EN EL DEPARTAMENTO</t>
  </si>
  <si>
    <t>NO DE COMITÉS ARTICULADOS Y OPERANDO</t>
  </si>
  <si>
    <t>ARTICULAR LOS 116 EPSA (SERVICIO PÚBLICO DE ASISTENCIA TÉCNICA AGROPECUARIA) A LOS PROGRAMAS DE GESTIÓN DEL RIESGO Y CAMBIO CLIMÁTICO</t>
  </si>
  <si>
    <t>NO DE EPSA ARTICULADOS</t>
  </si>
  <si>
    <t>ARTICULAR Y PROPENDER POR LA OPERATIVIZACIÓN DE LOS 116 CONSEJOS MUNICIPALES DE DESARROLLO RURAL - CMDR COMO INSTRUMENTO DE POLÍTICA PÚBLICA</t>
  </si>
  <si>
    <t>NO DE CMDR ARTICULADOS Y OPERANDO</t>
  </si>
  <si>
    <t>PLANIFICACIÓN INTEGRAL DE LA GESTIÓN</t>
  </si>
  <si>
    <t>FORMULAR Y PROMOVER LA IMPLEMENTACIÓN DE LOS LINEAMIENTOS LA POLÍTICA DEPARTAMENTAL DE RESIDUOS SÓLIDOS COMO ESTRATEGIA DE PLANIFICACIÓN REGIONAL EN EL PERIODO DE GOBIERNO.</t>
  </si>
  <si>
    <t>NO. DE LINEAMIENTOS DE POLITICAS FORMULADOS</t>
  </si>
  <si>
    <t>NO DE PGIRS ACTUALIZADOS EN COORDINACIÓN CON EL GESTOR DEL PDA</t>
  </si>
  <si>
    <t>CREAR Y/O FORTALECER 1 ASOCIACIÓN DE RECICLADORES Y/O RECUPERADORES EN CUNDINAMARCA, PARA PROMOVER LA PRODUCTIVIDAD DE LOS RESIDUOS SÓLIDOS EN EL DEPARTAMENTO EN EL PERIODO DE GOBIERNO.</t>
  </si>
  <si>
    <t>NO. DE ASOCIACIONES DE RECICLADORES Y/O RECUPERADORES EN FUNCIONAMIENTO</t>
  </si>
  <si>
    <t>ESTRATEGIAS PARA EL FORTALECIMIENTO DE LA GESTIÓN INTEGRAL</t>
  </si>
  <si>
    <t>DISEÑAR E IMPLEMENTAR 2 SISTEMAS REGIONALES DE RECOLECCIÓN Y TRANSPORTE EN EL DEPARTAMENTO DE MANERA COORDINADA ENTRE EL GESTOR DEL PDA Y LAS ENTIDADES DEL NIVEL CENTRAL, PARA LA OPTIMIZACIÓN DE LA GESTIÓN INTEGRAL DE RESIDUOS SÓLIDOS EN EL PERIODO DE G</t>
  </si>
  <si>
    <t>NO SISTEMAS REGIONALES DE RECOLECCIÓN Y TRANSPORTE EN FUNCIONAMIENTO.</t>
  </si>
  <si>
    <t>DISEÑAR E IMPLEMENTAR 2 SISTEMAS DE TRANSFERENCIA Y/O APROVECHAMIENTO EN EL DEPARTAMENTO, DE MANERA COORDINADA ENTRE EL GESTOR DEL PDA Y LAS ENTIDADES DEL NIVEL CENTRAL AL FINALIZAR EL PERIODO DE GOBIERNO.</t>
  </si>
  <si>
    <t>NO DE SISTEMAS DE APROVECHAMIENTO EN FUNCIONAMIENTO</t>
  </si>
  <si>
    <t>ESTABLECER CONTROL A LA DISPOSICIÓN FINAL DE 1.400.000 TON. DE RESIDUOS SÓLIDOS GENERADOS EN EL DEPARTAMENTO, MEDIANTE EL SEGUIMIENTO TÉCNICO, ADMINISTRATIVO, FINANCIERO, JURÍDICO Y SOCIO AMBIENTAL DE LA CONCESIÓN DEL RELLENO SANITARIO NUEVO MONDOÑEDO D</t>
  </si>
  <si>
    <t>NO DE CONTROLES GENERADOS EN EL RELLENO SANITARIO NUEVO MONDOÑEDO. (TONELADAS)</t>
  </si>
  <si>
    <t>PROMOCIÓN Y CULTURA DE LA GESTIÓN INTEGRAL</t>
  </si>
  <si>
    <t>PROMOVER EL DESARROLLO DE 2 PROYECTOS DE MANEJO INTEGRAL DE RESIDUOS SÓLIDOS MEDIANTE LA CONFORMACIÓN E IMPLEMENTACIÓN DE LA MESA DEPARTAMENTAL DE RESIDUOS SÓLIDOS, INSTANCIA DE CONCERTACIÓN REGIONAL DE CUNDINAMARCA EN EL PERIODO DE GOBIERNO.</t>
  </si>
  <si>
    <t>NO DE PROYECTOS PROMOVIDOS EN EL MANEJO DE RESIDUOS SÓLIDOS.</t>
  </si>
  <si>
    <t>NO DE COMUNIDADES CON PROCESOS DE SEPARACIÓN EN LA FUENTE Y/O RECICLAJE IMPLEMENTADOS</t>
  </si>
  <si>
    <t>GESTIÓN INTEGRAL DEL RIESGO </t>
  </si>
  <si>
    <t>ORGANIZAR 1 SISTEMA INTEGRADO DE INFORMACIÓN REGIONAL DURANTE EL PERIODO DE GOBIERNO PARA LA GESTIÓN DEL RIESGO</t>
  </si>
  <si>
    <t>NO DE SISTEMAS DE INFORMACIÓN ORGANIZADOS</t>
  </si>
  <si>
    <t xml:space="preserve">FORTALECER 15 PROVINCIAS ( 116 MUNICIPIOS) EN CAPACIDAD PREVENTIVA, OPERATIVA Y DE RESPUESTA ANTE EMERGENCIAS Y DESASTRES, DURANTE EL PERIODO DE GOBIERNO </t>
  </si>
  <si>
    <t>% DE PRODUCTORES APOYADOS</t>
  </si>
  <si>
    <t xml:space="preserve">NO DE OBRAS CONSTRUIDAS </t>
  </si>
  <si>
    <t>MONITOREAR 2 ZONAS CRÍTICAS CON INFORMACIÓN OPORTUNA Y SEGUIMIENTO PERMANENTE, DURANTE EL PERIODO DE GOBIERNO, PARA GENERAR MEDIDAS DE PREVENCIÓN.</t>
  </si>
  <si>
    <t>NO DE ZONAS CRÍTICAS MONITOREADAS</t>
  </si>
  <si>
    <t>ATENDER AL 100% DE LA POBLACIÓN AFECTADA CON AYUDA HUMANITARIA DE EMERGENCIA, DURANTE EL PERIODO DE GOBIERNO.</t>
  </si>
  <si>
    <t>% DE POBLACIÓN ATENDIDA</t>
  </si>
  <si>
    <t xml:space="preserve">AUMENTAR EN LAS 40 ENTIDADES PRESTADORAS DE SERVICIOS DE SALUD DE CARÁCTER PÚBLICO DEPARTAMENTAL, EN EL PERIODO DE GOBIERNO, LA CAPACIDAD DE RESPUESTA ANTE EMERGENCIAS Y DESASTRES, MEDIANTE LA IMPLEMENTACIÓN DE LOS PLANES DE EMERGENCIA Y CONTINGENCIA. </t>
  </si>
  <si>
    <t>NO DE ENTIDADES PRESTADORES DE SALUD PÚBLICA CON PLANES DE EMERGENCIA Y CONTINGENCIA IMPLEMENTADOS</t>
  </si>
  <si>
    <t>MANTENER ATENCIÓN DE EMERGENCIA EN SALUD AL 100% DE LAS EMERGENCIAS Y DESASTRES DEL DEPARTAMENTO, EN EL CUATRIENIO.</t>
  </si>
  <si>
    <t>% DE EMERGENCIAS Y DESASTRES ATENDIDOS EN SALUD</t>
  </si>
  <si>
    <t>NO DE AMBULANCIAS ADQUIRIDAS</t>
  </si>
  <si>
    <t>FORTALECER CAPACIDADES Y HABILIDADES DE 35 INSTITUCIONES Y ORGANIZACIONES COMUNITARIAS LOCALES EN GESTIÓN DEL RIESGO.</t>
  </si>
  <si>
    <t>NO DE INSTITUCIONES Y ORGANIZACIONES COMUNITARIAS FORTALECIDAS EN GESTIÓN DEL RIESGO</t>
  </si>
  <si>
    <t>ADAPTACIÓN AL CAMBIO Y VARIABILIDAD CLIMÁTICA</t>
  </si>
  <si>
    <t xml:space="preserve">APOYAR LA IMPLEMENTACIÓN DE 2 PROYECTOS EN EL MARCO DEL PLAN REGIONAL INTEGRAL DE CAMBIO CLIMÁTICO - PRICC, DURANTE EL PERIODO DE GOBIERNO </t>
  </si>
  <si>
    <t xml:space="preserve">NO DE PROYECTOS APOYADOS </t>
  </si>
  <si>
    <t>ORGANIZAR 1 SISTEMA PARA LA OPERATIVIDAD DEL PLAN REGIONAL INTEGRAL DE CAMBIO CLIMÁTICO, EN EL PERIODO DE GOBIERNO, DE ACUERDO CON LAS DIRECTRICES DEL PLAN NACIONAL DE ADAPTACIÓN.</t>
  </si>
  <si>
    <t>NO DE SISTEMAS ORGANIZADOS</t>
  </si>
  <si>
    <t>BOSQUES / DESPACHO</t>
  </si>
  <si>
    <t xml:space="preserve"> CUNDINAMARCA POTENCIA FORESTAL ESTRATÉGICA PARA EL DESARROLLO</t>
  </si>
  <si>
    <t>ESTABLECER 700 HECTÁREAS DE PLANTACIONES FORESTALES PARA FORTALECER EL PRIMER ESLABÓN DE LA CADENA FORESTAL DE LA REGIÓN BOGOTÁ - CUNDINAMARCA DURANTE LA PRESENTE ADMINISTRACIÓN.</t>
  </si>
  <si>
    <t xml:space="preserve">N° DE HECTÁREAS ESTABLECIDAS DE PLANTACIONES FORESTALES </t>
  </si>
  <si>
    <t>ESTABLECER 700 HECTÁREAS DE PLANTACIONES FORESTALES PARA LA RECUPERACIÓN DE BOSQUE NATURAL EN EL CUATRIENIO</t>
  </si>
  <si>
    <t>NO DE HECTÁREAS ESTABLECIDAS DE PLANTACIONES FORESTALES PARA LA RESTAURACIÓN</t>
  </si>
  <si>
    <t>ESTABLECER 200 HECTÁREAS FORESTALES PARA LA PROTECCION DE BOSQUE NATURAL CON FINES PROTECTORES DURANTE EL CUATRIENIO</t>
  </si>
  <si>
    <t>N° DE HECTÁREAS ESTABLECIDAS DE PLANTACIONES FORESTALES PROTECTORAS</t>
  </si>
  <si>
    <t>INSTALAR Y OPERAR 2 VIVEROS FORESTALES DE ESPECIES NATIVAS CON CAPACIDAD DE PRODUCCIÓN ANUAL DE 140.000 PLÁNTULAS , PARA EL SUMINISTRO DE MATERIAL VEGETAL A ESTABLECER EN PLANTACIONES FORESTALES PROTECTORAS Y/O PRODUCTORAS DURANTE EL PERIODO DE GOBIERNO</t>
  </si>
  <si>
    <t>N° DE VIVEROS FORESTALES INSTALADOS</t>
  </si>
  <si>
    <t>CUNDINAMARCA GENERADORA DE CONOCIMIENTO Y CONCIENCIA FORESTAL PARA EL PRESENTE Y EL FUTURO</t>
  </si>
  <si>
    <t>EJECUTAR AL 100%, UN PROYECTO DE INVESTIGACIÓN APLICADA A ESPECIES FORESTALES NATIVAS MADERABLES Y NO MADERABLES PARA MEJORAR SISTEMAS PRODUCTIVOS AGROPECUARIOS DURANTE EL PRESENTE GOBIERNO</t>
  </si>
  <si>
    <t>% DE EJECUCIÓN DEL PROYECTO DE INVESTIGACIÓN</t>
  </si>
  <si>
    <t>MUNICIPIOS CUNDINAMARQUESES REVERDECIDOS Y CON OPORTUNIDADES SUSTENTABLES DE NEGOCIO</t>
  </si>
  <si>
    <t xml:space="preserve">REALIZAR UN PROYECTO PILOTO DE SILVICULTURA PARA EL MANEJO DEL ARBOLADO URBANO DURANTE LA PRESENTE ADMINISTRACIÓN </t>
  </si>
  <si>
    <t>N° DE PROYECTOS PILOTO REALIZADOS</t>
  </si>
  <si>
    <t>ENGRANAJE INSTITUCIONAL E INTERINSTITUCIONAL PARA EL DESARROLLO PRODUCTIVO DE LOS BOSQUES DE CUNDINAMARCA</t>
  </si>
  <si>
    <t>PROMOVER LAS ALIANZAS PÚBLICO - PRIVADAS PARA LA CONFORMACIÓN DE 2 NÚCLEOS FORESTALES PRODUCTIVOS QUE BENEFICIEN A LOS HABITANTES DE 2 PROVINCIAS DURANTE LA PRESENTE ADMINISTRACIÓN</t>
  </si>
  <si>
    <t>N° DE NÚCLEOS FORESTALES CONFORMADOS</t>
  </si>
  <si>
    <t>SUSCRIBIR UN ACUERDO INTERSECTORIAL POR LA MADERA LEGAL PARA EVITAR LA DEPREDACIÓN Y DEGRADACIÓN DEL BOSQUE NATIVO ANTES DE FINALIZAR EL CUATRIENIO</t>
  </si>
  <si>
    <t>N° DE ACUERDOS INTERSECTORIALES SUSCRITOS</t>
  </si>
  <si>
    <t>DISEÑAR UN PORTAFOLIO DE PROYECTOS PARA DESARROLLO DE LA INVESTIGACIÓN BÁSICA Y APLICADA DE LA CADENA PRODUCTIVA FORESTAL EN ARTICULACIÓN CON LAS ENTIDADES PÚBLICAS Y PRIVADAS PARA LA AMPLIACIÓN DEL CONOCIMIENTO DEL NEGOCIO EN EL DEPARTAMENTO, DURANTE EL</t>
  </si>
  <si>
    <t>N° DE PORTAFOLIOS DISEÑADOS PARA LA INVESTIGACIÓN APLICADA EN EL TEMA FORESTAL</t>
  </si>
  <si>
    <t>REALIZAR 4 ESTRATEGIAS QUE PERMITAN GENERAR CONOCIMIENTO Y CULTURA FORESTAL Y AMBIENTAL EN EL DEPARTAMENTO</t>
  </si>
  <si>
    <t>NO DE ESTRATEGIAS QUE GENERAN CONOCIMIENTO Y CULTURA FORESTAL</t>
  </si>
  <si>
    <t>EMPRENDIMIENTO</t>
  </si>
  <si>
    <t>CREAR Y/O FORTALECER 8 CENTROS DE GESTIÓN EMPRESARIAL QUE FOMENTEN LA ASOCIATIVIDAD Y EL EMPRENDIMIENTO REGIONAL, EN EL PERIODO DE GOBIERNO,</t>
  </si>
  <si>
    <t>NO. DE CENTROS CREADOS Y FORTALECIDOS</t>
  </si>
  <si>
    <t>CREAR E IMPLEMENTAR UN FONDO CAPITAL SEMILLA AL SERVICIO DEL EMPRENDIMIENTO DE CUNDINAMARCA, EN EL PERÍODO DE GOBIERNO.</t>
  </si>
  <si>
    <t>NO DE FONDOS DE CAPITAL SEMILLA AL SERVICIO DEL EMPRENDIMIENTO</t>
  </si>
  <si>
    <t xml:space="preserve">DESARROLLO EMPRESARIAL </t>
  </si>
  <si>
    <t xml:space="preserve">CREAR Y O FORTALECER 1.000 MIPYMES EN GESTIÓN E INNOVACIÓN EMPRESARIAL PARA LA PRODUCTIVIDAD, DURANTE EL PERÍODO DE GOBIERNO. </t>
  </si>
  <si>
    <t>NO DE MIPYMES FORTALECIDAS TECNOLÓGICAMENTE</t>
  </si>
  <si>
    <t>DESARROLLO EMPRESARIAL</t>
  </si>
  <si>
    <t>DESARROLLAR PROCESOS DE NORMALIZACIÓN, CERTIFICACIÓN DE PRODUCTO Y GESTIÓN DE CALIDAD EN 250 EMPRESAS DURANTE EL PERIODO DE GOBIERNO</t>
  </si>
  <si>
    <t>NO. DE EMPRESAS EN PROCESOS DE NORMALIZACIÓN Y CALIDAD</t>
  </si>
  <si>
    <t>DESARROLLAR Y FORTALECER, DURANTE EL PERIODO DE GOBIERNO, 3 REDES EMPRESARIALES CON ENFOQUE DE CLÚSTER EN SECTORES PRODUCTIVOS PRIORIZADOS EN EL DEPARTAMENTO.</t>
  </si>
  <si>
    <t>NO. REDES EMPRESARIALES IMPLEMENTADAS</t>
  </si>
  <si>
    <t>IMPLEMENTAR Y FORTALECER PROCESOS DE DESARROLLO ECONÓMICO LOCAL - DEL - EN 35 MUNICIPIOS (NBI), DURANTE EL PERIODO DE GOBIERNO.</t>
  </si>
  <si>
    <t xml:space="preserve">NO. DE MUNICIPIOS CON PROCESOS DEL IMPLEMENTADOS </t>
  </si>
  <si>
    <t xml:space="preserve">GESTIONAR DURANTE EL PERIODO DE GOBIERNO 2.000 CRÉDITOS PARA EL FORTALECIMIENTO DE LAS MIPYMES A TRAVÉS DE ENTIDADES DE RECAUDO, BANCA DE OPORTUNIDADES, MICROCRÉDITO, FONDOS DE GARANTÍA </t>
  </si>
  <si>
    <t>NO. CRÉDITOS GESTIONADOS</t>
  </si>
  <si>
    <t>DISEÑAR E IMPLEMENTAR, DURANTE EL PERIODO DE GOBIERNO, UN PROGRAMA DE ASESORÍA, ACOMPAÑAMIENTO, CAPACITACIÓN Y SEGUIMIENTO A ARTESANOS EN DISEÑO, EMPAQUE, INNOVACIÓN, COMERCIALIZACIÓN.</t>
  </si>
  <si>
    <t>PROGRAMA DE APOYO A ARTESANOS IMPLEMENTADO</t>
  </si>
  <si>
    <t>FORTALECER CON 30 MISIONES COMERCIALES A MIPYMES DEL DEPARTAMENTO, DURANTE EL PERÍODO DE GOBIERNO</t>
  </si>
  <si>
    <t>NO MISIONES COMERCIALES QUE FORTALECEN A MIPYMES DEL DEPARTAMENTO.</t>
  </si>
  <si>
    <t>PRODUCTIVIDAD Y COMPETITIVIDAD</t>
  </si>
  <si>
    <t xml:space="preserve">FORTALECER DURANTE EL PERIODO DE GOBIERNO 2 OBSERVATORIOS DE COMPETITIVIDAD Y MERCADO LABORAL </t>
  </si>
  <si>
    <t>NO OBSERVATORIOS FORTALECIDAS</t>
  </si>
  <si>
    <t>FORMAR EN COMPETENCIAS LABORALES DURANTE EL PERÍODO DE GOBIERNO, CON 15 PROGRAMAS PERMANENTES ACORDES CON LAS VOCACIONES TERRITORIALES.</t>
  </si>
  <si>
    <t>NO PROGRAMAS PERMANENTES DE FORMACIÓN EN COMPETENCIAS LABORALES ACORDE A VOCACIONES TERRITORIALES</t>
  </si>
  <si>
    <t>CUNDINAMARCA ATRACTIVA PARA LA INVERSIÓN EXTERNA</t>
  </si>
  <si>
    <t>PROMOCIONAR INTERNACIONALMENTE, DURANTE EL PERÍODO DE GOBIERNO 4 PROVINCIAS DEL DEPARTAMENTO Y SUS PRODUCTOS</t>
  </si>
  <si>
    <t>NO DE PROVINCIAS PROMOCIONADAS INTERNACIONALMENTE</t>
  </si>
  <si>
    <t>POSICIONAR DURANTE EL PERÍODO DE GOBIERNO 100 PRODUCTOS DE CUNDINAMARCA EN EL MERCADO INTERNACIONAL.</t>
  </si>
  <si>
    <t>NO PRODUCTOS POSICIONADOS INTERNACIONALMNETE</t>
  </si>
  <si>
    <t>MARKETING TERRITORIAL</t>
  </si>
  <si>
    <t>DISEÑAR, REGISTRAR Y POSICIONAR UNA MARCA Y/O SELLO INSTITUCIONALES DEL DEPARTAMENTO EN EL PERIODO DE GOBIERNO</t>
  </si>
  <si>
    <t xml:space="preserve">NO DE MARCAS DISEÑADAS E IMPLMENTADAS </t>
  </si>
  <si>
    <t>IMPLEMENTAR UN PROGRAMA PARA APROVECHAMIENTO DE LOS TLC`S Y DEMÁS ACUERDOS INTERNACIONALES PARA EL DEPARTAMENTO, DURANTE EL PERIODO DE GOBIERNO</t>
  </si>
  <si>
    <t>NO PROGRAMAS IMPLEMENTADOS</t>
  </si>
  <si>
    <t>COOPERACIÓN INTERNACIONAL</t>
  </si>
  <si>
    <t xml:space="preserve">BENEFICIAR, DURANTE EL PERIODO DE GOBIERNO, A 50 CUNDINAMARQUESES CON LA PARTICIPACIÓN EN INTERCAMBIOS ACADÉMICOS, EMPRESARIALES. </t>
  </si>
  <si>
    <t>NO INTERCAMBIOS REALIZADOS</t>
  </si>
  <si>
    <t>DESARROLLO EMPRESARIAL MINERO</t>
  </si>
  <si>
    <t>DESARROLLAR E IMPLEMENTAR NUEVE UNIDADES BÁSICAS DE ATENCIÓN AL MINERO, COMO ESTRATEGIA ASISTENCIA TÉCNICA PREVENTIVA Y SEGUIMIENTO AL CUMPLIMIENTO NORMATIVO Y PRODUCTIVO DEL SECTOR. DURANTE EL PERIODO 2012-2016.</t>
  </si>
  <si>
    <t>NO UNIDADES BÁSICAS DE ATENCIÓN IMPLEMENTADAS.</t>
  </si>
  <si>
    <t xml:space="preserve">PROMOVER ESTRATEGIAS PARA REDUCIR EN UN 16% LA INFORMALIDAD E ILEGALIDAD EN LA EXPLOTACIÓN MINERA DE CARBÓN EN CUNDINAMARCA, DURANTE EL PERIODO DE GOBIERNO.
</t>
  </si>
  <si>
    <t>NO TRABAJADORES MINEROS FORMADOS</t>
  </si>
  <si>
    <t>PARTICIPAR EN CUATRO EVENTOS ESPECIALIZADOS COMO ALTERNATIVAS DE PROMOCIÓN Y COMERCIALIZACIÓN MINERA, DURANTE EL PERIODO 2012-2016.</t>
  </si>
  <si>
    <t>NO PARTICIPACIÓN EN EVENTOS DE COMERCIALIZACIÓN.</t>
  </si>
  <si>
    <t>APOYAR LA CONFORMACIÓN DE DOS REDES DE JUVENTUDES EN EL SECTOR MINERO, DURANTE EL PERIODO 2012-2016.</t>
  </si>
  <si>
    <t>NO DE REDES DE JUVENTUDES CONFORMADAS.</t>
  </si>
  <si>
    <t>ENERGÍA Y GAS PARA EL DESARROLLO DE CUNDINAMARCA</t>
  </si>
  <si>
    <t>NO DE MUNICIPIOS CON SERVICIOS DE GAS IMPLEMENTADO</t>
  </si>
  <si>
    <t xml:space="preserve">MEJORAR LA ECONOMÍA DE 10.000 FAMILIAS CON EL AHORRO DEL 30% DEL COSTO MENSUAL DEL SERVICIO DE GAS DOMICILIARIO.
</t>
  </si>
  <si>
    <t>NO DE HOGARES CON CONEXIÓN A ELECTRIFICACIÓN</t>
  </si>
  <si>
    <t>DISMINUIR EL DÉFICIT DE ELECTRIFICACIÓN RURAL Y URBANA EN UN 2% DE UNIDADES FAMILIARES EN EL DEPARTAMENTO.</t>
  </si>
  <si>
    <t>INFRAESTRUCTURA PARA LA MOVILIDAD</t>
  </si>
  <si>
    <t xml:space="preserve">PAVIMENTAR Y/O REHABILITAR DURANTE EL PERIODO DE GOBIERNO 250 KMS DE LA RED VIAL DE SEGUNDO ORDEN </t>
  </si>
  <si>
    <t>NO DE KMS PAVIMENTADOS O REHABILITADOS</t>
  </si>
  <si>
    <t xml:space="preserve">INCREMENTAR A 50 % LA RED VIAL DEPARTAMENTAL EN ÓPTIMAS CONDICIONES DE TRANSITABILIDAD.
</t>
  </si>
  <si>
    <t xml:space="preserve">3 CORREDORES VIALES INTEGRAN EL TERRITORIO Y MEJORAN LA MOVILIDAD EN EL DEPARTAMENTO Y LA REGIÓN.
</t>
  </si>
  <si>
    <t>REALIZAR MANTENIMIENTO PERIÓDICO Y/O RUTINARIO DURANTE LOS PRÓXIMOS CUATRO AÑOS A 3,000 KMS DE LA RED DE SEGUNDO ORDEN</t>
  </si>
  <si>
    <t xml:space="preserve">NO DE KMS DE LA RED SECUNDARIA MANTENIDOS </t>
  </si>
  <si>
    <t xml:space="preserve">APOYAR A LOS 116 MUNICIPIOS PARA REALIZAR MANTENIMIENTO PERIÓDICO Y/O RUTINARIO DURANTE LOS PRÓXIMOS CUATRO AÑOS A 3,000 KMS DE LA RED TERCIARIA </t>
  </si>
  <si>
    <t xml:space="preserve">NO DE KMS DE LA RED TERCIARIA MANTENIDOS. </t>
  </si>
  <si>
    <t>NO DE M2 DE PLACA HUELLAS DE CONCRETO CONSTRUIDAS</t>
  </si>
  <si>
    <t xml:space="preserve">APOYAR A LOS 116 MUNICIPIOS PARA PAVIMENTAR DURANTE EL PERIODO DE GOBIERNO 100.000 M2 DE SU RED VIAL URBANA </t>
  </si>
  <si>
    <t>NO DE M2 PAVIMENTADOS</t>
  </si>
  <si>
    <t>NO DE M2 DE PUENTES CONSTRUIDOS</t>
  </si>
  <si>
    <t>REALIZAR MANTENIMIENTO DURANTE EL PERIODO DE GOBIERNO A 170 PUENTES LOCALIZADOS EN LA RED VIAL SECUNDARIA Y TERCIARIA</t>
  </si>
  <si>
    <t>NO DE PUENTES MANTENIDOS</t>
  </si>
  <si>
    <t>APOYAR DURANTE EL PERIODO DE GOBIERNO A 116 MUNICIPIOS CON MAQUINARIA PARA EL MANTENIMIENTO DE LA RED VIAL</t>
  </si>
  <si>
    <t xml:space="preserve">NO DE MUNICIPIOS CON MAQUINARIA </t>
  </si>
  <si>
    <t>EFECTUAR DURANTE EL PERIODO DE GOBIERNO EL PAGO DE LAS GARANTÍAS COMERCIALES QUE SE CAUSEN EN LOS 3 CONTRATOS DE CONCESIÓN VIGENTES.</t>
  </si>
  <si>
    <t>NO DE GARANTÍAS PAGADAS/ GARANTÍAS CAUSADAS</t>
  </si>
  <si>
    <t>NO DE M2 REHABILITADOS Y/O MANTENIDOS</t>
  </si>
  <si>
    <t>NO DE PARADORES TURÍSTICOS CONSTRUIDOS</t>
  </si>
  <si>
    <t>SEGURIDAD VIAL</t>
  </si>
  <si>
    <t>REALIZAR DURANTE EL PERÍODO DE GOBIERNO, LA SEÑALIZACIÓN HORIZONTAL Y VERTICAL DE 400 KM DE LA RED VIAL DEPARTAMENTAL</t>
  </si>
  <si>
    <t>NUMERO DE KMS SEÑALIZADOS</t>
  </si>
  <si>
    <t>REDUCIR EN EL CUATRIENIO EN 20% LAS MUERTES POR ACCIDENTES DE TRÁNSITO EN NIÑOS Y NIÑAS DE 0 A 5 AÑOS</t>
  </si>
  <si>
    <t>NO DE MUERTES EN ACCIDENTES FATALES</t>
  </si>
  <si>
    <t>FORMULAR E IMPLEMENTAR, DURANTE EL PERÍODO DE GOBIERNO, LA POLÍTICA PÚBLICA DE SEGURIDAD VIAL EN EL DEPARTAMENTO</t>
  </si>
  <si>
    <t>POLÍTICA PÚBLICA IMPLEMENTADA</t>
  </si>
  <si>
    <t xml:space="preserve">CREAR DURANTE EL PERÍODO DE GOBIERNO, UN (1) OBSERVATORIO DE ACCIDENTALIDAD DEL DEPARTAMENTO, CON UNA ESTRATEGIA GESTIÓN TECNOLÓGICA Y UN SISTEMA DE INFORMACIÓN EFICIENTE. </t>
  </si>
  <si>
    <t>OBSERVATORIO CREADO</t>
  </si>
  <si>
    <t>INFRAESTRUCTURA LOGÍSTICA PARA LA PRODUCTIVIDAD</t>
  </si>
  <si>
    <t>NO DE INFRAESTRUCTURAS CONSTRUIDAS</t>
  </si>
  <si>
    <t>CONSTRUIR Y/O ADECUAR DURANTE EL PERÍODO DE GOBIERNO, 3 INFRAESTRUCTURAS PARA LA PRODUCCIÓN, DISTRIBUCIÓN Y COMERCIALIZACIÓN, COMO PLAZAS DE MERCADO, PLAZAS DE FERIAS Y EXPOSICIONES.</t>
  </si>
  <si>
    <t>NO DE INFRAESTRUCTURAS CONSTRUIDAS Y/O ADECUADAS</t>
  </si>
  <si>
    <t xml:space="preserve"> INVESTIGACION Y DESARROLLO (I+D)</t>
  </si>
  <si>
    <t>FORMULAR Y EJECUTAR DOS (2) PLANES ESTRATÉGICOS EN CIENCIA, TECNOLOGÍA E INNOVACIÓN PARA CUNDINAMARCA Y LA REGIÓN BOGOTÁ-CUNDINAMARCA, DURANTE EL PERÍODO DE GOBIERNO</t>
  </si>
  <si>
    <t xml:space="preserve"> NO DE PLANES ESTRATÉGICOS FORMULADOS </t>
  </si>
  <si>
    <t>PROMOVER TRES (3) CONVOCATORIAS DE INVESTIGACIÓN APLICADA, ABIERTAS A LAS UNIVERSIDADES, CENTROS DE INVESTIGACIÓN, CDTS Y DEMÁS ORGANIZACIONES CON PRESENCIA EN EL DEPARTAMENTO, EN ÁREAS COMO BIODIVERSIDAD, RECURSOS GENÉTICOS, BIOTECNOLOGÍA E INNOVACIÓN AG</t>
  </si>
  <si>
    <t xml:space="preserve"> NO DE CONVOCATORIAS DE INVESTIGACIÓN APLICADA </t>
  </si>
  <si>
    <t>CONSOLIDAR DOS REDES DE INNOVACIÓN PARA LOS 5 NODOS REGIONALES DE CTEI, EN ARTICULACIÓN CON EL SECTOR PRIVADO Y LA ACADEMIA, DURANTE EL PERÍODO DE GOBIERNO</t>
  </si>
  <si>
    <t xml:space="preserve"> NO DE REDES DE INNOVACIÓN CONSOLIDADAS</t>
  </si>
  <si>
    <t>IMPLEMENTAR DOS PROYECTOS INTEGRALES PARA EL FOMENTO DE LA INVESTIGACIÓN E INNOVACIÓN EN EL SECTOR EDUCATIVO Y DE LA SALUD, DURANTE EL PERÍODO DE GOBIERNO</t>
  </si>
  <si>
    <t xml:space="preserve"> NO DE PROYECTOS DE INVESTIGACIÓN Y DESARROLLO IMPLEMENTADOS</t>
  </si>
  <si>
    <t>GENERAR 2 ALIANZAS ESTRATÉGICAS CON ORGANISMOS INTERNACIONALES QUE NOS BRINDEN COOPERACIÓN TÉCNICA PARA LA GESTIÓN DE CTEI, DURANTE EL PERÍODO DE GOBIERNO.</t>
  </si>
  <si>
    <t xml:space="preserve"> NO DE ALIANZAS CON ORGANISMOS INTERNACIONALES EJECUTADAS</t>
  </si>
  <si>
    <t>PROMOVER LA CREACIÓN DE UN OBSERVATORIO QUE PERMITA ADELANTAR EL SEGUIMIENTO Y ANÁLISIS DE LAS TENDENCIAS, RESULTADOS E IMPACTOS EN MATERIA DE CIENCIA, TECNOLOGÍA E INNOVACIÓN, QUE INVOLUCRE A LOS DIFERENTES ACTORES RELEVANTES DEL SECTOR, DURANTE EL PERÍO</t>
  </si>
  <si>
    <t xml:space="preserve"> OBSERVATORIOS PUESTOS EN MARCHA </t>
  </si>
  <si>
    <t>DESARROLLAR 4 SEMANAS DE LA CTEI (LAS CUALES INCLUIRÁN OLIMPIADAS Y COMPETENCIAS), CON PARTICIPACIÓN DE LOS 116 MUNICIPIOS DEL DEPARTAMENTO, DURANTE EL PERÍODO DE GOBIERNO.</t>
  </si>
  <si>
    <t xml:space="preserve"> SEMANAS DE CTEI DESARROLLADAS </t>
  </si>
  <si>
    <t>CREAR 2 PROYECTOS DE INVESTIGACIÓN INNOVACIÓN COMPETITIVIDAD Y EMPRENDIMIENTO EN SALUD PÚBLICA, EN EL ÁMBITO MÉDICO-HOSPITALARIO, MEDIO AMBIENTE Y LA BIODIVERSIDAD, Y EN DESARROLLO SOCIAL ECONÓMICO.</t>
  </si>
  <si>
    <t xml:space="preserve"> NO DE PROYECTOS DE INVESTIGACIÓN CREADOS </t>
  </si>
  <si>
    <t>OTORGAR TRES (3) PREMIOS AL FOMENTO DE LA INNOVACIÓN Y DESARROLLO TECNOLÓGICO DE LOS CUNDINAMARQUESES DESTACADOS EN CTEI, DURANTE EL PERÍODO DE GOBIERNO.</t>
  </si>
  <si>
    <t xml:space="preserve"> NO DE PREMIOS OTORGADOS </t>
  </si>
  <si>
    <t>INNOVACION SOCIAL</t>
  </si>
  <si>
    <t>DINAMIZAR LA CONSOLIDACIÓN DE DOS CENTROS DIRIGIDOS A LA INNOVACIÓN SOCIAL, PRODUCTIVA, RURAL Y MINERA, GESTIÓN DEL CONOCIMIENTO PARA EL DESARROLLO EMPRESARIAL Y SOCIAL, DURANTE EL PERÍODO DE GOBIERNO.</t>
  </si>
  <si>
    <t xml:space="preserve"> NO DE CENTROS DE INNOVACIÓN SOCIAL CONSOLIDADOS</t>
  </si>
  <si>
    <t>CREAR Y PONER EN MARCHA UN PROGRAMA EN LOS 5 NODOS REGIONALES PARA LA GENERACIÓN DE LÍDERES INNOVADORES Y GESTORES DE LA CTEI DEL DEPARTAMENTO, DURANTE EL PERÍODO DE GOBIERNO.</t>
  </si>
  <si>
    <t xml:space="preserve"> NO DE PROGRAMAS PUESTOS EN MARCHA </t>
  </si>
  <si>
    <t>OPERATIVIZAR Y PONER EN MARCHA 4 CONSEJOS REGIONALES DE CTEI, DURANTE EL PERÍODO DE GOBIERNO.</t>
  </si>
  <si>
    <t xml:space="preserve"> NO DE CONSEJOS REGIONALES DE CTEI OPERATIVIZADOS</t>
  </si>
  <si>
    <t>INNOVACION RURAL</t>
  </si>
  <si>
    <t>APOYAR LA CONSOLIDACIÓN DEL CORREDOR TECNOLÓGICO AGROINDUSTRIAL COMO UN CENTRO DE PROMOCIÓN DE LA INNOVACIÓN PARA EL SECTOR AGROPECUARIO, DURANTE EL PERÍODO DE GOBIERNO.</t>
  </si>
  <si>
    <t xml:space="preserve"> CORREDORES TECNOLÓGICOS CONSOLIDADOS </t>
  </si>
  <si>
    <t>PROMOVER LA EJECUCIÓN DE DOS (2) PROYECTOS ORIENTADOS AL FORTALECIMIENTO DE LAS CAPACIDADES Y COMPETENCIAS REQUERIDAS PARA LA GENERACIÓN DE CONOCIMIENTO Y TRANSFERENCIA DE TECNOLOGÍA ENFOCADAS HACIA EL FOMENTO DE LA CONVERGENCIA TECNOLÓGICA (TIC'S, BIOTEC</t>
  </si>
  <si>
    <t xml:space="preserve"> NO DE PROYECTOS DE FORTALECIMIENTO DE CAPACIDADES Y COMPETENCIAS EJECUTADOS</t>
  </si>
  <si>
    <t xml:space="preserve">INNOVACION PRODUCTIVA </t>
  </si>
  <si>
    <t>DESARROLLAR TRES PROGRAMAS PARA EL FOMENTO DEL EMPRENDIMIENTO DE BASE TECNOLÓGICA O INNOVADORA DURANTE EL PERÍODO DE GOBIERNO.</t>
  </si>
  <si>
    <t xml:space="preserve"> NO DE PROGRAMAS DE EMPRENDIMIENTO DESARROLLADOS</t>
  </si>
  <si>
    <t>DISEÑAR Y EJECUTAR DURANTE EL PERÍODO DE GOBIERNO, UN (1) PROGRAMA DE PROMOCIÓN, APROPIACIÓN Y USO DE LA PROPIEDAD INTELECTUAL EN EL DEPARTAMENTO</t>
  </si>
  <si>
    <t xml:space="preserve"> NO DE PROGRAMAS QUE PROMUEVEN APROPIACIÓN INTELECTUAL - PI </t>
  </si>
  <si>
    <t>DISEÑAR Y PONER EN MARCHA DOS BANCOS DE CONOCIMIENTO: UNO DE PROYECTOS DE CTEI Y OTRO DE SABERES TRADICIONALES Y BIODIVERSIDAD DEL DEPARTAMENTO DURANTE EL PERÍODO DE GOBIERNO.</t>
  </si>
  <si>
    <t xml:space="preserve"> NO DE BANCOS DE CONOCIMIENTO EN SERVICIO</t>
  </si>
  <si>
    <t>GESTIÓN DEL DESTINO</t>
  </si>
  <si>
    <t xml:space="preserve">FORMAR DURANTE EL CUATRIENIO 40 ORIENTADORES TURÍSTICOS BILINGÜES A NIVEL (B1) </t>
  </si>
  <si>
    <t>NO ORIENTADORES TURÍSTICOS BILINGÜES FORMADOS NIVEL (B1) VINCULADOS A LA ACTIVIDAD TURÍSTICA</t>
  </si>
  <si>
    <t>FORTALECER DURANTE EL CUATRIENIO A 1.500 PERSONAS VINCULADAS CON LA ACTIVIDAD TURÍSTICA EN CUNDINAMARCA, EN GESTIÓN TURÍSTICA CON PROCESOS DE FORMACIÓN</t>
  </si>
  <si>
    <t xml:space="preserve">NO PERSONAS CON CAPACIDADES FORTALECIDAS EN GESTIÓN TURÍSTICA </t>
  </si>
  <si>
    <t xml:space="preserve">FORTALECER E IMPLEMENTAR DURANTE EL CUATRIENIO 2 FORMAS ASOCIATIVAS TURÍSTICAS COMUNITARIAS RURALES </t>
  </si>
  <si>
    <t>NO ASOCIACIONES TURÍSTICAS COMUNITARIAS RURALES IMPLEMENTADAS</t>
  </si>
  <si>
    <t>DISEÑAR Y PONER EN FUNCIONAMIENTO DURANTE EL CUATRIENIO UNA RED DE 13 PUNTOS DE INFORMACIÓN TURÍSTICA EN PROVINCIAS Y MUNICIPIOS TURÍSTICOS DE CUNDINAMARCA.</t>
  </si>
  <si>
    <t>NO DE PUNTOS DE INFORMACIÓN TURÍSTICA - PIT'S DISEÑADOS Y EN FUNCIONAMIENTO</t>
  </si>
  <si>
    <t>FORTALECER 4 DESTINOS TURÍSTICOS CON POTENCIALIDAD REGIONAL, NACIONAL E INTERNACIONAL</t>
  </si>
  <si>
    <t>NO DESTINOS TURÍSTICOS FORTALECIDOS</t>
  </si>
  <si>
    <t>SEÑALIZAR DURANTE EL CUATRIENIO 22 MUNICIPIOS CON POTENCIAL TURÍSTICO</t>
  </si>
  <si>
    <t>NO DE MUNICIPIOS CON SEÑALIZACIÓN TURÍSTICA</t>
  </si>
  <si>
    <t>IMPLEMENTAR DURANTE EL PERÍODO DE GOBIERNO TURISMO COMUNITARIO CON 1 CORREDOR TURÍSTICO INTERMUNICIPAL EN LA PROVINCIA DEL TEQUENDAMA Y MUNICIPIOS ALEDAÑOS</t>
  </si>
  <si>
    <t>NO CORREDOR TURÍSTICO INTERMUNICIPAL IMPLEMENTADO</t>
  </si>
  <si>
    <t>PROMOCIÓN TURÍSTICA</t>
  </si>
  <si>
    <t>REALIZAR DURANTE EL CUATRIENIO 20 EVENTOS PROMOCIONALES DEL DESTINO CUNDINAMARCA: VIAJES DE FAMILIARIZACIÓN (FAM TRIP´S), RUEDAS DE NEGOCIOS, FERIAS Y VITRINAS TURÍSTICAS, ENTRE OTROS.</t>
  </si>
  <si>
    <t>NO PROMOCIONES DESTINO CUNDINAMARCA REALIZADOS</t>
  </si>
  <si>
    <t>NO EVENTOS TERRITORIALES QUE FOMENTAN EL POTENCIAL TURÍSTICO</t>
  </si>
  <si>
    <t>REALIZAR DURANTE EL PERIODO DE GOBIERNO 8 PROMOCIONES TURÍSTICAS CON ESTRATEGIAS IEC(INFORMACIÓN, EDUCACIÓN, COMUNICACIÓN)</t>
  </si>
  <si>
    <t>NO PROMOCIONES TURÍSTICAS CON ESTRATEGIAS IEC REALIZADAS</t>
  </si>
  <si>
    <t>SUPRAREGIONAL</t>
  </si>
  <si>
    <t>DESARROLLAR 2 ALIANZAS ESTRATÉGICAS ENTRE ENTIDADES TERRITORIALES DEL ORDEN SUPRA REGIONAL, DURANTE EL PERIODO DE GOBIERNO.</t>
  </si>
  <si>
    <t>NO DE ALIANZAS ESTRATÉGICAS SUPRA REGIONALES DESARROLLADAS</t>
  </si>
  <si>
    <t>REGIONAL</t>
  </si>
  <si>
    <t>NO DE ALIANZAS ESTRATÉGICAS REGIONALES IMPLEMENTADAS</t>
  </si>
  <si>
    <t>SUBREGIONAL</t>
  </si>
  <si>
    <t>NO DE ALIANZAS ESTRATÉGICAS SUB REGIONALES IMPLEMENTADAS</t>
  </si>
  <si>
    <t>SEGURIDAD URBANA Y RURAL</t>
  </si>
  <si>
    <t>MUNICIPIOS CON MAYOR PIE DE FUERZA</t>
  </si>
  <si>
    <t xml:space="preserve">FORTALECER 15 PROVINCIAS EN SEGURIDAD MEDIANTE LAS COMUNICACIONES, TECNOLOGÍA, MOVILIDAD, LOGÍSTICA, DOTACIONES, DURANTE EL PERIODO DE GOBIERNO. </t>
  </si>
  <si>
    <t xml:space="preserve">NO DE PROVINCIAS APOYADAS </t>
  </si>
  <si>
    <t>MEJORAR 5 INSTALACIONES DE LA FUERZA PÚBLICA ADECUADAS O REMODELADAS AL SERVICIO DE LA SEGURIDAD EN EL DEPARTAMENTO, DURANTE EL PERIODO DE GOBIERNO.</t>
  </si>
  <si>
    <t>NO. DE INSTALACIONES DE LA FUERZA PÚBLICA ADECUADAS O REMODELADAS.</t>
  </si>
  <si>
    <t>COFINANCIAR 5 INSTALACIONES NUEVAS DE LA FUERZA PÚBLICA AL SERVICIO DE LA SEGURIDAD EN EL DEPARTAMENTO, DURANTE EL PERIODO DE GOBIERNO.</t>
  </si>
  <si>
    <t>REALIZAR 20 BRIGADAS DE SERVICIO SOCIAL CON COMUNIDADES, ACCIÓN HUMANITARIA Y OPERACIONES ESTRATÉGICAS EN LOS MUNICIPIOS DEL DEPARTAMENTO, DURANTE EL PERIODO DE GOBIERNO</t>
  </si>
  <si>
    <t xml:space="preserve">APOYAR A LOS MUNICIPIOS DEL DEPARTAMENTO EN LA REACTIVACIÓN DE LOS COMITÉS PARA LA PREVENCIÓN DE LA PRODUCCIÓN, COMERCIALIZACIÓN Y CONSUMO DE DROGAS Y SUSTANCIAS PSICOACTIVAS, QUE PROMUEVAN LA PARTICIPACIÓN DE LA CIUDADANÍA Y LA COORDINACIÓN DE LOS ENTES </t>
  </si>
  <si>
    <t>NO. DE COMITÉS REACTIVADOS Y FUNCIONANDO</t>
  </si>
  <si>
    <t>ACCESO Y FORTALECIMIENTO DE LA JUSTICIA</t>
  </si>
  <si>
    <t>MEJORAR LAS CONDICIONES DE LAS ENTIDADES QUE PRESTAN SERVICIO A LA JUSTICIA, APOYANDO LA DOTACIÓN, CONSTRUCCIÓN, Y/O ADECUACIÓN DE 4 CENTROS ADMINISTRADORES.</t>
  </si>
  <si>
    <t>NO. DE ENTIDADES QUE ADMINISTRAN JUSTICIA APOYADAS.</t>
  </si>
  <si>
    <t>116 MUNICIPIOS FORTALECIDOS EN MECANISMOS Y PROCEDIMIENTOS EFECTIVOS PARA QUE LA CIUDADANÍA ACCEDA FÁCILMENTE A LA JUSTICIA, DURANTE EL ACTUAL PERIODO DE GOBIERNO</t>
  </si>
  <si>
    <t>NO. MUNICIPIOS FORTALECIDOS EN MECANISMOS Y PROCEDIMIENTOS DE ACCESO A LA JUSTICIA</t>
  </si>
  <si>
    <t>DISPONER DE 2 CENTROS DE ATENCIÓN ESPECIALIZADA, AL SERVICIO DE ADOLESCENTES INFRACTORES DE LA LEY PENAL, EN EL PRESENTE PERIODO DE GOBIERNO</t>
  </si>
  <si>
    <t>CONTRIBUIR A MEJORAR LAS CONDICIONES DE PERMANENCIA DE LOS INTERNOS EN 5 CENTROS CARCELARIOS, EN LOS CUATRO AÑOS DEL PERIODO DE GOBIERNO. A TRAVÉS, DE INFRAESTRUCTURA, DOTACIÓN, PROCESOS DE FORMACIÓN A INTERNOS, RESOCIALIZACIÓN, ENTRE OTROS.</t>
  </si>
  <si>
    <t xml:space="preserve">NO. DE CENTROS CARCELARIOS CON MEJOR SERVICIO </t>
  </si>
  <si>
    <t>NO CENTRO EN SERVICIO</t>
  </si>
  <si>
    <t>DERECHOS HUMANOS Y CONVIVENCIA</t>
  </si>
  <si>
    <t>REALIZAR PROCESOS DE PREVENCIÓN EN EL 100% DE LOS MUNICIPIOS AFECTADOS POR TRATA DE PERSONAS, RECLUTAMIENTO FORZADO Y MINAS ANTIPERSONAS, PROMOVIENDO UNA CULTURA DE LA PROTECCIÓN DE DERECHOS HUMANOS, DURANTE EL PERIODO DE GOBIERNO</t>
  </si>
  <si>
    <t>% DE MUNICIPIOS CON PROCESOS DE PREVENCIÓN EN TRATA DE PERSONAS</t>
  </si>
  <si>
    <t>PROMOVER LA FORMACIÓN DE 116 COMISARIOS DE FAMILIAS EN LA NORMATIVIDAD VIGENTE CON EL FIN DE PROPORCIONARLES HERRAMIENTAS PARA FORTALECER EL CUMPLIMIENTO DE SUS FUNCIONES, DURANTE EL ACTUAL PERIODO DE GOBIERNO.</t>
  </si>
  <si>
    <t>NO DE COMISARIOS DE FAMILIAS FORMADOS</t>
  </si>
  <si>
    <t>CREAR Y PONER EN FUNCIONAMIENTO LA INSTANCIA TERRITORIAL DE DERECHOS HUMANOS Y DERECHO INTERNACIONAL HUMANITARIO PARA LA COORDINACIÓN, ARTICULACIÓN, IMPLEMENTACIÓN Y EL SEGUIMIENTO DE LA POLÍTICA PÚBLICA DE DERECHOS HUMANOS Y DERECHO INTERNACIONAL HUMANIT</t>
  </si>
  <si>
    <t>INSTANCIAS TERRITORIALES EN DERECHOS HUMANOS EN SERVICIO</t>
  </si>
  <si>
    <t>REALIZAR PROCESOS DE FORMACIÓN EN 116 MUNICIPIOS PARA LA APLICACIÓN DE POLÍTICA PÚBLICA DE DERECHOS HUMANOS: VIDA, INTEGRIDAD, LIBERTAD Y SEGURIDAD, IGUALDAD Y NO DISCRIMINACIÓN, CULTURA Y EDUCACIÓN; CON EL FIN DE GARANTIZAR A LA COMUNIDAD SUS DERECHOS E</t>
  </si>
  <si>
    <t>NO MUNICIPIOS FORTALECIDOS EN CAPACIDAD INSTITUCIONAL PARA DERECHOS HUMANOS.</t>
  </si>
  <si>
    <t>IMPLEMENTAR UNA ESTRATEGIA DE PROMOCIÓN, RESPETO Y RECONOCIMIENTO DE LA DIVERSIDAD Y LA RECONCILIACIÓN QUE BENEFICIE LOS 116 MUNICIPIOS DEL DEPARTAMENTO, DURANTE EL PERIODO DE GOBIERNO</t>
  </si>
  <si>
    <t>UNA ESTRATEGIA DE PROMOCIÓN IMPLEMENTADA</t>
  </si>
  <si>
    <t>FORTALECIMIENTO DE LA GESTIÓN</t>
  </si>
  <si>
    <t>AJUSTE INSTITUCIONAL IMPLEMENTADO ACORDE A LAS NECESIDADES ACTUALES DE LA ENTIDAD.</t>
  </si>
  <si>
    <t>NO. DE AJUSTES INSTITUCIONALES IMPLEMENTADOS</t>
  </si>
  <si>
    <t>IMPLEMENTAR 100% DEL SISTEMA INTEGRAL DE GESTIÓN Y CONTROL PARA ALCANZAR LA CERTIFICACIÓN</t>
  </si>
  <si>
    <t>CERTIFICACIÓN DEL SECTOR CENTRAL DE LA GOBERNACIÓN DE CUNDINAMARCA</t>
  </si>
  <si>
    <t>ACREDITAR LA SECRETARIA DE SALUD EN EL MARCO DEL SISTEMA ÚNICO DE ACREDITACIÓN PARA DIRECCIONES TERRITORIALES DE SALUD</t>
  </si>
  <si>
    <t>SECRETARÍA DE SALUD ACREDITADA</t>
  </si>
  <si>
    <t>NO DE ENTIDADES Y MUNICIPIOS CON ASESORÍA</t>
  </si>
  <si>
    <t>FORTALECER TRES ENTIDADES DEPARTAMENTALES PARA MEJORAR SU CAPACIDAD DE ATENCIÓN A LA COMUNIDAD Y LA PRESTACIÓN DE SERVICIOS.</t>
  </si>
  <si>
    <t>NO DE ENTIDADES FORTALECIDAS</t>
  </si>
  <si>
    <t xml:space="preserve">MEJORAR LA CAPACIDAD DE RESPUESTA AL USUARIO CON LA IMPLEMENTACIÓN DE UN SISTEMA DE ATENCIÓN DURANTE EL CUATRIENIO. </t>
  </si>
  <si>
    <t>NO DE SISTEMAS DE ATENCIÓN AL CIUDADANO</t>
  </si>
  <si>
    <t xml:space="preserve">IMPLEMENTAR (1) UN PROGRAMA PARA BUENAS PRÁCTICAS EN LOS PROCESOS DE GESTIÓN DOCUMENTAL Y DE ARCHIVO </t>
  </si>
  <si>
    <t>NO DE PROGRAMAS DE BUENAS PRÁCTICAS DE GESTIÓN DOCUMENTAL IMPLEMENTADO</t>
  </si>
  <si>
    <t>NO DE AMBIENTES FÍSICOS MEJORADOS, ADECUADOS, Y/O ADQUIRIDOS</t>
  </si>
  <si>
    <t>MODERNIZAR 8 EMPRESAS SOCIALES DEL ESTADO DURANTE EL CUATRIENIO</t>
  </si>
  <si>
    <t>N° DE EMPRESAS SOCIALES DEL ESTADO MODERNIZADAS</t>
  </si>
  <si>
    <t>AUMENTAR EL CUMPLIMIENTO DEL SISTEMA OBLIGATORIO DE GARANTÍA DE LA CALIDAD EN EL 100% DE LAS EMPRESAS SOCIALES DEL ESTADO.</t>
  </si>
  <si>
    <t xml:space="preserve">% DE EMPRESAS SOCIALES DEL ESTADO CON CUMPLIMIENTO DEL SISTEMA OBLIGATORIO DE GARANTÍA DE LA CALIDAD </t>
  </si>
  <si>
    <t>DESARROLLAR EN EL DEPARTAMENTO DE CUNDINAMARCA LAS ACCIONES COMPETENTES DE INSPECCIÓN, VIGILANCIA Y CONTROL EN EL 100% DE LOS SUJETOS SUSCEPTIBLES DE INTERVENCIÓN EN EL MARCO DE LA PRESTACIÓN DE SERVICIOS DE SALUD, ASEGURAMIENTO, FINANCIAMIENTO DEL</t>
  </si>
  <si>
    <t>% DE LOS SUJETOS SUSCEPTIBLES DE INTERVENCIÓN EN EL MARCO DE LA PRESTACIÓN DE SERVICIOS DE SALUD, ASEGURAMIENTO, FINANCIAMIENTO DEL SGSSS Y SALUD PUBLICA</t>
  </si>
  <si>
    <t>ESCUELA DE BUEN GOBIERNO</t>
  </si>
  <si>
    <t>CONTRIBUIR AL BUEN GOBIERNO CON ESCUELA DE BUEN GOBIERNO QUE MEJORE CAPACIDADES COMO MÍNIMO DEL 40% DE FUNCIONARIOS.</t>
  </si>
  <si>
    <t>% DE FUNCIONARIOS QUE APLICAN NUEVAS CAPACIDADES A SU GESTIÓN</t>
  </si>
  <si>
    <t>BIENESTAR E INCENTIVOS</t>
  </si>
  <si>
    <t>PROMOVER EL BIENESTAR Y LA SALUD OCUPACIONAL CON LA PARTICIPACIÓN DEL 80% DE LOS FUNCIONARIOS DEL SECTOR CENTRAL EN LOS PLANES Y PROGRAMAS QUE INCENTIVEN EL MEJORAMIENTO DE LA CALIDAD DE VIDA DE LOS MISMOS.</t>
  </si>
  <si>
    <t>% DE FUNCIONARIOS USUARIOS PARTICIPANDO DE PLANES DE BIENESTAR</t>
  </si>
  <si>
    <t>$ RECURSOS DESTINADOS A MEJORAR CALIDAD DE VIDA DE AFILIADOS A LA CORPORACIÓN SOCIAL</t>
  </si>
  <si>
    <t>BENEFICIAR AL 50% AFILIADOS Y BENEFICIARIOS A LA CORPORACIÓN SOCIAL DE CUNDINAMARCA CON OFERTA DE PROGRAMAS DE BIENESTAR.</t>
  </si>
  <si>
    <t xml:space="preserve">% DE FUNCIONARIOS AFILIADOS USUARIOS DEL PROGRAMA DE BIENESTAR. </t>
  </si>
  <si>
    <t>GARANTIZAR SERVICIO MÉDICO OCUPACIONAL, EXÁMENES PERIÓDICOS, ASESORÍAS MÉDICO LABORALES, ESTADÍSTICA MÉDICO- SOCIAL AL 95% SERVIDORES PÚBLICOS DEL NIVEL CENTRAL DURANTE EL CUATRIENIO</t>
  </si>
  <si>
    <t>% SERVIDORES PÚBLICOS USUARIOS DE LOS SERVICIOS</t>
  </si>
  <si>
    <t>MEJORAR EL MANEJO DEL RIESGO DE LA GOBERNACIÓN DE CUNDINAMARCA Y SUS SEDES EXTERNAS CON LA ATENCIÓN MÍNIMA DEL 50% DE LAS RECOMENDACIONES</t>
  </si>
  <si>
    <t>% DE RECOMENDACIONES ATENDIDAS</t>
  </si>
  <si>
    <t>PARAMETRIZACIÓN Y PUESTA EN MARCHA DE UN (1) SISTEMA PROPIO DE EVALUACIÓN DE DESEMPEÑO</t>
  </si>
  <si>
    <t>SISTEMA PROPIO DE EVALUACIÓN DE DESEMPEÑO IMPLEMENTADO</t>
  </si>
  <si>
    <t>COMUNICAICONES PARTICIPATIVAS</t>
  </si>
  <si>
    <t>ESTRATEGIAS IEC DURANTE LOS 4 AÑOS FACILITAN LA INTEGRACIÓN, PARTICIPACIÓN Y DIÁLOGOS ENTRE LOS ACTORES INSTITUCIONALES, COMUNIDAD Y USUARIOS</t>
  </si>
  <si>
    <t>NO DE AÑOS CON ESTRATEGIAS IEC QUE FACILITAN LA INTERCOMUNICACIÓN</t>
  </si>
  <si>
    <t>ESTRATEGIAS IEC DURANTE LOS 4 AÑOS VINCULAN A LOS ACTORES EN LA GESTIÓN, PARA EL DESEMPEÑO DE ROLES, CORRESPONSABILIDAD INSTITUCIONAL Y CIVIL PARA EL CUMPLIMIENTO DE LOS OBJETIVOS Y RESULTADOS</t>
  </si>
  <si>
    <t>NO DE AÑOS CON ESTRATEGIAS IEC QUE FORTALECEN ROLES Y CORRESPONSABILIDAD EN LA GESTIÓN PARA RESULTADO</t>
  </si>
  <si>
    <t xml:space="preserve">UN (1) CALLCENTER CON ATENCIÓN PERSONALIZADA ATIENDE LOS SERVICIOS DE LA COMUNIDAD DE LOS 116 MUNICIPIOS </t>
  </si>
  <si>
    <t>NO DE CALLCENTER CON SERVICIO PERSONALIZADO DE USUARIOS CIUDADANOS</t>
  </si>
  <si>
    <t>ESFUERZO FISCAL</t>
  </si>
  <si>
    <t>FORTALECER LAS FINANZAS DEL DEPARTAMENTO CON LA DISMINUCIÓN AL 15% DURANTE EL PERIODO 2012 AL 2016 EL VALOR DEJADO DE PERCIBIR POR CONTRABANDO, ADULTERACIÓN, FALSIFICACIÓN, EVASIÓN Y ELUSIÓN DE IMPUESTOS DEPARTAMENTALES CON RESPECTO A LA NACIÓN.</t>
  </si>
  <si>
    <t>% DEJADO DE PERCIBIR POR EL DEPARTAMENTO EN CONTRABANDO, ADULTERACIÓN, FALSIFICACIÓN, EVASIÓN, ELUSIÓN. / % DEJADO DE PERCIBIR POR LA NACIÓN EN CONTRABANDO, ADULTERACIÓN, FALSIFICACIÓN, EVASIÓN, ELUSIÓN.</t>
  </si>
  <si>
    <t>COOPERACIÓN Y GESTIÓN ESTRATÉGICA PARA EL DESARROLLO</t>
  </si>
  <si>
    <t>NO DE ACUERDOS SUSCRITOS</t>
  </si>
  <si>
    <t xml:space="preserve">CONSOLIDAR POR LO MENOS 4 ESPACIOS Y MECANISMOS DE GESTIÓN DE ORDEN INTERNACIONAL, NACIONAL, REGIONAL O LOCAL CON ALIANZAS INSTITUCIONALES Y PÚBLICO PRIVADAS. </t>
  </si>
  <si>
    <t>NO DE ESPACIOS Y MECANISMOS DE GESTIÓN CONSOLIDADOS</t>
  </si>
  <si>
    <t>FORMAR A 6000 FUNCIONARIOS MUNICIPALES Y SOCIEDAD CIVIL EN DESTREZAS Y HABILIDADES PARA LA GESTIÓN INTEGRAL DURANTE EL PERÍODO DE GOBIERNO.</t>
  </si>
  <si>
    <t>NÚMERO DE FUNCIONARIOS Y SOCIEDAD CIVIL FORMADOS.</t>
  </si>
  <si>
    <t>IMPLEMENTAR EN 40 MUNICIPIOS PRÁCTICAS DE BUEN GOBIERNO EN EL CUATRIENIO</t>
  </si>
  <si>
    <t>NÚMERO DE MUNICIPIOS CON PRÁCTICAS DE BUEN GOBIERNO</t>
  </si>
  <si>
    <t>RED PARA EL CONOCIMIENTO Y LA INFORMACION</t>
  </si>
  <si>
    <t>INCREMENTAR EN UN 50% EL NÚMERO DE USUARIOS DE LA RED DE CONOCIMIENTO DURANTE EL CUATRIENIO.</t>
  </si>
  <si>
    <t>NÚMERO DE USUARIOS DE LA RED DE INFORMACIÓN Y CONOCIMIENTO.</t>
  </si>
  <si>
    <t>FORTALECIMIENTO INTEGRAL A LA GESTION LOCAL</t>
  </si>
  <si>
    <t>APOYAR EN 4 PROCESOS ELECTORALES A LOS 116 MUNICIPIOS DURANTE EL PERÍODO DE GOBIERNO</t>
  </si>
  <si>
    <t xml:space="preserve">NÚMERO DE JORNADAS ELECTORALES </t>
  </si>
  <si>
    <t>NO. DE MUNICIPIOS CON ACTUALIZACIÓN CATASTRAL COFINANCIADOS.</t>
  </si>
  <si>
    <t>FORTALECER LA CAPACIDAD INSTITUCIONAL CON LA IMPLEMENTACIÓN 4 UNIDADES DE APOYO A LA GESTIÓN TERRITORIAL</t>
  </si>
  <si>
    <t>NUMERO DE UAGT PUESTAS EN FUNCIONAMIENTO</t>
  </si>
  <si>
    <t>ACERCAMIENTO DE LA OFERTA INSTITUCIONAL PARA EL EMPODERAMIENTO Y LA GESTIÓN CON 4 FERIAS INSTITUCIONALES DURANTE EL PERIODO DE GOBIERNO</t>
  </si>
  <si>
    <t>NO DE FERIAS INSTITUCIONALES REALIZADAS DURANTE EL PERIODO DE GOBIERNO</t>
  </si>
  <si>
    <t>PROCESOS DE COOPERACION HORIZONTAL Y HERMANAMIENTOS</t>
  </si>
  <si>
    <t>FORTALECER 12 MUNICIPIOS EN GESTIÓN INTEGRAL A TRAVÉS DE PROCESOS DE COOPERACIÓN HORIZONTAL DURANTE DEL PERÍODO DE GOBIERNO</t>
  </si>
  <si>
    <t>NUMERO DE PROCESOS DE COOPERACIÓN HORIZONTAL ENTRE MUNICIPIOS FORMALIZADOS</t>
  </si>
  <si>
    <t xml:space="preserve">MEJORAMIENTO DEL SERVICIO </t>
  </si>
  <si>
    <t>CONSTRUIR, MEJORAR, MANTENER Y DOTAR 15 CASAS DE GOBIERNO CON EL OBJETO DE QUE PRESTEN UN BUEN SERVICIO A LA CIUDADANÍA</t>
  </si>
  <si>
    <t>NO DE CASAS DE GOBIERNO EN BUEN ESTADO</t>
  </si>
  <si>
    <t>INSTANCIAS DE PARTICIPACIÓN INSTITUCIONAL</t>
  </si>
  <si>
    <t>FORTALECER EN EL CUATRIENIO AL CONSEJO TERRITORIAL DE PLANEACIÓN.</t>
  </si>
  <si>
    <t>NÚMERO DE AÑOS DE FORTALECIMIENTO DEL CONSEJO TERRITORIAL DE PLANEACIÓN</t>
  </si>
  <si>
    <t>FORTALECER 117 CONSEJOS DE POLÍTICA SOCIAL UNO DEPARTAMENTAL Y 116 MUNICIPALES OPERANDO EFECTIVAMENTE CON SEGUIMIENTO EN LOS CUATRO AÑOS DE GOBIERNO</t>
  </si>
  <si>
    <t>NO CONSEJOS DE POLÍTICA SOCIAL MUNICIPALES CUALIFICADOS, OPERANDO EFECTIVAMENTE CON SEGUIMIENTO</t>
  </si>
  <si>
    <t>FOMENTAR LA PARTICIPACIÓN INCLUYENTE CON LA CREACIÓN DE 117 CONSEJOS CONSULTIVOS DE MUJER UNO DEPARTAMENTAL Y 116 MUNICIPALES INCIDIENDO Y OPERANDO EFECTIVAMENTE EN EL DESARROLLO EN LOS CUATRO AÑOS DE GOBIERNO</t>
  </si>
  <si>
    <t>NO DE CONSEJOS CONSULTIVOS DE MUJER INCIDIENDO Y OPERANDO EFECTIVAMENTE</t>
  </si>
  <si>
    <t>VEEDURIAS CIUDADANAS Y MECANISMOS DE PARTICIPACIÓN SOCIAL EN SALUD</t>
  </si>
  <si>
    <t xml:space="preserve">FOMENTAR EN EL 100% DE MUNICIPIOS LA CREACIÓN DE VEEDURÍAS CIUDADANAS QUE FOMENTEN EL CONTROL Y PARTICIPACIÓN SOCIAL, INSTRUMENTO REAL Y EFECTIVO QUE EJERCE VIGILANCIA Y CONTROL DURANTE EL PERIODO DE GOBIERNO </t>
  </si>
  <si>
    <t>NO. DE MUNICIPIOS CON TRANSFERENCIAS TÉCNICAS Y LOGÍSTICAS</t>
  </si>
  <si>
    <t xml:space="preserve">NO DE PROYECTOS, PROGRAMAS Y OBRAS CON VEEDURÍA CIUDADANA </t>
  </si>
  <si>
    <t>INSTANCIAS DE PARTICIPACIÓN EN ORGANIZACIONES COMUNITARIAS</t>
  </si>
  <si>
    <t xml:space="preserve">REALIZAR 116 OBRAS Y/O SERVICIOS SOCIOECONÓMICOS DE INNOVACIÓN PARA EL DESARROLLO COMUNITARIO Y LOCAL, DURANTE EL PERIODO DE GOBIERNO EN LOS MUNICIPIOS </t>
  </si>
  <si>
    <t>NO DE OBRAS Y SERVICIOS SOCIOECONÓMICOS DE INNOVACIÓN PARA EL DESARROLLO COMUNITARIO Y LOCAL, DURANTE EL PERIODO DE GOBIERNO</t>
  </si>
  <si>
    <t>LOGRAR 60 MUNICIPIOS MÁS AMABLES CON TRABAJO COMUNITARIO PARA EL EMBELLECIMIENTO DEL ENTORNO QUE HABITAN, DURANTE EL PERIODO DE GOBIERNO</t>
  </si>
  <si>
    <t xml:space="preserve">NO MUNICIPIOS MÁS AMABLES EN ENTORNO </t>
  </si>
  <si>
    <t>APOYAR 2000 ORGANIZACIONES COMUNITARIAS EN ADMINISTRACIÓN Y GESTIÓN COMUNAL DURANTE EL PERIODO DEL GOBIERNO</t>
  </si>
  <si>
    <t>NO ORGANIZACIONES FORTALECIDAS EN ADMINISTRACIÓN Y GESTIÓN COMUNAL</t>
  </si>
  <si>
    <t>FORTALECER 2000 ORGANIZACIONES COMUNITARIAS EN PARTICIPACIÓN E INCLUSIÓN CON DINÁMICAS DE INTEGRACIÓN Y COMUNICACIÓN.</t>
  </si>
  <si>
    <t>NO ORGANIZACIONES FORTALECIDAS EN PARTICIPACIÓN E INCLUSIÓN CON DINÁMICAS DE INTEGRACIÓN Y COMUNICACIÓN.</t>
  </si>
  <si>
    <t>FOMENTAR LA CREACIÓN DE 3 MESAS AUTÓNOMAS DE LOS GRUPOS ÉTNICOS.</t>
  </si>
  <si>
    <t>MESAS AUTÓNOMAS CREADAS Y EN FUNCIONAMIENTO</t>
  </si>
  <si>
    <t>NUMERO DE MUNICIPIOS CON ORGANIZACIONES COMUNITARIAS GESTORAS DE AGENDAS DE DESARROLLO LOCAL POR SISTEMA DE INFORMACIÓN MISIONAL</t>
  </si>
  <si>
    <t>NO MUNICIPIOS CON ORGANIZACIONES COMUNITARIAS GESTORAS DE AGENDAS DE DESARROLLO LOCAL</t>
  </si>
  <si>
    <t>APROPIACIÓN DE NUESTRA IDENTIDAD CULTURAL</t>
  </si>
  <si>
    <t>CONFORMAR UNA RED DE MEMORIA HISTÓRICA CULTURAL Y GESTIÓN PATRIMONIAL DURANTE EL PERIODO DE GOBIERNO (INVENTARIOS, PLANES, ENTRE OTROS)</t>
  </si>
  <si>
    <t>NÚMERO DE REDES DE GESTIÓN PATRIMONIAL</t>
  </si>
  <si>
    <t>FORTALECIMIENTO DE 12 MUSEOS Y/O BIENES DE INTERÉS CULTURAL, COMO ESCENARIOS QUE RESGUARDAN EL PATRIMONIO CULTURAL, EN EL CUATRIENIO.</t>
  </si>
  <si>
    <t>BIENES DE INTERÉS CULTURAL FORTALECIDOS</t>
  </si>
  <si>
    <t>FOMENTAR LA CULTURA PATRIMONIAL CON 24 EVENTOS INTERGENERACIONALES, PROVINCIALES, INTERDEPARTAMENTALES, E INTERNACIONALES, DE PROMOCIÓN, INTERCAMBIO, Y/O REPRESENTACIÓN HISTÓRICA, TURÍSTICA Y CULTURAL DURANTE EL CUATRIENIO.</t>
  </si>
  <si>
    <t>EVENTOS CULTURALES DE PROMOCIÓN, INTERCAMBIO O PARTICIPACIÓN HISTÓRICA Y TURÍSTICA REALIZADOS</t>
  </si>
  <si>
    <t>FOMENTAR EL INTERÉS DE LA CIUDADANÍA PARA PARTICIPAR EN GRUPOS DE VIGÍAS DEL PATRIMONIO DURANTE EL PERIODO DE GOBIERNO, PARA LA DEFENSA Y PROMOCIÓN DEL PATRIMONIO CULTURAL.</t>
  </si>
  <si>
    <t>CIUDADANÍA PARTICIPANDO EN LOS GRUPOS DE VIGÍAS</t>
  </si>
  <si>
    <t>INFRAESTRUTURA EN TIC</t>
  </si>
  <si>
    <t xml:space="preserve">IMPLEMENTAR UNA DE RED SOCIAL DE DATOS, BASADA EN INFRAESTRUCTURA DE TELECOMUNICACIONES DEL DEPARTAMENTO, PRIORIZANDO LOS SERVICIOS DE SALUD Y EDUCACIÓN QUE GARANTICE LA CONECTIVIDAD ENTRE LA ADMINISTRACIÓN DEPARTAMENTAL Y 35 MUNICIPIOS (NBI MÁS ALTOS), </t>
  </si>
  <si>
    <t>ENTIDADES TERRITORIALES CON ACCESO A LA RED DE DATOS DEL DEPARTAMENTO</t>
  </si>
  <si>
    <t xml:space="preserve">AMPLIAR LA COBERTURA DE CONECTIVIDAD DE FIBRA ÓPTICA DE 34 A 116 CABECERAS MUNICIPALES DURANTE EL PERIODO DE GOBIERNO, CON EL APOYO DEL GOBIERNO NACIONAL </t>
  </si>
  <si>
    <t>NÚMERO DE CABECERAS CONECTADAS CON FIBRA ÓPTICA</t>
  </si>
  <si>
    <t>FORTALECER EL 25% DE LA INFRAESTRUCTURA DE PROCESAMIENTO DE DATOS Y PASAR DEL 30% AL 65% DE LA INFRAESTRUCTURA COMPUTACIONAL DEL NIVEL CENTRAL DEL DEPARTAMENTO ACTUALIZADA Y SOPORTADA, PARA EL DESARROLLO BASADO EN HERRAMIENTAS TECNOLÓGICAS DURANTE EL PERI</t>
  </si>
  <si>
    <t>PORCENTAJE DE INFRAESTRUCTURA DE PROCESAMIENTO DE DATOS FORTALECIDA</t>
  </si>
  <si>
    <t>PORCENTAJE DE EQUIPOS DE CÓMPUTO RENOVADOS DEL NIVEL CENTRAL.</t>
  </si>
  <si>
    <t>RENOVAR Y MODERNIZAR EL 71% DE LAS INSTITUCIONES DE LA RED HOSPITALARIA PÚBLICA DE CUNDINAMARCA, LA INFRAESTRUCTURA TECNOLÓGICA NECESARIA PARA LA PRESTACIÓN DE SERVICIOS DE SALUD SOPORTADOS EN TIC DURANTE EL PERIODO DE GOBIERNO.</t>
  </si>
  <si>
    <t>PASAR DEL 43% AL 70% DE ACTUALIZACIÓN DEL LICENCIAMIENTO CORPORATIVO DE SOFTWARE OFIMÁTICO Y COMUNICACIONES UNIFICADAS DURANTE EL PERIODO DE GOBIERNO.</t>
  </si>
  <si>
    <t>PORCENTAJE DE LICENCIAMIENTO DE SOFTWARE ACTUALIZADO</t>
  </si>
  <si>
    <t xml:space="preserve">NÚMERO COMPUTADORES ASIGNADOS A ALUMNOS DE SEXTO GRADO </t>
  </si>
  <si>
    <t>MODERNIZAR LA GESTIÓN FINANCIERA Y FISCAL DEL DEPARTAMENTO MEDIANTE EL FORTALECIMIENTO DEL 100 % DE LA INFRAESTRUCTURA TECNOLÓGICA A TRAVÉS DE UNA PLATAFORMA UNIFICADA Y LA ESPECIALIZACIÓN DEL RECURSO HUMANO DURANTE EL PERIODO DE GOBIERNO, PARA MEJORAR EL</t>
  </si>
  <si>
    <t>PORCENTAJE DE INFRAESTRUCTURA TECNOLÓGICA FORTALECIDA</t>
  </si>
  <si>
    <t>SERVICIOS Y APLICACIONES SOPORTADAS EN TICS</t>
  </si>
  <si>
    <t>GARANTIZAR EL SERVICIO A INTERNET DE CALIDAD EN 1.800 INSTITUCIONES PÚBLICAS DEL DEPARTAMENTO, COMO INSTRUMENTO NECESARIO PARA EL ACCESO A LAS TIC DURANTE EL PERIODO DE GOBIERNO.</t>
  </si>
  <si>
    <t>NÚMERO DE INSTITUCIONES PÚBLICAS CON ACCESO A INTERNET</t>
  </si>
  <si>
    <t>AMPLIAR EL CUBRIMIENTO DE ZONAS WIFI DE 60 A 80 MUNICIPIOS PARA EL ACCESO GRATUITO A INTERNET PARA LA COMUNIDAD DURANTE EL PERIODO DE GOBIERNO.</t>
  </si>
  <si>
    <t>NÚMERO DE ZONAS WIFI IMPLEMENTADAS</t>
  </si>
  <si>
    <t>ACTUALIZAR EL PLAN ESTRATÉGICO DE SISTEMAS DE INFORMACIÓN Y LA ARQUITECTURA INSTITUCIONAL DE INFORMACIÓN EN EL DEPARTAMENTO, COMO INSTRUMENTO DE GESTIÓN GERENCIAL DURANTE EL PERIODO DE GOBIERNO.</t>
  </si>
  <si>
    <t>PLAN Y ARQUITECTURA DE INFORMACIÓN ACTUALIZADA Y DISPONIBLE</t>
  </si>
  <si>
    <t>HABILITAR 8 TRÁMITES EN LÍNEA EN EL PORTAL WEB DEL DEPARTAMENTO, SOPORTADOS EN 5 NUEVOS SISTEMAS DE INFORMACIÓN PRIORIZADOS E IMPLEMENTADOS.</t>
  </si>
  <si>
    <t>NÚMERO DE TRAMITES EN LÍNEA HABILITADOS</t>
  </si>
  <si>
    <t xml:space="preserve">ACTUALIZAR, MANTENER Y AMPLIAR LA FUNCIONALIDAD DE 32 SISTEMAS DE INFORMACIÓN Y APLICATIVOS EXISTENTES EN LAS DIFERENTES DEPENDENCIAS DEL DEPARTAMENTO, DURANTE EL PERIODO DE GOBIERNO PARA FACILITAR LA GESTIÓN DE LA ADMINISTRACIÓN DEPARTAMENTAL. </t>
  </si>
  <si>
    <t>SISTEMAS EXISTENTES ACTUALIZADOS</t>
  </si>
  <si>
    <t>ASEGURAR LA IMPLEMENTACIÓN Y CUMPLIMIENTO DE LAS FASES DE GOBIERNO EN LÍNEA EN CUNDINAMARCA DE TRANSACCIÓN, TRANSFORMACIÓN Y E-DEMOCRACIA, MEDIANTE EL FORTALECIMIENTO Y UNIFICACIÓN DEL 100% DEL PORTAL WEB DEL DEPARTAMENTO.</t>
  </si>
  <si>
    <t>PORCENTAJE FORTALECIDO E INTEGRADO DEL PORTAL</t>
  </si>
  <si>
    <t>FACILITAR LA COMUNICACIÓN ENTRE LA SEDE ADMINISTRATIVA Y LAS INSTITUCIONES PÚBLICAS DE LOS 116 MUNICIPIOS, LLEVANDO LOS SERVICIOS DE MENSAJERÍA INSTANTÁNEA, VIDEO LLAMADA Y TELEFONÍA DURANTE EL PERIODO DE GOBIERNO.</t>
  </si>
  <si>
    <t>NÚMERO DE INSTITUCIONES PÚBLICAS BENEFICIADAS</t>
  </si>
  <si>
    <t>IMPLEMENTAR EN EL 100% DE LAS IPS DE BAJA COMPLEJIDAD DE LA RED HOSPITALARIA PÚBLICA DE CUNDINAMARCA LOS SERVICIOS DE DIAGNÓSTICO, CONSULTA Y RADIOLOGÍA BAJO LA MODALIDAD DE TELEMEDICINA.</t>
  </si>
  <si>
    <t>PORCENTAJE DE IPS DE BAJA COMPLEJIDAD CON SERVICIOS BAJO LA MODALIDAD DE TELEMEDICINA</t>
  </si>
  <si>
    <t>IMPLEMENTAR EN UN 100% LA HISTORIA CLÍNICA ELECTRÓNICA UNIFICADA, MEDIANTE UN SISTEMA INTEGRADO DE INFORMACIÓN DURANTE EL PERIODO DE GOBIERNO COMO MECANISMO PARA MEJORAR LA PRESTACIÓN DEL SERVICIO.</t>
  </si>
  <si>
    <t>% DE HOSPITALES CON HISTORIA CLÍNICA ÚNICA ELECTRÓNICA EN SERVICIO</t>
  </si>
  <si>
    <t>USO Y APROPIACIÓN DE TICS</t>
  </si>
  <si>
    <t>LLEGAR A 300.000 CIUDADANOS INCLUIDOS GRUPOS ÉTNICOS, POBLACIÓN EN CONDICIÓN ESPECIAL Y EN CONDICIÓN DE DISCAPACIDAD, PREPARADOS EN EL USO Y APLICACIÓN RESPONSABLE DE LAS TIC COMO MECANISMO PARA FORTALECER LA CAPACIDAD PRODUCTIVA Y PROPICIAR EL USO SANO D</t>
  </si>
  <si>
    <t>CIUDADANOS CAPACITADOS EN TIC</t>
  </si>
  <si>
    <t>NÚMERO DE CENTROS IMPLEMENTADOS</t>
  </si>
  <si>
    <t>AMPLIAR LA COBERTURA DEL SERVICIO DE NÚMERO DE ATENCIÓN DE EMERGENCIA EN CUNDINAMARCA DE 16 A 116 MUNICIPIOS, MEJORANDO LA PRESTACIÓN DEL SERVICIO DURANTE EL PERIODO DE GOBIERNO.</t>
  </si>
  <si>
    <t>NÚMERO DE MUNICIPIOS CON SERVICIO DE ATENCIÓN DE EMERGENCIA</t>
  </si>
  <si>
    <t>LLAMADAS ATENDIDAS DIARIAMENTE</t>
  </si>
  <si>
    <t xml:space="preserve">ASEGURAR LA IMPLEMENTACIÓN DE 3 FASES DE GOBIERNO EN LÍNEA (INFORMACIÓN, INTERACCIÓN, TRANSACCIÓN) EN 60 MUNICIPIOS CON EL APOYO DEL GOBIERNO NACIONAL DURANTE EL PERIODO DE GOBIERNO. </t>
  </si>
  <si>
    <t>MUNICIPIOS IMPLEMENTADOS EN 3 FASES DE GOBIERNO EN LÍNEA</t>
  </si>
  <si>
    <t xml:space="preserve">PORCENTAJE DE AVANCE DE IMPLEMENTACIÓN DE LAS FASES DE GOBIERNO EN LÍNEA </t>
  </si>
  <si>
    <t>DEFINIR E IMPLEMENTAR LA POLÍTICA DE MANEJO DE RESIDUOS ELECTRÓNICOS Y PROMOVER EL USO DE TECNOLOGÍAS QUE CUMPLAN NORMAS DE PRESERVACIÓN DEL AMBIENTE.</t>
  </si>
  <si>
    <t>POLÍTICA IMPLEMENTADA</t>
  </si>
  <si>
    <t>DESARROLLOS INFORMÁTICOS PARA LA GESTIÓN</t>
  </si>
  <si>
    <t>FORTALECER EL SISTEMA DE INFORMACIÓN GEOGRÁFICA REGIONAL (SIG R) COMO PLATAFORMA TECNOLÓGICA CORPORATIVA CON VARIABLES DE INFORMACIÓN DE ENTIDADES DEL NIVEL CENTRAL, DESCONCENTRADO Y MUNICIPAL.</t>
  </si>
  <si>
    <t>GENERAR INDICADORES E INFORMACIÓN GEOGRÁFICA Y ESTADÍSTICA A NIVEL DEPARTAMENTAL Y MUNICIPAL, A TRAVÉS DE PUBLICACIONES ANÁLOGAS Y/O DIGITALES COMO MATERIAL DE SOPORTE PARA LA TOMA DE DECISIONES EN LOS PROCESOS DE PLANIFICACIÓN Y ORDENAMIENTO DEL TERRITOR</t>
  </si>
  <si>
    <t>NO PUBLICACIONES ANÁLOGAS Y/O DIGITALES DE INDICADORES E INFORMACIÓN REALIZADAS</t>
  </si>
  <si>
    <t>NO HERRAMIENTA TECNOLÓGICA INTEGRADA</t>
  </si>
  <si>
    <t>PROMOVER UN SISTEMA DE INFORMACIÓN INTEGRADO PARA LOS NIVELES DE GOBIERNO QUE SE INTEGREN EN UNA PLATAFORMA ÚNICA EN EL NIVEL CENTRAL Y DESCENTRALIZADO DEL DEPARTAMENTO, DURANTE EL CUATRIENIO</t>
  </si>
  <si>
    <t>NO SISTEMA EN SALUD PÚBLICA, VIGILANCIA Y CONTROL, CENTRO REGULADOR DE URGENCIAS, ASEGURAMIENTO, LABORATORIO, IMPLEMENTADO</t>
  </si>
  <si>
    <t xml:space="preserve">DEFINIR LOS LINEAMIENTOS Y/O ESTÁNDARES PARA LA CAPTURA Y ALMACENAMIENTO DE INFORMACIÓN </t>
  </si>
  <si>
    <t>NO DE ESTÁNDARES DEFINIDOS</t>
  </si>
  <si>
    <t>% IMPLEMENTACIÓN SEGER (PLAN DE TRABAJO)</t>
  </si>
  <si>
    <t xml:space="preserve">GENERAR EN 100% MUNICIPIOS Y ENTIDADES DEPARTAMENTALES EN EL CUATRIENIO MAYORES CAPACIDADES DE S Y E </t>
  </si>
  <si>
    <t>% MUNICIPIOS Y ENTIDADES CON CAPACIDADES S Y E</t>
  </si>
  <si>
    <t>EJECUTAR 8 PLANES DE MEJORAMIENTO EN EL CUATRIENIO POR PREVIO S Y E</t>
  </si>
  <si>
    <t>NO DE PLANES DE MEJORAMIENTO EN EJECUCIÓN POR S Y E</t>
  </si>
  <si>
    <t>IMPLEMENTAR UNA RUTA METODOLÓGICA ANUAL DE RENDICIÓN DE CUENTAS PARA SOMETER EL AVANCE DE LA GESTIÓN TRIMESTRALMENTE , AL DEBATE, ARGUMENTACIÓN Y APORTE DEL CONSEJO DE GOBIERNO PARA EL MEJORAMIENTO DE LOS RESULTADOS DE LA GESTIÓN</t>
  </si>
  <si>
    <t>NO DE RENDICIONES DE CUENTAS TRIMESTRALES CONSEJO DE GOBIERNO PARA MEJORAMIENTO GESTIÓN</t>
  </si>
  <si>
    <t>IMPLEMENTAR UNA RUTA METODOLÓGICA ANUAL DE RENDICIÓN DE CUENTAS PARA SOMETER EL AVANCE DE LA GESTIÓN SEMESTRAL, AL DEBATE, ARGUMENTACIÓN Y APORTE DE ASAMBLEA DEPARTAMENTAL, CIUDADANÍA Y CONSEJO DE PLANEACIÓN DEPARTAMENTAL PARA EL MEJORAMIENTO DE LOS RESUL</t>
  </si>
  <si>
    <t>NO DE RENDICIONES DE CUENTAS SEMESTRALES A LA ASAMBLEA, CIUDADANÍA Y CONSEJO TERRITORIAL DE PLANEACIÓN</t>
  </si>
  <si>
    <t>IMPLEMENTAR UNA RUTA METODOLÓGICA ANUAL DE RENDICIÓN DE CUENTAS PARA SOMETER EL AVANCE DE LA GESTIÓN ANUAL, INFANCIA Y ADOLESCENCIA EN EL ACCESO A DERECHOS, AL DEBATE, ARGUMENTACIÓN Y APORTE DE CONSEJO DE POLÍTICA SOCIAL, ASAMBLEA, CIUDADANÍA Y MUNICIPIO</t>
  </si>
  <si>
    <t>NO DE RENDICIONES DE CUENTAS ANUAL DE INFANCIA Y ADOLESCENCIA PARA MEJORAMIENTO GESTIÓN.</t>
  </si>
  <si>
    <t>REALIZAR 8 PUBLICACIONES EN EL CUATRIENIO PARA DIVULGAR MEJORES PRÁCTICAS DE S Y E.</t>
  </si>
  <si>
    <t>NO PUBLICACIONES QUE DIVULGAN BUENAS PRÁCTICAS DE SEGUIMIENTO Y EVALUACIÓN.</t>
  </si>
  <si>
    <t>REALIZAR 4 EVALUACIONES EXTERNAS DE RESULTADOS DE LA GESTIÓN.</t>
  </si>
  <si>
    <t>NO EVALUACIONES EXTERNAS.</t>
  </si>
  <si>
    <t>REALIZAR POR LO MENOS 8 ENCUESTAS EN EL CUATRIENIO DE PERCEPCIÓN CIUDADANA SOBRE GESTIÓN PÚBLICA</t>
  </si>
  <si>
    <t>NO ENCUESTAS DE PERCEPCIÓN CIUDADANA SOBRE GESTIÓN PÚBLICA</t>
  </si>
  <si>
    <t>EJECUCIÓN FINANCIERA En Millones ($)</t>
  </si>
  <si>
    <t>AVANCE DEL INDICADOR</t>
  </si>
  <si>
    <t>BUSCAR META</t>
  </si>
  <si>
    <t>SELECCIONE LA ENTIDAD</t>
  </si>
  <si>
    <t>SERVICIO PÚBLICO DE ASISTENCIA TÉCNICA DIRECTA RURAL  Y RIESGOS AGROPECUARIOS</t>
  </si>
  <si>
    <t>TLC´S  Y ACUERDOS INTERNACIONALLES</t>
  </si>
  <si>
    <t>FORTALECIMIENTO DE LA GESTION</t>
  </si>
  <si>
    <t xml:space="preserve">REDES DE FORTALECIMIENTO Y  APRENDIZAJE  PARA EL BUEN GOBIERNO </t>
  </si>
  <si>
    <t>SEGUIMIENTO Y  EVALUACIÓN PARA EL MEJORAMIENTO DE LA GESTIÓN PÚBLICA</t>
  </si>
  <si>
    <t xml:space="preserve">PROTECCIÓN   </t>
  </si>
  <si>
    <t>FORMAR, EN EL CUATRIENIO A 1.800 AGENTES EDUCATIVOS EN LOS PROCESOS PEDAGÓGICOS DE LA PRIMERA INFANCIA.</t>
  </si>
  <si>
    <t>INVOLUCRAR A LAS NIÑAS Y LOS NIÑOS DE PRIMERA INFANCIA EN ACTIVIDADES LÚDICAS Y RECREATIVAS CON LA DOTACIÓN EN EL CUATRIENIO DE 250 PARQUES INFANTILES</t>
  </si>
  <si>
    <t>IMPLEMENTAR, DURANTE EL CUATRIENIO, EN 80 INSTITUCIONES EDUCATIVAS OFICIALES LA FORMACIÓN EN EMPRENDIMIENTO ALREDEDOR DE PROCESOS PRODUCTIVOS MEJORADOS Y CON ESTOS APOYAR LA FORMACIÓN EN COMPETENCIAS PARA LA GENERACIÓN DE EMPRESA.</t>
  </si>
  <si>
    <t>ARTICULAR EN EL CUATRIENIO 55 INSTITUCIONES EDUCATIVAS CON INSTITUCIONES DE EDUCACIÓN SUPERIOR QUE BRINDEN EDUCACIÓN TÉCNICA, TECNOLÓGICA, PROFESIONAL Y PARA EL TRABAJO Y EL DESARROLLO HUMANO, A ESTUDIANTES DE LOS GRADOS 10° Y 11° EN JORNADA COMPLEMENTARIA Y/O LOS SÁBADOS.</t>
  </si>
  <si>
    <t>REALIZAR EN EL CUATRIENIO 2 ALIANZAS ESTRATÉGICAS CON ENTIDADES EDUCATIVAS ESPECIALIZADAS EN FORMACIÓN EN EL IDIOMA INGLÉS PARA FORTALECER LAS HABILIDADES EN LENGUAS EXTRANJERAS DE LAS Y LOS DOCENTES.</t>
  </si>
  <si>
    <t>INCREMENTAR EL NIVEL EDUCATIVO OTORGANDO SUBSIDIOS PARA VINCULAR EN EL CUATRIENIO A 3.000 ESTUDIANTES CUNDINAMARQUESES QUE SEAN ACEPTADOS EN LAS INSTITUCIONES DE EDUCACIÓN SUPERIOR, PRIORIZANDO LA POBLACIÓN EN EXTREMA POBREZA QUE LO DEMANDE</t>
  </si>
  <si>
    <t xml:space="preserve">GENERAR CAPACIDADES DE LIDERAZGO, FORMACIÓN POLÍTICA Y EMPRENDIMIENTO DURANTE EL CUATRIENIO A 8.000 JÓVENES </t>
  </si>
  <si>
    <t>DIFUNDIR LA MÚSICA FOLCLÓRICA COLOMBIANA Y UNIVERSAL A TRAVÉS DE LA REALIZACIÓN DE 160 CONCIERTOS DE LA BANDA SINFÓNICA DE CUNDINAMARCA EN EL CUATRIENIO</t>
  </si>
  <si>
    <t>APOYAR 150 INICIATIVAS DE PARTICIPACIÓN CIUDADANA DE JÓVENES EN EL CUATRIENIO.</t>
  </si>
  <si>
    <t>CONFORMAR LAS PLATAFORMAS DE JUVENTUD EN EL 50% DE LOS MUNICIPIOS DEL DEPARTAMENTO</t>
  </si>
  <si>
    <t>REALIZAR EN EL CUATRIENIO UN ESTUDIO SOBRE LA SITUACION DE LOS JÓVENES EN EL MARCO DE LOS PROCESOS DE POSTCONFLICTO.</t>
  </si>
  <si>
    <t>PROMOVER LA EXPEDICIÓN Y RENOVACIÓN DE DOCUMENTOS DE IDENTIDAD DE LOS JÓVENES, CON PRIORIDAD EN LA POBLACIÓN DE LA RED UNIDOS Y/O VULNERABLE.</t>
  </si>
  <si>
    <t>PROMOVER LA EXPEDICIÓN DE LA LIBRETA MILITAR PARA 2.000 JÓVENES, CON PRIORIDAD EN LA POBLACIÓN DE LA RED UNIDOS Y/O VULNERABLE.</t>
  </si>
  <si>
    <t>PROMOVER LA EXPEDICIÓN DE LA CEDULA DE CIUDADANIA PARA LOS Y LAS ADULTAS , CON PRIORIDAD EN LA POBLACIÓN DE LA RED UNIDOS Y/O VULNERABLE.</t>
  </si>
  <si>
    <t>PROMOVER LA EXPEDICIÓN DE LA LIBRETA MILITAR PARA ADULTOS CON PRIORIDAD EN LA POBLACIÓN DE LA RED UNIDOS Y/O VULNERABLE.</t>
  </si>
  <si>
    <t>APOYAR EN EL CUATRIENIO 100 INICIATIVAS PRODUCTIVAS DE LAS Y LOS ADULTOS MAYORES</t>
  </si>
  <si>
    <t>PROMOVER LA EXPEDICIÓN Y RENOVACIÓN DE DOCUMENTOS DE IDENTIDAD DE LAS Y LOS ADULTOS MAYORES QUE LO DEMANDEN, CON PRIORIDAD EN LA POBLACIÓN DE LA RED UNIDOS Y/O VULNERABLES</t>
  </si>
  <si>
    <t>APOYAR EN EL CUATRIENIO A 5.500 FAMILIAS RURALES, TÉCNICA Y FINANCIERAMENTE, A TRAVÉS DE PROGRAMAS DE MEJORAMIENTO DE VIVIENDA, EN CONJUNTO CON LAS DEMÁS ENTIDADES COOPERANTES DEL SNV. CON PRIORIDAD EN LAS FAMILIAS DE POBREZA EXTREMA</t>
  </si>
  <si>
    <t>CONTRIBUIR A LA VIDA DIGNA DE 4.500 FAMILIAS URBANAS Y RURALES, CON PRIORIDAD EN LAS DE POBREZA EXTREMA, PARA QUE HABITEN VIVIENDAS CON PISOS ANTIBACTERIALES</t>
  </si>
  <si>
    <t>ATENDER EN EL CUATRIENIO A 10.000 FAMILIAS DE LA RED UNIDOS EN LA DIMENSIÓN DE HABITABILIDAD CON ESTRATEGIAS DE RESPONSABILIDAD SOCIAL EMPRESARIAL Y COOPERACIÓN PÚBLICA</t>
  </si>
  <si>
    <t>PROMOVER EN EL CUATRIENIO EN 500 FAMILIAS LA CULTURA DEL AHORRO, MICROFINANZAS Y LA VINCULACIÓN AL SISTEMA FINANCIERO</t>
  </si>
  <si>
    <t>INCREMENTAR EN EL CUATRIENIO EN 12.000 PRUEBAS LA COBERTURA PARA EL DIAGNÓSTICO DE VIH EN EL DEPARTAMENTO</t>
  </si>
  <si>
    <t>ATENDER DURANTE EL CUATRIENIO A 18.000 FAMILIAS VULNERABLES EN LA DIMENSIÓN DE DINAMICA FAMILIAR CON ESTRATEGIAS DE INFORMACIÓN EDUCACIÓN PARA PROMOVER PRINCIPIOS Y VALORES, DERECHOS HUMANOS, PREVENIR LA VIOLENCIA INTRAFAMILIAR Y LA OCURRENCIA DE HECHOS RELACIONADOS CON ABUSO SEXUAL.</t>
  </si>
  <si>
    <t>FORTALECER DURANTE EL CUATRIENIO CON DINÁMICAS FAMILIARES AL 50% DE LAS FAMILIAS FOCALIZADAS E IDENTIFICADAS POR LA UNIDAD NACIONAL DE VÍCTIMAS, CON LA PROBLEMÁTICA DE VIOLENCIA INTRAFAMILIAR. (DERECHO DE ABORDAJE PSICOSOCIAL Y SALUD MENTAL).</t>
  </si>
  <si>
    <t>ATENDER DURANTE EL CUATRENIO CON ESTRATEGIA INTEGRAL DE ACOMPAÑAMIENTO AL 50% LAS FAMILIAS FOCALIZADAS DE LAS PERSONAS VCA CON CONDICIÓN DE DISCAPACIDAD QUE LO REQUIERAN. (DERECHO A LA ATENCIÓN DIFERENCIA).</t>
  </si>
  <si>
    <t>REALIZAR EL 100% DEL PROCESO DE IDENTIFICACIÓN Y CARACTERIZACIÓN DE LAS VCA SEGÚN DE ACUERDO AL CASO DE TIPIFICACIÓN EXCEPTUANDO EL DESPLAZAMIENTO FORZADO</t>
  </si>
  <si>
    <t>IMPLEMENTAR 2 CENTROS REGIONALES Y 1 CENTRO DE ATENCIÓN CON LA ADECUACIÓN DE 5 BIENES INMUEBLES DEL DEPARTAMENTO. Y 1 CENTRO DE ATENCIÓN. (DERECHO A LA ATENCIÓN INTEGRAL BÁSICA).</t>
  </si>
  <si>
    <t>FORTALECER LA GESTIÓN PARA EL DESARROLLO TERRITORIAL CON 4 INSTRUMENTOS DE GESTIÓN DEL SUELO. DURANTE EL PERIODO DE GOBIERNO</t>
  </si>
  <si>
    <t>FORMULAR LOS LINEAMIENTOS Y ORIENTACIONES PARA EL ORDENAMIENTO DEL TERRITORIO DEL DEPARTAMENTO DE CUNDINAMARCA Y SU INCORPORACIÓN EN LOS POT, EN EL CUATRIENIO.</t>
  </si>
  <si>
    <t>FORTALECER INSTITUCIONALMENTE EL 100% DE LOS MUNICIPIOS DESCERTIFICADOS MEDIANTE LA ADMINISTRACIÓN DE LOS RECURSOS DEL SISTEMA GENERAL DE PARTICIPACIONES-AGUA POTABLE Y SANEAMIENTO BÁSICO ASIGNADOS AL MUNICIPIO, CON EL FIN DE ASEGURAR LA PRESTACIÓN DE LOS SERVICIOS DE AGUA POTABLE Y SANEAMIENTO BÁSICO A LOS HABITANTES DEL RESPECTIVO MUNICIPIO</t>
  </si>
  <si>
    <t>CONSTRUIR 5.000 UNIDADES SANITARIAS EN EL SECTOR RURAL, EN EL PERIODO DE GOBIERNO, PARA CONTRIBUIR A MEJORAR LAS CONDICIONES DE HABITABILIDAD Y SANEAMIENTO BÁSICO EN ESTAS ZONAS.</t>
  </si>
  <si>
    <t xml:space="preserve">
CONSTRUIR 3.000 CONEXIONES INTRADOMICILIARIAS EN ACUEDUCTO, EN EL PERÍODO DE GOBIERNO, PARA LA POBLACIÓN MÁS POBRE Y VULNERABLE.
</t>
  </si>
  <si>
    <t>IMPLEMENTAR 15 GRANJAS INTEGRALES DE AUTO ABASTECIMIENTO DURANTE EL PERÍODO DE GOBIERNO.</t>
  </si>
  <si>
    <t xml:space="preserve">APOYAR EL AJUSTE DE LOS PGIRS DEL 40% DE LOS MUNICIPIOS DEL DEPARTAMENTO EN COORDINACIÓN CON EL GESTOR DEL PDA, COMO ESTRATEGIA DE PLANIFICACIÓN TERRITORIAL DE LA GESTIÓN DE RESIDUOS EN EL PERIODO DE GOBIERNO..
</t>
  </si>
  <si>
    <t xml:space="preserve"> 
PROMOVER LA ADQUISICIÓN DE HABILIDADES EN PROCESOS DE MINIMIZACIÓN, SEPARACIÓN EN LA FUENTE Y RECICLAJE A TRAVÉS DE LA SENSIBILIZACIÓN, ASISTENCIA TÉCNICA Y ACOMPAÑAMIENTO A ADMINISTRACIONES MUNICIPALES A 10 COMUNIDADES DEL DEPARTAMENTO EN EL PERIODO DE GOBIERNO
</t>
  </si>
  <si>
    <t>CONSTRUIR 200 OBRAS DE INFRAESTRUCTURA, DURANTE EL PERIODO DE GOBIERNO, PARA PREVENCIÓN, PROTECCIÓN, MITIGACIÓN Y RECUPERACIÓN DE ZONAS EN RIESGO O AFECTADAS POR SITUACIÓN DE EMERGENCIA O DESASTRE.</t>
  </si>
  <si>
    <t>AUMENTAR LA CAPACIDAD DE RESPUESTA EN TRANSPORTE TERRESTRE DE LA RED PÚBLICA HOSPITALARIA DEL DEPARTAMENTO, MEDIANTE LA ADQUISICIÓN DE 120 AMBULANCIAS EN EL CUATRIENIO</t>
  </si>
  <si>
    <t>CAPACITAR A 600 MINEROS QUE MEJOREN EL RECURSO HUMANO DEL SECTOR, DURANTE EL PERIODO 2012-2016.</t>
  </si>
  <si>
    <t>PROMOVER, DURANTE EL PERIODO DE GOBIERNO, LA EXPANSIÓN DE LA COBERTURA DE GAS A 40 MUNICIPIOS DE CUNDINAMARCA, GARANTIZANDO LAS CONEXIONES DE 20.000 FAMILIAS.</t>
  </si>
  <si>
    <t>PROMOVER LA EXPANSIÓN DE ELECTRIFICACIÓN RURAL A 400 HOGARES, DURANTE EL PERIODO 2012-2016.</t>
  </si>
  <si>
    <t>CONSTRUIR DURANTE EL PERIODO DE GOBIERNO 465,000 M2 DE PLACA HUELLAS EN CONCRETO EN LA RED TERCIARIA.</t>
  </si>
  <si>
    <t xml:space="preserve">CONSTRUIR DURANTE LOS PRÓXIMOS CUATRO AÑOS 14.200 M2 DE PUENTES PEATONALES Y VEHICULARES EN LA RED VIAL SECUNDARIA Y TERCIARIA </t>
  </si>
  <si>
    <t xml:space="preserve">REHABILITAR Y/O MANTENER EN BUEN ESTADO DURANTE EL PERIODO DE GOBIERNO 14.710 M2 DE LA RED DE CAMINOS HISTÓRICOS, COLONIALES Y CONTEMPORÁNEAS </t>
  </si>
  <si>
    <t>CONSTRUIR DURANTE EL PERÍODO DE GOBIERNO DOS (2) PARADORES TURÍSTICOS EN LA RED VIAL DEPARTAMENTAL</t>
  </si>
  <si>
    <t>APOYAR, DURANTE EL PERÍODO DE GOBIERNO, LA CONSTRUCCIÓN DE 3 INFRAESTRUCTURA LOGÍSTICA PARA LA PRODUCTIVIDAD.</t>
  </si>
  <si>
    <t>PROMOVER EL POTENCIAL TURÍSTICO DE LOS MUNICIPIOS DURANTE EL CUATRIENIO, CON LA REALIZACIÓN DE 300 EVENTOS</t>
  </si>
  <si>
    <t>IMPLEMENTAR 10 ALIANZAS ESTRATÉGICAS DE INTEGRACIÓN PARA EL DESARROLLO COMPETITIVO DE LA REGIÓN BOGOTÁ - CUNDINAMARCA CON LA PERSPECTIVA DE ASOCIACIÓN CON OTROS DEPARTAMENTOS LIMÍTROFES, EN EL PERIODO DE GOBIERNO.</t>
  </si>
  <si>
    <t>IMPLEMENTAR 13 ALIANZAS ESTRATÉGICAS DE INTEGRACIÓN A ESCALA SUBREGIONAL, EN EL PERIODO DE GOBIERNO, PARA LA DESCONCENTRACIÓN Y ESPECIALIZACIÓN DE LAS VOCACIONES Y POTENCIALIDADES SOCIALES, CULTURALES, AMBIENTALES Y ECONÓMICAS DE LOS TERRITORIOS.</t>
  </si>
  <si>
    <t>COORDINAR CON LA POLICÍA EL AUMENTO DE PIE DE FUERZA EN 40 MUNICIPIOS DEL DEPARTAMENTO PARA GARANTIZAR LA SEGURIDAD, DURANTE EL PERÍODO DE GOBIERNO.</t>
  </si>
  <si>
    <t>IMPLEMETACÓN DE OBSERVATORIO PARA LA SEGURIDAD Y CONVIVENCIA CIUDADANA CON EL PROPÓSITO DE MEJORAR LA CAPACIDAD DE REACCIÓN DE LAS AUTORIDADES QUE PERMITAN REALIZAR UN SEGUIMIENTO Y MONITOREO EN EL DEPARTAMENTO DE CUNDINAMARCA</t>
  </si>
  <si>
    <t>LOGRAR QUE UN CENTRO ESPECIALIZADO DE SERVICIOS FORENCES, FACILITE LOS PROCESOS TÉCNICOS, EN EL PERÍODO DE GOBIERNO ACTUAL</t>
  </si>
  <si>
    <t xml:space="preserve">ASISTIR TÉCNICAMENTE EN TEMAS DE DESARROLLO ORGANIZACIONAL A LAS ENTIDADES DESCENTRALIZADAS QUE LO REQUIERAN. </t>
  </si>
  <si>
    <t>PRESTAR UN MEJOR SERVICIO A LA COMUNIDAD CON EL MEJORAMIENTO, ADECUACIÓN, MANTENIMIENTO Y/O ADQUISICIÓN DE 35 BIENES DEL Y PARA EL DEPARTAMENTO DURANTE EL CUATRIENIO.</t>
  </si>
  <si>
    <t>MEJORAR LA CALIDAD DE VIDA DE AFILIADOS A LA CORPORACIÓN SOCIAL DE CUNDINAMARCA CON COLOCACIÓN DE $ 375.072 MILLONES DURANTE EL CUATRIENIO EN LÍNEAS DE CRÉDITO</t>
  </si>
  <si>
    <t>AMPLIAR LOS ESPACIOS DE GESTIÓN PARA EL DESARROLLO DEL DEPARTAMENTO, CON LA SUSCRIPCIÓN, IMPLEMENTACIÓN Y MONITOREO DE 16 (DIECISÉIS) ACUERDOS DE COOPERACIÓN INTERNACIONAL Y/O NACIONAL, DURANTE EL PERIODO DE GOBIERNO.</t>
  </si>
  <si>
    <t>CONTRIBUIR AL FORTALECIMIENTO DE LAS FINANZAS MUNICIPALES CON 5 ACTUALIZACIONES CATASTRALES.</t>
  </si>
  <si>
    <t>PROMOVER ACCIONES QUE PERMITAN AUMENTAR AL 100%(276)  EL NÚMERO DE MECANISMOS DE PARTICIPACIÓN SOCIAL Y DEFENSORÍA DEL USUARIO CONFORMADOS Y FUNCIONANDO EN EL DEPARTAMENTO EN LOS CUATRO AÑOS DE GOBIERNO</t>
  </si>
  <si>
    <t xml:space="preserve">ASIGNAR ANUALMENTE COMPUTADORES A 13000 NIÑOS Y NIÑAS DE SEXTO GRADO DE LAS INSTITUCIONES EDUCATIVAS DEL DEPARTAMENTO COMO MECANISMO PARA MEJORAR LA CALIDAD EDUCATIVA DURANTE EL PERIODO DE GOBIERNO </t>
  </si>
  <si>
    <t>LLEGAR A 100.000 CIUDADANOS INCLUIDOS GRUPOS ÉTNICOS, POBLACIÓN EN CONDICIÓN ESPECIAL Y EN CONDICIÓN DE DISCAPACIDAD, PREPARADOS EN EL USO Y APLICACIÓN RESPONSABLE DE LAS TIC COMO MECANISMO PARA FORTALECER LA CAPACIDAD PRODUCTIVA Y PROPICIAR EL USO SANO DEL TIEMPO LIBRE, AMPLIANDO LA PRESENCIA DE CENTROS INTERACTIVOS DE 60 A 116 MUNICIPIOS DEL DEPARTAMENTO.</t>
  </si>
  <si>
    <t>IMPLEMENTAR (1) BODEGA DE DATOS Y ARTICULAR E INTEGRAR EL SISTEMA DE INFORMACIÓN, OBSERVATORIOS E INFORMACIÓN Y DATOS Y CIFRAS SECTORIALES,</t>
  </si>
  <si>
    <t>IMPLEMENTAR 100% SISTEMA SEGER EN EL CUATRENIO PARA CONSULTA Y DECISIÓN OPORTUNA</t>
  </si>
  <si>
    <t>ATENCIÓN INTEGRAL A LOS ADULTOS MAYORES QUE LO REQUIERAN EN EL MARCO DE LA LEY 687 DE 2001, MODIFICADA POR LA LEY 1276 DE 2009 Y LAS DEMÁS QUE LAS MODIFIQUEN.</t>
  </si>
  <si>
    <t>APOYAR TÉCNICA Y FINANCIERAMENTE LA ELABORACIÓN DE LOS ESTUDIOS PARA LA REUBICACIÓN PARCIAL DE VIVIENDAS Y EQUIPAMIENTOS AFECTADOS POR LA QUEBRADA LA NEGRA EN EL MUNICIPIO DE UTICA</t>
  </si>
  <si>
    <t>CONSTRUCCIÓN DE 5 PROYECTOS DEL PROCESO DE REUBICACIÓN PARCIAL POR RIESGO EN EL MUNICIPIO DE UTICA, (1. OBRAS URBANISMO, 2. SERVICIOS PÚBLICOS, 3. VIVIENDA, 4. CENTRO DE SALUD Y 5. UNIDAD EDUCATIVA)</t>
  </si>
  <si>
    <t>APOYAR A LOS 116 MUNICIPIOS PARA EL MEJORAMIENTO DE 5.000 METROS CUADRADOS DE VIAS PEATONALES Y ANDENES DE LA RED VIAL URBANA, DURANTE EL PERIODO DE GOBIERNO.</t>
  </si>
  <si>
    <t>NUMERO DE PLATAFORMAS DE JUVENTUD CREADAS</t>
  </si>
  <si>
    <t>NUMERO DE ESTUDIOS SITUACION DE LOS JOVENES EN EL MARCO DE LOS PROCESOS DE POSTCONFLICTO.</t>
  </si>
  <si>
    <t>%  DE ADULTOS BENEFICIADOS CON LIBRETA MILITAR</t>
  </si>
  <si>
    <t>UN (1) DOCUMENTO</t>
  </si>
  <si>
    <t>PORCENTAJE DE MUNICIPIOS ASESORADOS</t>
  </si>
  <si>
    <t>NO DE HECTAREAS DE  ECOSISTEMAS SENSIBLES RESTAURADOS</t>
  </si>
  <si>
    <t>PUNTOS PORCENTUALES DE INCREMENTADO DE  SUMINISTRO DE AGUA POTABLE EN ZONAS URBANAS</t>
  </si>
  <si>
    <t>NO DE MUNICIPIOS  FORTALECIDAS</t>
  </si>
  <si>
    <t>NO. DE INSTALACIONES DE LA FUERZA PÚBLICA  NUEVAS CONSTRUIDAS</t>
  </si>
  <si>
    <t>SISTEMA DE OBSERVACIÓN  DELINCUENCIAL</t>
  </si>
  <si>
    <t>NO. DE BRIGADAS  DE REALIZADAS</t>
  </si>
  <si>
    <t>NO  CENTROS ESPECIALIZADOS  EN SERVICIO</t>
  </si>
  <si>
    <t>PROCESOS CERTIFICADOS EN EDUCACIÓN</t>
  </si>
  <si>
    <t>NUMERO  DE MECANISMOS DE PARTICIPACIÓN CREADOS Y FUNCIONANDO.</t>
  </si>
  <si>
    <t>PORCENTAJE  DE INSTITUCIONES DE LA RED HOSPITALARIA CON INFRAESTRUCTURA TECNOLÓGICA RENOVADA Y MODERNIZADA</t>
  </si>
  <si>
    <t>NUMERO DE ADULTOS MAYORES ATENDIDOS</t>
  </si>
  <si>
    <t>NUMERO DE ESTUDIOS REALIZADOS</t>
  </si>
  <si>
    <t>NUMERO DE PROYECTOS</t>
  </si>
  <si>
    <t>NUMERO DE METROS CUADRADOS DE VIAS PEATONALES Y ANDENES DE LA RED VIAL URBANA.</t>
  </si>
  <si>
    <t>1</t>
  </si>
  <si>
    <t>2</t>
  </si>
  <si>
    <t xml:space="preserve">% </t>
  </si>
  <si>
    <t>% Acumulado</t>
  </si>
  <si>
    <t>Fecha de actualización: 31 de Diciembre de 2014.</t>
  </si>
  <si>
    <t>%  Ejec</t>
  </si>
  <si>
    <t>TIC</t>
  </si>
  <si>
    <t>SALUD</t>
  </si>
  <si>
    <t>PLANEACION</t>
  </si>
  <si>
    <t>MOVILIDAD</t>
  </si>
  <si>
    <t>MINAS</t>
  </si>
  <si>
    <t>INTEGRACION_REGIONAL</t>
  </si>
  <si>
    <t>GOBIERNO</t>
  </si>
  <si>
    <t>GENERAL</t>
  </si>
  <si>
    <t>EDUCACION</t>
  </si>
  <si>
    <t>DESARROLLO_SOCIAL</t>
  </si>
  <si>
    <t>CONTROL_INTERNO</t>
  </si>
  <si>
    <t>COMPETITIVIDAD</t>
  </si>
  <si>
    <t>CIENCIA_Y_TECNOLOGIA</t>
  </si>
  <si>
    <t>BOSQUES</t>
  </si>
  <si>
    <t>AMBIENTE</t>
  </si>
  <si>
    <t>AGRICULTURA</t>
  </si>
  <si>
    <t>ACCION_COMUNAL</t>
  </si>
  <si>
    <t>CUATRIENAL</t>
  </si>
  <si>
    <t>TRIENAL</t>
  </si>
  <si>
    <t>BIENAL</t>
  </si>
  <si>
    <t>ANUAL</t>
  </si>
  <si>
    <t>SEMESTRAL</t>
  </si>
  <si>
    <t>TRIMESTRAL</t>
  </si>
  <si>
    <t>GERENTE OBJETIVO 4</t>
  </si>
  <si>
    <t>IMPACTO</t>
  </si>
  <si>
    <t>AUMENTAR EL PROMEDIO DEPARTAMENTAL DEL ÍNDICE DE GOBIERNO ABIERTO AL 60%</t>
  </si>
  <si>
    <t>FORTALECIMIENTO INSTITUCIONAL PARA GENERAR VALOR DE LO PUBLICO</t>
  </si>
  <si>
    <t>AUMENTAR EL PROMEDIO DEPARTAMENTAL DEL ÍNDICE DE DESEMPEÑO FISCAL EN UN 1 PUNTO PORCENTUAL</t>
  </si>
  <si>
    <t>GERENTE OBJETIVO 2</t>
  </si>
  <si>
    <t>SIETE CADENAS PRODUCTIVAS INCREMENTAN EL PIB DEPARTAMENTAL.</t>
  </si>
  <si>
    <t>CONTRIBUIR A CUNDINAMARCA NEUTRA CON LA SIEMBRA DE 1.000.000 DE ÁRBOLES.</t>
  </si>
  <si>
    <t>COMUNIDADES DE CHIPAQUE, CÁQUEZA – LA MESA - ANAPOIMA MEJORAN SUS CONDICIONES DE VIDA, COMO USUARIOS DE 2 ACUEDUCTOS REGIONALES DE FRUTICAS Y LA MESA – ANAPOIMA DURANTE EL CUATRIENIO</t>
  </si>
  <si>
    <t>GERENTE OBJETIVO 1</t>
  </si>
  <si>
    <t>ND</t>
  </si>
  <si>
    <t>NO DE FAMILIAS</t>
  </si>
  <si>
    <t>GRADUAR A 2.000 FAMILIAS EN SUPERACIÓN DE LA POBREZA EXTREMA AL FINALIZAR EL PERÍODO DE GOBIERNO.</t>
  </si>
  <si>
    <t>DESARROLLO SOCIAL</t>
  </si>
  <si>
    <t>REDUCCIÓN</t>
  </si>
  <si>
    <t>LOS 35 MUNICIPIOS CON MAYOR NBI REDUCEN SU NBI EN UN 2%</t>
  </si>
  <si>
    <t>AUMENTAR EL PROMEDIO DEPARTAMENTAL DEL ÍNDICE DE DESEMPEÑO MUNICIPAL EN 3 PUNTOS PORCENTUALES DURANTE EL PERÍODO DE GOBIERNO</t>
  </si>
  <si>
    <t>MANTENER PERCEPCIÓN FAVORABLE DEL GOBIERNO DURANTE EL CUATRIENIO POR ENCIMA DEL 70%</t>
  </si>
  <si>
    <t>AUMENTAR LA CAPACIDAD DE GESTIÓN PARA RESULTADOS DE DESARROLLO (SISTEMA DE EVALUACIÓN PRODEV PARA GOBIERNOS LOCALES BID) A 3.5 PROMEDIO</t>
  </si>
  <si>
    <t>GERENTE OBJETIVO 3</t>
  </si>
  <si>
    <t>ASCENDER UN PUESTO EN EL ESCALAFÓN GLOBAL DE COMPETITIVIDAD DEPARTAMENTAL EN COLOMBIA, PASANDO DEL SÉPTIMO AL SEXTO LUGAR</t>
  </si>
  <si>
    <t>COMPETITIVIDAD, INNOVACION, MOVILIDAD Y REGION</t>
  </si>
  <si>
    <t>MANEJO INTEGRAL DE RESIDUOS SÓLIDOS EN CUATRO PROVINCIAS MAGDALENA CENTRO, UBATÉ, SUMAPAZ Y ORIENTE.</t>
  </si>
  <si>
    <t>LLEGAR A 8,8 BILLONES DE PESOS EN UTILIDADES DE LAS EXPLOTACIONES AGROPECUARIAS DE CUNDINAMARCA DURANTE EL PERÍODO DE GOBIERNO.</t>
  </si>
  <si>
    <t>REDUCIR EN UN 5% EL MAL USO DEL SUELO EN LAS EXPLOTACIONES AGROPECUARIAS PROMOVIENDO SU POTENCIALIDAD, PASANDO DEL 31,9% A 26,9%.</t>
  </si>
  <si>
    <t>INCREMENTAR EN 0,5% LA PARTICIPACIÓN DEL SECTOR AGROPECUARIO EN PIB DEPARTAMENTAL</t>
  </si>
  <si>
    <t>MEDICINA LEGAL Y DE CIENCIAS FORENSES</t>
  </si>
  <si>
    <t>REDUCCCIÓN</t>
  </si>
  <si>
    <t>TASA DE VIOLENCIA CONTRA LA MUJER</t>
  </si>
  <si>
    <t>QUEBRAR LA TENDENCIA ASCENDENTE DE LA VIOLENCIA FÍSICA CONTRA LAS MUJERES POR SU PAREJA</t>
  </si>
  <si>
    <t>TASA DE BAJO PESO AL NACER</t>
  </si>
  <si>
    <t>QUEBRAR LA TENDENCIA ASCENDENTE DEL BAJO PESO AL NACER</t>
  </si>
  <si>
    <t>DANE-Estadísticas vitales</t>
  </si>
  <si>
    <t xml:space="preserve">TASA DE EMBARAZOS EN MENORES DE 18 AÑOS </t>
  </si>
  <si>
    <t>ROMPER LA TENDENCIA ASCENDENTE DE LA TASA DE EMBARAZOS EN MENORES DE 18 AÑOS</t>
  </si>
  <si>
    <t>% DE PERSONAS</t>
  </si>
  <si>
    <t>DISMINUÍR, A MENOS DE 6% LAS PERSONAS EN SITUACIÓN DE POBREZA EXTREMA POR INGRESOS</t>
  </si>
  <si>
    <t>DISMINUÍR, A MENOS DE 20% LAS PERSONAS EN SITUACIÓN DE POBREZA POR INGRESOS</t>
  </si>
  <si>
    <t>INDICE DE DESARROLLO HUMANO</t>
  </si>
  <si>
    <t>ALCANZAR UN ÍNDICE DE DESARROLLO HUMANO (IDH), POR ENCIMA DE 0,87</t>
  </si>
  <si>
    <t>ANGELA ANDREA FORERO</t>
  </si>
  <si>
    <t>DIRECCION DE EVALUACION Y SEGUINIENTO D PLANEACION</t>
  </si>
  <si>
    <t>PORCENTAJE DE ENTIDADES</t>
  </si>
  <si>
    <t>% ENTIDADES APLICANDO HERRAMIENTAS GERENCIALES DE S Y E</t>
  </si>
  <si>
    <t>RESULTADO</t>
  </si>
  <si>
    <t>SEGUIMIENTO Y EVALUACION PARA MEJOR DESEMPEÑO</t>
  </si>
  <si>
    <t>PLATAFORMA TECNOLOGICA</t>
  </si>
  <si>
    <t>PLATAFORMA TECONOLÓGICA DISPONIBLE</t>
  </si>
  <si>
    <t>CUNDINAMARCA GOBIERNO INTELIGENTE CON DECISIONES INFORMADAS</t>
  </si>
  <si>
    <t>LUIS ALBERTO AYALA</t>
  </si>
  <si>
    <t>PUNTOS PORCENTUALES</t>
  </si>
  <si>
    <t>% DE PENETRACIÓN DE INTERNET</t>
  </si>
  <si>
    <t>TIC EN CUNDINAMARCA</t>
  </si>
  <si>
    <t>Municipios - IDECUT</t>
  </si>
  <si>
    <t>% DE IDENTIFICACIÓN, APROPIACIÓN Y DIFUSIÓN DE VALORES PATRIMONIALES</t>
  </si>
  <si>
    <t>CULTURA E IDENTIDAD CUNDINAMARQUESA</t>
  </si>
  <si>
    <t>INSTANCIAS DE PARTICIPACION</t>
  </si>
  <si>
    <t>LA INSTITUCIÓN DEPARTAMENTAL, LOS GOBIERNOS TERRITORIALES Y LA COMUNIDAD INVOLUCRAN AL 100% ( 4,993 ) DE LAS DIFERENTES INSTANCIAS DE PARTICIPACIÓN EN EL DESARROLLO DE SUS PROGRAMAS Y PROYECTOS GENERANDO CORRESPONSABILIDAD CON PARTICIPACIÓN REAL Y ACTIVA.</t>
  </si>
  <si>
    <t>CUNDINAMARCA CON ESPACIOS DE PARTICIPACION REAL</t>
  </si>
  <si>
    <t>ACCION COMUNAL</t>
  </si>
  <si>
    <t>DNP INDICE DE DSEMPEÑO INTEGRAL DE LOS MUNCIPIOS 2013</t>
  </si>
  <si>
    <t>MUNICIPIOS</t>
  </si>
  <si>
    <t>NO. DE MUNICIPIOS QUE SUPERAN LA CALIFICACIÓN DE 60% EN EL ÍNDICE DE DESEMPEÑO MUNICIPAL</t>
  </si>
  <si>
    <t>EMPODERAMIENTO LOCAL PARA LA EQUIDAD Y LA UNIDAD TERRITORIAL</t>
  </si>
  <si>
    <t>JOHANA VANEGAS</t>
  </si>
  <si>
    <t>PROCURADURIA GENERAL DE LA NACIÓN</t>
  </si>
  <si>
    <t>No DE MUNICIPIOS QUE MEJORAN EL INDICE DE GOBIERNO ABIERTO</t>
  </si>
  <si>
    <t xml:space="preserve">No DE MUNICIPIOS QUE MEJORAN SU INDICE DE DESEMPEÑO FISCAL </t>
  </si>
  <si>
    <t xml:space="preserve">GAFDT-DDTS-DNP. </t>
  </si>
  <si>
    <t>PUESTOS</t>
  </si>
  <si>
    <t>RANKING DE DESEMPEÑO</t>
  </si>
  <si>
    <t>MODERNIZACION DE LA GESTION</t>
  </si>
  <si>
    <t>CALIFICACION</t>
  </si>
  <si>
    <t>CALIFICACIÓN EN CAPACIDAD DE GESTIÓN PARA RESULTADOS DEL DESARROLLO</t>
  </si>
  <si>
    <t>% SATISFACCIÓN DE CLIENTES DE LA GOBERNACIÓN DE CUNDINAMARCA</t>
  </si>
  <si>
    <t>PUESTO EN EL RAQNKING NACIONAL DE TRANSPARENCIA</t>
  </si>
  <si>
    <t>CONTROL INTERNO</t>
  </si>
  <si>
    <t>LA SECRETARIA DE GOBIERNO ESTA CUMPLIENDO CON EL PORCENTAJE DE REDUCCION EN LA META DE GESTION DEL PLAN DE DESARROLLO</t>
  </si>
  <si>
    <t xml:space="preserve">ENTREGA DE LA INFORMACION POR PARTE DE LA ENTIDADES RESPONSABLES (FISCALIA, POLICIA, MEDICIANA LEGAL) </t>
  </si>
  <si>
    <t>31 AGOSTO DE 2014</t>
  </si>
  <si>
    <t>CIRO NELSON OSTOS BUSTO</t>
  </si>
  <si>
    <t>OBSERVATORIO DE LA CONVIVENCIA CIUDADANA DE LA SECRETARIA DE GOBIERNO</t>
  </si>
  <si>
    <t>DELITOS</t>
  </si>
  <si>
    <t>% DE FRECUENCIA DE DELITOS QUE ATENTEN CONTRA LA SEGURIDAD CIUDADANA</t>
  </si>
  <si>
    <t>SEGURIDAD Y CONVIVENCIA CON DERECHOS HUMANOS</t>
  </si>
  <si>
    <t>Ninguna</t>
  </si>
  <si>
    <t>Jefe Oficina de Medios y Nuevas Tecnologías</t>
  </si>
  <si>
    <t>Secretaría de Educación</t>
  </si>
  <si>
    <t xml:space="preserve">NÚMERO DE ESTUDIANTES PROMEDIO POR COMPUTADOR EN LAS INSTITUCIONES DEL DEPARTAMENTO </t>
  </si>
  <si>
    <t>ESQUEMA</t>
  </si>
  <si>
    <t>ESQUEMA ASOCIATIVO CONSTITUIDO</t>
  </si>
  <si>
    <t>INTEGRACION REGIONAL</t>
  </si>
  <si>
    <t>NO SE REPORTA NINGUNA DIFICULTAD</t>
  </si>
  <si>
    <t>LEIDY VARGAS</t>
  </si>
  <si>
    <t>DESTINOS</t>
  </si>
  <si>
    <t>DESTINOS TURÍSTICOS POSICIONADOS</t>
  </si>
  <si>
    <t>TURISMO REGIONAL</t>
  </si>
  <si>
    <t>PUESTO</t>
  </si>
  <si>
    <t>RANKING DE COMPETITIVIDAD EN CIENCIA Y TECNOLOGÍA</t>
  </si>
  <si>
    <t>CUNDINAMARCA INNOVADORA CON CIENCIA Y TECNOLOGIA</t>
  </si>
  <si>
    <t>CIENCIA Y TECNOLOGIA</t>
  </si>
  <si>
    <t>Por la complejidad y magnitud de los proyectos, la estructuración de los mismos requiere de mecanismos que integren varias regiones, con sus múltiples actores, por lo que ha resultado un proceso de estructuración y de dificultad alta. Se debe tener en cuenta que los corredores viales no se encuentran bajo directrices directas del ICCU, por lo que los resultados dependen directamente de las agencias que esta´n interviniendo los proyectos de dichas vías.</t>
  </si>
  <si>
    <t>RICARDO ANDRES CRUZ</t>
  </si>
  <si>
    <t>CORREDORES</t>
  </si>
  <si>
    <t>CORREDORES VIA</t>
  </si>
  <si>
    <t>3 CORREDORES VIALES INTEGRAN EL TERRITORIO Y MEJORAN LA MOVILIDAD EN EL DEPARTAMENTO Y LA REGIÓN.</t>
  </si>
  <si>
    <t>INFRAESTRUCTURA Y SERVICIOS PARA LA COMPETITIVIDAD Y LA MOVILIDAD</t>
  </si>
  <si>
    <t>Los entes municipales no informan al Instituto, los avances de las obras realizadas en tiempo real, lo que imposibilita generar un control, seguimiento y su posterior trazabilidad, para cada uno de los frentes de obra.</t>
  </si>
  <si>
    <t>RED VIAL EN OPTIMAS CONDICIONES</t>
  </si>
  <si>
    <t>INCREMENTAR A 50 % LA RED VIAL DEPARTAMENTAL EN ÓPTIMAS CONDICIONES DE TRANSITABILIDAD.</t>
  </si>
  <si>
    <t>FAMILIAS</t>
  </si>
  <si>
    <t>MEJORAR LA ECONOMÍA DE 10.000 FAMILIAS CON EL AHORRO DEL 30% DEL COSTO MENSUAL DEL SERVICIO DE GAS DOMICILIARIO.</t>
  </si>
  <si>
    <t>MINERIA Y ENERGIA RESPONSABLE PARA CUNDINAMARCA</t>
  </si>
  <si>
    <t>NUEVAS VIVIENDAS CON SERVICIO DE ENERGIA</t>
  </si>
  <si>
    <t>DEFÍCIT DE ELECTRIFICACIÓN RURAL</t>
  </si>
  <si>
    <t>DISMINUIR EL DÉFICIT DE ELECTRIFICACIÓN RURAL Y URBANA EN UN 2% DE UNIDADES FAMILIARES EN EL DEPARTAMENTO.( DE 10.000 FAMILIAS</t>
  </si>
  <si>
    <t xml:space="preserve">MINAS </t>
  </si>
  <si>
    <t>PROMOVER ESTRATEGIAS PARA REDUCIR EN UN 16% LA INFORMALIDAD E ILEGALIDAD EN LA EXPLOTACIÓN MINERA DE CARBÓN EN CUNDINAMARCA, DURANTE EL PERIODO DE GOBIERNO.</t>
  </si>
  <si>
    <t>Sistema Estadistico de Comercio Exterior (SIEX) y DANE</t>
  </si>
  <si>
    <t>MILLONES DE DOLARES</t>
  </si>
  <si>
    <t>VALOR DE EXPORTACIONES ANUALES</t>
  </si>
  <si>
    <t>CUNDINAMARCA DINAMICA ATRACTIVA E INTERNACIONAL</t>
  </si>
  <si>
    <t>CRESCENCIO MARTINEZ</t>
  </si>
  <si>
    <t>CEPAL</t>
  </si>
  <si>
    <t>RANKING DE COMPETITIVIDAD EN FORTALEZA ECONÓMICA</t>
  </si>
  <si>
    <t>CUNDINAMARCA COMPETITIVA, EMPRENDEDORA Y EMPRESARIAL</t>
  </si>
  <si>
    <t>Unidad Administrativa Especial Bosques de Cundinamarca</t>
  </si>
  <si>
    <t>HECTAREAS</t>
  </si>
  <si>
    <t xml:space="preserve"># DE HECTÁREAS CON PLANTACIONES FORESTALES PRODUCTIVAS </t>
  </si>
  <si>
    <t>CUNDINAMARCA VERDE: CALIDAD DE VIDA</t>
  </si>
  <si>
    <t>% DE AUMENTO DE LA CAPACIDAD DE ADAPTACIÓN AL CAMBIO Y VARIABILIDAD CLIMÁTICA</t>
  </si>
  <si>
    <t>GESTION DEL RIESGO Y ADAPTACION AL CAMBIO Y VARIABILIDAD CLIMATICA</t>
  </si>
  <si>
    <t>PROVINCIAS</t>
  </si>
  <si>
    <t># PROVINCIAS CON MANEJO EN LA GESTIÓN INTEGRAL DEL RIESGO</t>
  </si>
  <si>
    <t>EL NUMERO DE TONELADAS DIARIAS DISPUESTAS EN EL RELLENO SANITARIO NUEVO MONDOÑEDO OBEDECE A LA DISPOSICION DE UN PROMEDIO DE 79 MUNICIPIOS DEL DEPARTAMENTO QUE DISPONEN TECNICAMENTE SUS RESIDUOS EN ESTE ESCENARIO. LA TENDENCIA, A PESAR DE LOS ESFUERZOS DEL DEPARTAMENTO POR PROMOVER LA MINIMIZACION, SE VE ALTAMENTE AFECTADA POR EL AUMENTO POBLACIONAL EN LOS MUNICIPIOS DE BORDE, CONDICION QUE LIMITA LA PERTINENCIA DEL INDICADOR Y NO REFLEJA EL IMPACTO REAL DE LAS ESTRATEGIAS ADOPTADAS A TRAVES DE LAS METAS DE PRODUCTO.</t>
  </si>
  <si>
    <t>JOSÉ ANTONIO PULIDO</t>
  </si>
  <si>
    <t>RSNM</t>
  </si>
  <si>
    <t>TONELADAS</t>
  </si>
  <si>
    <t xml:space="preserve"># TONELADAS DE RESIDUOS DIARIAS SE DISPONEN EN LOS RELLENOS SANITARIOS DE CUNDINAMARCA. </t>
  </si>
  <si>
    <t>GESTION INTEGRAL DE RESIDUOS SOLIDOS</t>
  </si>
  <si>
    <t xml:space="preserve">ACCESO A FACTORES PRODUCTIVOS CONTEMPLA , FINANCIAMIENTO AGROPECUARIO, PARTICIPACION EN CONVOCATORIAS(ADECUACION DE TIERRAS, ACCESO A TIERRA, ), SEGURIDAD ALIMENTARIA Y NUTRICIONAL, ASOCIATIVIDAD Y EMPRESARIZACION . TOCARIA TOMARLOS INDIVIDUALES PARA PODER TENER COMPARATIVO </t>
  </si>
  <si>
    <t>SECRETARIA AGRICULTURA</t>
  </si>
  <si>
    <t xml:space="preserve">NUMERO DE FAMILIAS ATENDIDAS CON PROGRAMAS DE BIENES Y SERVICIOS PRODUCTIVOS. </t>
  </si>
  <si>
    <t>DESARROLLO RURAL INTEGRAL</t>
  </si>
  <si>
    <t>URPA</t>
  </si>
  <si>
    <t>NUMERO DE TONELADAS DE ALIMENTOS PRODUCIDOS ANUALMENTE.</t>
  </si>
  <si>
    <t>DESARROLLO COMPETITIVO DEL SECTOR AGROPECUARIO</t>
  </si>
  <si>
    <t xml:space="preserve"># DE HAS ESPECIALIZADAS Y/O RENOVADAS EN CULTIVOS RELACIONADOS CON LAS CADENAS PRODUCTIVAS AGROPECUARIAS (INDICADOR BASE: 30.000 HAS EQUIVALENTES AL 11,4% DEL TOTAL DE HAS CULTIVADAS). </t>
  </si>
  <si>
    <t>No se cuenta con una fuente de información oficial que suministre datos de cobertura departamental actualizados</t>
  </si>
  <si>
    <t>JACKELINE MENESES</t>
  </si>
  <si>
    <t>PERSONAS</t>
  </si>
  <si>
    <t xml:space="preserve"># DE HABITANTES NUEVOS CON COBERTURA DE ALCANTARILLADO EN ZONAS URBANAS Y CENTROS POBLADOS </t>
  </si>
  <si>
    <t>AGUA POTABLE Y SANEAMIENTO BASICO PARA LA SALUD DE LOS CUNDINAMARQUESES</t>
  </si>
  <si>
    <t xml:space="preserve">NUMERO DE HABITANTES NUEVOS CON COBERTURA DE AGUA POTABLE (CALIDAD Y CONTINUIDAD) EN ZONAS URBANAS, RURALES Y CENTROS POBLADOS </t>
  </si>
  <si>
    <t>AMPARO CARRILLO</t>
  </si>
  <si>
    <t xml:space="preserve">NUMERO DE TONELADAS DE CO2 DE LA HUELLA DE CARBONO COMPENSADAS. </t>
  </si>
  <si>
    <t>BIENES Y SERVICIOS AMBIENTALES PATRIMONIO DE CUNDINAMARCA</t>
  </si>
  <si>
    <t>NUMERO DE HECTÁREAS PROTEGIDAS GARANTIZANDO LA DISPONIBILIDAD DE RECURSO HÍDRICO</t>
  </si>
  <si>
    <t>INICIATIVAS</t>
  </si>
  <si>
    <t>NUMERO DE INICIATIVAS DE INTEGRACIÓN REGIONAL CONSOLIDADAS.</t>
  </si>
  <si>
    <t>TERRITORIO SOPORTE PARA EL DESARROLLO</t>
  </si>
  <si>
    <t>LAS ENTIDADES TERRITORIALES ESTAN CUMPLIENDO CON LAS LEY 1448 DE APLICACIÓN DEPARTAMENTO PARA LA ATENCION DE LAS VCA.</t>
  </si>
  <si>
    <t>LA FALTA DE UNA BASE DE DATOS NACIONAL PARA EVITAR LA DUPLICIDAD DE LA VICTIMAS EN EL DEPARTAMENTO.</t>
  </si>
  <si>
    <t>EDNA PULIDIO</t>
  </si>
  <si>
    <t>NO. DE MUNICIPIOS QUE RESTITUYEN DERECHOS Y MEJORAN CALIODAD DE VIDA DE LAS VÍCTIMAS DEL CONFLICTO ARMADO</t>
  </si>
  <si>
    <t>VICTIMAS DEL CONFLICTO ARMADO CON GARANTIA DE DERECHOS</t>
  </si>
  <si>
    <t>Se busca intervenir y beneficiar por medio de obras de infraestructura en la construcción, adecuación, desarrollo y puesta en funcionamiento de ambientes físicos dispuestos para la prestación de servicios sociales en cada uno de los 116 municipios que integran el Departamento.</t>
  </si>
  <si>
    <t>ADRIANA CAICEDO GALLEGO</t>
  </si>
  <si>
    <t>NO. DE MUNICIPIOS CON MEJORES AMBIENTES FÍSICOS PARA LA PRESTACIÓN DE SERVICIOS SOCIALES</t>
  </si>
  <si>
    <t>EQUIPAMIENTO SOCIAL PARA EL DESARROLLO INTEGRAL</t>
  </si>
  <si>
    <t>ANA LEONOR GANTIVAR</t>
  </si>
  <si>
    <t>% DE MUJERES EMPODERADAS Y FORTALECIDASINTEGRALMENTE</t>
  </si>
  <si>
    <t>MUJERES LIDERES Y LIBRES DE VIOLENCIA</t>
  </si>
  <si>
    <t xml:space="preserve">DESARROLLO SOCIAL </t>
  </si>
  <si>
    <t>Dirección de Aseguramiento</t>
  </si>
  <si>
    <t>PORCENTAJE DE MUNICIPIOS</t>
  </si>
  <si>
    <t>% DE ENTIDADES QUE MEJORAN LOS RESULTADOS DE LOS INDICADORES TRAZADORES EN EL ASEGURAMIENTO Y LA PRESTACIÓN DE SERVICIOS DE SALUD</t>
  </si>
  <si>
    <t>FAMILIAS FORJADORAS DE SOCIEDAD</t>
  </si>
  <si>
    <t>FIDEL TORRES TOVAR</t>
  </si>
  <si>
    <t>NO. DE FAMILIAS CON ACOMPANAMIENTO INSTITUCIONAL, FAMILIAR Y COMUNITARIO</t>
  </si>
  <si>
    <t>IDENTIFICAR LA POBLACIÓN BENEFICIADA POR CADA PROGRAMA PARA NO DUPLICAR COBERTURAS.</t>
  </si>
  <si>
    <t>MAURICIO ROMERO</t>
  </si>
  <si>
    <t>INSTITUTO DEPARTAMENTAL PARA LA RECREACIÓN Y EL DEPORTE DE CUNDINAMRCA</t>
  </si>
  <si>
    <t>NO. DE FAMILIAS BENEFICIADAS CON EL PROGRAMA "DEPORTE, CONVIVENCIA Y PAZ"</t>
  </si>
  <si>
    <t>No. de familias atendidas en el cuatrienio</t>
  </si>
  <si>
    <t>Atender en el cuatrienio a 21,000 familias de la red unidos con sinergia de sectores</t>
  </si>
  <si>
    <t>NINGUNA</t>
  </si>
  <si>
    <t>UNIDAD ADMINISTRATIVA ESPECIAL DE VIVIENDA SOCIAL</t>
  </si>
  <si>
    <t>NO DE FAMILIAS CON VIVIENDA NUEVA O MEJORADA EN EL CUATRIENIO</t>
  </si>
  <si>
    <t xml:space="preserve">VIVIENDA </t>
  </si>
  <si>
    <t>La Proyección de población de adultos mayores para el 2013 era de 148.100 el 5 % de población a atender para cada año es 7.405</t>
  </si>
  <si>
    <t>FLOR ANGELA GARZON SANCHEZ</t>
  </si>
  <si>
    <t>PORCENTAJE</t>
  </si>
  <si>
    <t>NO DE ADULTOS MAYORES QUE PARTICIPAN ANUALMENTE EN ACTIVIDADES LÚDICAS, CULTURALES Y DEPORTIVAS</t>
  </si>
  <si>
    <t>POTENCIALIZAR HABILIDADES Y DESTREZAS EN EL 5% (7.405) DE LAS PERSONAS ADULTAS MAYORES CON Y SIN DISCAPACIDAD COMO USUARIOS DE PROGRAMAS CULTURALES, RECREATIVOS Y LÚDICOS CADA AÑO</t>
  </si>
  <si>
    <t>VEJEZ DIVINO TESORO</t>
  </si>
  <si>
    <t>LA CONSOLIDACION DE LA INFORMACIÓN SE DA CASI AL CIEERRE DEL TRIMESTRE SIGUIENTE</t>
  </si>
  <si>
    <t>MUERTES</t>
  </si>
  <si>
    <t>NO. DE MUERTES DE ADUTOS MAYORES EN ACCIDENTES DE TRÁNSITO EN EL CUATRIENIO</t>
  </si>
  <si>
    <t>REDUCIR EN EL CUATRIENIO EN 10% LAS MUERTES POR ACCIDENTES DE TRÁNSITO EN ADULTOS MAYORES</t>
  </si>
  <si>
    <t>HOMICIDIOS</t>
  </si>
  <si>
    <t>NO. DE HOMICIDIOS EN ADULTOS MAYORES EN EL CUATRIENIO</t>
  </si>
  <si>
    <t>ADULTOS</t>
  </si>
  <si>
    <t>NO DE ADULTOS QUE PARTICIPAN ANUALMENTE EN ACTIVIDADES LÚDICAS, CULTURALES Y DEPORTIVAS</t>
  </si>
  <si>
    <t>ADULTAS Y ADULTOS CON EQUIDAD</t>
  </si>
  <si>
    <t>NO. DE MUERTES DE ADULTOS EN ACCIDENTES DE TRÁNSITO EN EL CUATRIENIO</t>
  </si>
  <si>
    <t>REDUCIR EN EL CUATRIENIO EN 10% LAS MUERTES POR ACCIDENTES DE TRÁNSITO EN ADULTOS</t>
  </si>
  <si>
    <t>No. de homicidios de adultos en el cuatrienio</t>
  </si>
  <si>
    <t>Reducir en el cuatrienio en mínimo 10% las muertes por homicidio en adultos</t>
  </si>
  <si>
    <t>ADULTOS CON EQUIDAD</t>
  </si>
  <si>
    <t>ANDREA MATIAS MENDOZA</t>
  </si>
  <si>
    <t>ÍNDICE DE FLORECIMIENTO JUVENIL</t>
  </si>
  <si>
    <t>JOVENES CONSTRUCTORES DE PAZ</t>
  </si>
  <si>
    <t>La Proyección de población de jovenes para el 2013 era de 225.195 el 35 % de población a atender para cada año es 78.818</t>
  </si>
  <si>
    <t>JOVENES</t>
  </si>
  <si>
    <t>% DE JÓVENES QUE PARTICIPAN ANUALMENTE EN DINÁMICAS INTEGRALES</t>
  </si>
  <si>
    <t>LOGRAR QUE ANUALMENTE EL 35%(78.810 JOVENES) DE LAS Y LOS JÓVENES PARTICIPEN DE DINÁMICAS INTEGRALES (CULTURALES, DEPORTIVAS, AMBIENTALES, EMPRENDIMIENTO, EDUCATIVAS)</t>
  </si>
  <si>
    <t>NO. DE PROVINCIAS EN DONDE EXISTEN JCP DESARROLLANDO PROYECTOS SOCIALES.</t>
  </si>
  <si>
    <t>MUER</t>
  </si>
  <si>
    <t>NO. DE MUERTES DE JÓVENES EN ACCIDENTES DE TRÁNSITO</t>
  </si>
  <si>
    <t>REDUCIR EN EL CUATRIENIO EN 10% LAS MUERTES POR ACCIDENTES DE TRÁNSITO EN JÓVENES</t>
  </si>
  <si>
    <t>ROSA AGUDELO</t>
  </si>
  <si>
    <t>COMANDANCIA DE INFANCIA Y ADOLESCENCIA DEL DEPARTAMENTO DE CUNDINAMARCA</t>
  </si>
  <si>
    <t>NO. DE HOMICIDIOS EN JÓVENES EN EL CUATRIENIO</t>
  </si>
  <si>
    <t>SUBDIRECCIÓN DE INFANCIA, ADOLESCENCIA Y FAMILIA (FIDEL TORRES TOVAR)</t>
  </si>
  <si>
    <t>PORCENTAJE DE REUNIONES</t>
  </si>
  <si>
    <t>% DE REUNIONES DE CPS CON ASISTENCIA DE ADOLESCENTES EN EL CUATRIENIO</t>
  </si>
  <si>
    <t>VIVE Y CRECE ADOLESCENCIA</t>
  </si>
  <si>
    <t>Jefe Oficina Asesora de Planeación</t>
  </si>
  <si>
    <t>TASA DE COBERTURA BRUTA EN EDUCACIÓN MEDIA</t>
  </si>
  <si>
    <t>PORCENTAJE DE INSTITUCIONES</t>
  </si>
  <si>
    <t>% DE INSTITUCIONES EDUCATIVAS CON PROCESOS MEJORADOS</t>
  </si>
  <si>
    <t>9 de Septiembred e 2014</t>
  </si>
  <si>
    <t>Asesor Despacho (Dirección de Calidad Educativa)</t>
  </si>
  <si>
    <t>ICFES</t>
  </si>
  <si>
    <t>AREAS</t>
  </si>
  <si>
    <t>NO. DE ÁREAS EVALUADAS QUE MEJORAR SU DESEMPEÑO EN 2 PUNTOS°</t>
  </si>
  <si>
    <t>MEJORAR EN EL CUATRIENIO, EL PROMEDIO DE DESEMPEÑO DE LAS PRUEBAS SABER DEL GRADO NOVENO DE LAS INSTITUCIONES EDUCATIVAS OFICIALES EN 2 PUNTOS EN CADA ÁREA EVALUADA ( 3 AREAS )</t>
  </si>
  <si>
    <t>La Proyección de población de adolescentes para el 2013 era de 118.387 el 35 % de población a atender para cada año es 82.355</t>
  </si>
  <si>
    <t>VICTOR JULIO SANDOVAL ZAMUDIO</t>
  </si>
  <si>
    <t>ADOLESCENTES</t>
  </si>
  <si>
    <t>No DE ADOLESCENTES QUE PARTICIPAN ANUALMENTE EN ACTIVIDADES LÚDICAS, CULTURALES Y DEPORTIVAS</t>
  </si>
  <si>
    <t>NO. DE MUERTES DE ADOLESCENTES EN ACCIDENTES DE TRÁNSITO DURANTE EL CUATRIENIO</t>
  </si>
  <si>
    <t>LA FALTA DE COORDINACION DE LA POLICIA DEPARTAMENTAL CON LOS PROCESOS DE INFANCIA Y ADOLESCENCIA</t>
  </si>
  <si>
    <t>NO. DE HOMICIDIOS DE ADOLESCENTES EN EL CUATRIENIO</t>
  </si>
  <si>
    <t>% DE REUNIONES DEL CPS CON ASISTENCIA DE LOS INFANTES DURANTE EL CUATRIENIO</t>
  </si>
  <si>
    <t>ALIANZA POR LA INFANCIA</t>
  </si>
  <si>
    <t>DAVID ALBERTO CORREA CASTILLO</t>
  </si>
  <si>
    <t>NIÑ@S</t>
  </si>
  <si>
    <t>FOMENTAR HABILIDADES Y DESTREZAS CON ACTIVIDADES LÚDICAS, CULTURALES Y DEPORTIVAS EN EL 35% (81.390 NIÑ@S)DE LOS NIÑOS Y NIÑAS DE 6 A 11 AÑOS</t>
  </si>
  <si>
    <t>NO. DE ÁREA EVALUADAS QUE MEJORAN SU DESEMPEÑO EN 2 PUNTOS</t>
  </si>
  <si>
    <t>MEJORAR EN EL CUATRIENIO EL PROMEDIO DE DESEMPEÑO EN LAS PRUEBAS SABER DEL GRADO 5° DE LAS INSTITUCIONES EDUCATIVAS OFICIALES EN DOS PUNTOS POR CADA ÁREA EVALUADA (3 )</t>
  </si>
  <si>
    <t>Ministerio de Educación Nacional</t>
  </si>
  <si>
    <t>TASA DE DESERCIÓN ESCOLAR</t>
  </si>
  <si>
    <t>COBERTURA</t>
  </si>
  <si>
    <t>TASA DE COBERTURA BRUTA EN BÁSICA PRIMARIA</t>
  </si>
  <si>
    <t>TASA DE COBERTURA BRUTA EN TRANSICIÓN</t>
  </si>
  <si>
    <t>NO. DE MUERTES DE NIÑOS Y NIÑAS DE 6 A 11 AÑOS EN ACCIDENTES DE TRÁNSITO</t>
  </si>
  <si>
    <t>NO. DE HOMICIDIOS EN NIÑOS Y NIÑAS DE 6 A 11 AÑOS EN EL CUATRIENIO</t>
  </si>
  <si>
    <t>% DE REUNIONES DEL CPS CON ASISTENCIA DE NIÑOS EN EL CUATRIENIO</t>
  </si>
  <si>
    <t xml:space="preserve">INICIO PAREJO DE LA VIDA </t>
  </si>
  <si>
    <t>La Proyección de población de niñ@as de 0 a 5 años para el 2012 era de 116.486 el 15 % de población a atender para cada año es 17.472</t>
  </si>
  <si>
    <t>No DE NIÑOS Y NIÑAS DE 0 A 5 AÑOS QUE PARTICIPAN ANUALMENTE EN ACTIVIDADES LÚDICAS Y CULTURALES</t>
  </si>
  <si>
    <t>DIANA PAOLA GARCIA</t>
  </si>
  <si>
    <t>% DE DESNUTRICIÓN CRÓNICA EN MENORES DE 6 AÑOS</t>
  </si>
  <si>
    <t>% DE DESNUTRICIÓN GLOBAL EN MENORES DE 6 AÑOS</t>
  </si>
  <si>
    <t>ESMILY YUSMARY RUIZ VARON</t>
  </si>
  <si>
    <t>DANE</t>
  </si>
  <si>
    <t>TASA X MIL NACIDOS VIVOS</t>
  </si>
  <si>
    <t>TASA DE MORTALIDAD DE NIÑOS Y NIÑAS DE 0 A 5 AÑOS</t>
  </si>
  <si>
    <t>% DE DESNUTRICIÓN AGUDA EN MENORES DE 6 AÑOS</t>
  </si>
  <si>
    <t>REDUCIR EN EL CUATRIENIO LA PREVALENCIA DE DESNUTRICIÓN AGUDA EN NIÑOS Y NIÑAS MENORES DE 6 AÑOS AL 3%</t>
  </si>
  <si>
    <t>RAZON DE MORTALIDAD MATERNA</t>
  </si>
  <si>
    <t>RAZÓN DE MORTALIDAD MATERNA</t>
  </si>
  <si>
    <t>TASA DE MORTALIDAD INFANTIL</t>
  </si>
  <si>
    <t>INMLCF - INSTITUTO NACIONAL DE MEDICIONA LEGAL Y CIENCIAS FORENSES</t>
  </si>
  <si>
    <t>NO. DE MUERTES EN ACCIDENTES DE TRÁNSITO EN NIÑOS Y NIÑAS DE 0 A 5 AÑOS</t>
  </si>
  <si>
    <t>REDUCIR EN EL CUATRIENIO EN 20% ( 10 MUERTES) LAS MUERTES POR ACCIDENTES DE TRÁNSITO EN NIÑOS Y NIÑAS DE 0 A 5 AÑOS</t>
  </si>
  <si>
    <t>NUMERO DE HOMICIDIO EN NIÑOS Y NIÑAS DE 0 A 5 AÑOS EN EL CUATRIENIO</t>
  </si>
  <si>
    <t>REDUCIR EN EL CUATRIENIO EN 50% (4 CASOS DE HOMICIDIOS) LAS MUERTES POR HOMICIDIO EN NIÑOS Y NIÑAS DE 0 A 5 AÑOS</t>
  </si>
  <si>
    <t>Meta 18</t>
  </si>
  <si>
    <t>Meta 17</t>
  </si>
  <si>
    <t>Meta 16</t>
  </si>
  <si>
    <t>Meta 15</t>
  </si>
  <si>
    <t>Meta 14</t>
  </si>
  <si>
    <t>Meta 13</t>
  </si>
  <si>
    <t>Meta 12</t>
  </si>
  <si>
    <t>Meta 11</t>
  </si>
  <si>
    <t>Meta 10</t>
  </si>
  <si>
    <t>Meta 9</t>
  </si>
  <si>
    <t>Meta 8</t>
  </si>
  <si>
    <t>Meta 7</t>
  </si>
  <si>
    <t>Meta 6</t>
  </si>
  <si>
    <t>Meta 5</t>
  </si>
  <si>
    <t>Meta 4</t>
  </si>
  <si>
    <t>Meta 3</t>
  </si>
  <si>
    <t>Meta 2</t>
  </si>
  <si>
    <t>Meta 1</t>
  </si>
  <si>
    <t>Valle 2015</t>
  </si>
  <si>
    <t>Valle 2014</t>
  </si>
  <si>
    <t>Valle 2013</t>
  </si>
  <si>
    <t>Valle 2012</t>
  </si>
  <si>
    <t>Santander 2015</t>
  </si>
  <si>
    <t>Santander 2014</t>
  </si>
  <si>
    <t>Santander 2013</t>
  </si>
  <si>
    <t>Santander 2012</t>
  </si>
  <si>
    <t>Boyaca 2015</t>
  </si>
  <si>
    <t>Boyaca 2014</t>
  </si>
  <si>
    <t>Boyaca 2013</t>
  </si>
  <si>
    <t>Boyaca 2012</t>
  </si>
  <si>
    <t>Bogotá D.C. 2015</t>
  </si>
  <si>
    <t>Bogotá D.C. 2014</t>
  </si>
  <si>
    <t>Bogotá D.C. 2013</t>
  </si>
  <si>
    <t>Bogotá D.C. 2012</t>
  </si>
  <si>
    <t>Atlántico 2015</t>
  </si>
  <si>
    <t>Atlántico 2014</t>
  </si>
  <si>
    <t>Atlántico 2013</t>
  </si>
  <si>
    <t>Atlántico 2012</t>
  </si>
  <si>
    <t>Antioquia 2015</t>
  </si>
  <si>
    <t>Antioquia 2014</t>
  </si>
  <si>
    <t>Antioquia 2013</t>
  </si>
  <si>
    <t>Antioquia 2012</t>
  </si>
  <si>
    <t>Nación_2015</t>
  </si>
  <si>
    <t>Nación_2014</t>
  </si>
  <si>
    <t>Nación_2013</t>
  </si>
  <si>
    <t>Nación_2012</t>
  </si>
  <si>
    <t>Análisis del Indicador</t>
  </si>
  <si>
    <t>Dificultades para la medición</t>
  </si>
  <si>
    <t>FECHA ÚLTIMA ACTUALIZACION</t>
  </si>
  <si>
    <t>FUNCIONARIO RESPONSBLE</t>
  </si>
  <si>
    <t>Periodo de Actualización</t>
  </si>
  <si>
    <t>FUENTE (Entidad que calcula)</t>
  </si>
  <si>
    <t>VALOR_INDICADOR_2015</t>
  </si>
  <si>
    <t>VALOR_INDICADOR_2014</t>
  </si>
  <si>
    <t>VALOR_INDICADOR_2013</t>
  </si>
  <si>
    <t>VALOR_ INDICADOR _2012</t>
  </si>
  <si>
    <t>V/ ESPERADO_2015</t>
  </si>
  <si>
    <t>AÑO CALCULO</t>
  </si>
  <si>
    <t>LINEA BASE_2011</t>
  </si>
  <si>
    <t>T. INDICADOR</t>
  </si>
  <si>
    <t>U. DE MEDIDA</t>
  </si>
  <si>
    <t>NOMBRE DEL INDICADOR</t>
  </si>
  <si>
    <t>T. META</t>
  </si>
  <si>
    <t>DESCRIPCION META</t>
  </si>
  <si>
    <t>ING. EDWIN GARCIA - JEFE DE OFICINA DE SEGURIDAD VIAL Y COMPORTAMIENTO DEL TRANSITO</t>
  </si>
  <si>
    <t>30 DE NOVIEMBRE DE 2014</t>
  </si>
  <si>
    <t>DE ACUERDO CON LA CONSTRUCCIÓN DEL INDICADOR SE ESPERA DISMINUIR EN UN 20% EL NUMERO DE MUERTES, SE EVIDENCIA CUMPLIMIENTO A LA FECHA TODA VEZ QUE EL COMPORTAMIENTO DE MUERTES HA SIDO DECRECIENTE, CONTANDO CON UN TOTAL DE 2 MUERTES OCURRIDAS EN EL ULTIMO TRIMESTRE DEL 2014 SEGUN INFORMACION DISPONIBLE</t>
  </si>
  <si>
    <t>31 de Octubre de 2014</t>
  </si>
  <si>
    <t>11.0</t>
  </si>
  <si>
    <t>Noviembre de 2014
(unicamente para el Departamento)</t>
  </si>
  <si>
    <t>51,02</t>
  </si>
  <si>
    <t>37,6</t>
  </si>
  <si>
    <t>37,66</t>
  </si>
  <si>
    <t>36,9</t>
  </si>
  <si>
    <t>44,2</t>
  </si>
  <si>
    <t>29,3</t>
  </si>
  <si>
    <t>30 de Diciembre de 2014</t>
  </si>
  <si>
    <t>30 de Septiembre de 2014</t>
  </si>
  <si>
    <t xml:space="preserve">LA COMPARACION CON LOS DEMAS DEPARTAMENTOS SE REALIZA UNICAMENTE CON EL CORTE OFICIAL QUE ARROJA EL DANE E INS QUE CORRESPONDE AL MES DE AGOSTO DE 2014. </t>
  </si>
  <si>
    <t>PARA LOS AÑOS 2008 AL 2014P SE PUEDE OBSERVAR UNA LÍNEA CON TENDENCIA AL DESCENSO EN EL DEPARTAMENTO DE CUNDINAMARCA ESTANDO POR DEBAJO DEL INDICADOR NACIONAL Y PARA EL ÚLTIMO PERIODO EVALUADO POR DEBAJO DE LA META FIJADA PARA LOS OBJETIVOS DEL MILENIO.</t>
  </si>
  <si>
    <t>31 de Diciembre de 2014</t>
  </si>
  <si>
    <t>LA MEDICIÓN DEL INDICADOR SE REALIZA ANULAMENTE A FINAL DE AÑO, RAZÓN POR LA CUAL PARA EL AÑO 2014 AÚN NO SE CUENTA CON DATOS.</t>
  </si>
  <si>
    <t xml:space="preserve">HEMOS DISMINUIDO EL INDICADOR DE DESNUTRICIÓN CRÓNICA DE 11.1% A 9.76%, LO QUE SE TRADUCE EN UMA MEJORA DE 1.34%. ASÍ LAS COSAS, ESTAMOS CERCA DE ALCANZAR LA META PROPUESTA.LA PREVALENCIA DE DESNUTRICIÓN CRÓNICA EN MENORES DE 5 AÑOS MUESTRA UNA TENDENCIA AL DESCENSO, SI BIEN DURANTE EL AÑO 2012 NO SE ALCANZÓ A CUMPLIR CON LO PROGRAMADO PARA EL AÑO, EN EL 2013 SE LOGRÓ UN CUMPLIMIENTO DEL 100%. 
EL COMPORTAMIENTO DEL INDICADOR CON CORTE A SEMANA EPIDEMIOLÓGICA NÚMERO 50 DEL 2014 MUESTRA UN INCREMENTO CON RESPECTO AL 2013 Y AL MOMENTO DEL CORTE NO SE HA CUMPLIDO CON LA META PROGRAMADA PARA EL AÑO 2014.
</t>
  </si>
  <si>
    <t>31 de Diciembrede 2014</t>
  </si>
  <si>
    <t>EN EL 2014 HUBO UNA PARTICPACIÓN DE LOS NIÑOS ATRAVÉS DE UN VIDEO CHAT DESDE EL MUNICIPIO DE PUERTO SALGAR.</t>
  </si>
  <si>
    <t>DE ACUERDO CON LA CONSTRUCCIÓN DEL INDICADOR SE ESPERA DISMINUIR EN UN 20% EL NUMERO DE MUERTES, SE EVIDENCIA CUMPLIMIENTO A LA FECHA TODA VEZ QUE EL COMPORTAMIENTO DE MUERTES HA SIDO DECRECIENTE, CONTANDO CON UN TOTAL DE 0 MUERTES OCURRIDAS EN EL ULTIMO TRIMESTRE DEL 2014 SEGUN INFORMACION DISPONIBLE</t>
  </si>
  <si>
    <t>Diciembre 6 de 2014</t>
  </si>
  <si>
    <t xml:space="preserve">EN EL 2014 HUBO UNA PARTICPACIÓN DE LOS INFANTES ATRAVÉS DE UN VIDEO CHAT DESDE EL MUNICIPIO DE PUERTO SALGAR. </t>
  </si>
  <si>
    <t xml:space="preserve">EL ESTABLECIMIENTO DEL COMPARATIVO CON LOS DEPARTAMENTOS DE REFERENCIA DADO QUE SE DESCONOCE SI HAY ALGUNA LINEA DE BASE POR ELLOS ESTABLECIDA EN LOS TÉRMINOS PLANTEADOS POR EL DEPARTAMENTO DE CUNDINAMARCA. </t>
  </si>
  <si>
    <t xml:space="preserve">EN EL 2014 HUBO UNA PARTICPACIÓN DE LOSADOLESCENTES ATRAVÉS DE UN VIDEO CHAT DESDE EL MUNICIPIO DE PUERTO SALGAR. </t>
  </si>
  <si>
    <t>DE ACUERDO CON LA CONSTRUCCIÓN DEL INDICADOR SE ESPERA DISMINUIR EN UN 20% EL NUMERO DE MUERTES, SE EVIDENCIA CUMPLIMIENTO A LA FECHA TODA VEZ QUE EL COMPORTAMIENTO DE MUERTES HA SIDO DECRECIENTE, CONTANDO CON UN TOTAL DE 10 MUERTES OCURRIDAS EN EL ULTIMO TRIMESTRE DEL 2014 SEGUN INFORMACION DISPONIBLE</t>
  </si>
  <si>
    <t>El indicador ha venido en crecimiento por las actividades de organización, identificación, fortalecimiento de grupos y lideres juveniles, así como de la conformación de plataformas de juventud en los municipios; se espera que durante el segundo semestre de 2014 y el año 2015 se consoliden procesos en as 15 provincias</t>
  </si>
  <si>
    <t>NO SE HA PODIDO REPORTAR AVANCE DE ESTE INDICADOR POR QUE EL INSTUMENTO DE MEDIDA NO ES UN SISTEMA DE INFORMACIÓN PERMANENTE, SINO QUE ESTA LIMITADO A LA REALIZACIÓN DE UN ESTUDIO QUE IMPLICA AJUSTAR EL INSTRUMENTO DE RECOLECCIÓN DE INFORMACIÓN, APLICAR LAS ENCUESTAS, SISTEMATIZARLAS Y REALIZAR EL ANÁLISIS CORRESPONDIENTE CON UNA MUESTRA IMPORTANTE DE JOVENES DEL DEPARTAMENTO, PARA LO QUE EN ESTE MOMENTO NO SE CUENTA CON RECURSOS. SE AVANZÓ EN REVISAR EL INSTRUMENTO Y EN CONTRASTARLO CON LA POLITICA PUBLICA DE JUVENTUD QUE SE ESTÁ AJUSTANDO CON EL FIN DE AJUSTAR ESTE INSTRUMENTO.</t>
  </si>
  <si>
    <t>DE ACUERDO CON LA CONSTRUCCIÓN DEL INDICADOR SE ESPERA DISMINUIR EN UN 20% EL NUMERO DE MUERTES, SE EVIDENCIA CUMPLIMIENTO A LA FECHA TODA VEZ QUE EL COMPORTAMIENTO DE MUERTES HA SIDO DECRECIENTE, CONTANDO CON UN TOTAL DE 24 MUERTES OCURRIDAS EN EL ULTIMO TRIMESTRE DEL 2014 SEGUN INFORMACION DISPONIBLE</t>
  </si>
  <si>
    <t xml:space="preserve">INMLCF - INSTITUTO NACIONAL DE MEDICIONA LEGAL Y CIENCIAS FORENSES </t>
  </si>
  <si>
    <t>DE ACUERDO CON LA CONSTRUCCIÓN DEL INDICADOR SE ESPERA DISMINUIR EN UN 20% EL NUMERO DE MUERTES, SE EVIDENCIA CUMPLIMIENTO A LA FECHA TODA VEZ QUE EL COMPORTAMIENTO DE MUERTES HA SIDO DECRECIENTE, CONTANDO CON UN TOTAL DE 7 MUERTES OCURRIDAS EN EL ULTIMO TRIMESTRE DEL 2014 SEGUN INFORMACION DISPONIBLE</t>
  </si>
  <si>
    <t>YESID ORLANDO DIAZ GARZON</t>
  </si>
  <si>
    <t>LAS INVERSIONES REALIZADAS POR LA UAE DE VIVIENDA SOCIAL ESTAN DIRIGIDAS AL CUMPLIMIENTO DEL INDICADOR.
SE PRESENTA GRAN DIFICULTAD EN LA INVERSION DE LOS RECURSOS DEPARTAMENTALES, DEBIDO A QUE DICHOS RECURSOS SE INVIERTEN EN PROYECTOS DE INICIATIVA MUNICIPAL Y LAS ADMINISTRACIONES MUNICIPALES SE DEMORAN EN LA PRESENTACION DE LOS PROYECTOS. 
DE OTRA PARTE, CON LA GESTION ADELANTADA POR LA UAE DE VIVIENDA SOCIAL ANTE LAS ENTIDADES DEL ORDEN NACIONAL SE HA LOGRADO UNA ASIGNACION IMPORTANTE DE RECURSOS PARA LOS MUNICIPIOS DE CUNDINAMARCA, REPRESENTADOS EN SUBSIDIOS FAMILIARES DE VIVIENDA.
A 31 DE DICIEMBRE DE 2014 EL INDICADOR PRESENTA UN AVANCE DEL 59%.
CON LA INVERSION DE RECURSOS Y LAS ACCIONES QUE ADELANTE LA ENTIDAD EN EL 2015 SE LOGRARÁ EL CUMPLIMIENTO DEL INDICADOR.</t>
  </si>
  <si>
    <t>EN EL 2013 HAY UN IMPORTANTE INCREMENTO DE LAS FAMILIAS ATENDIDAS EN EL PROGRAMA DE BANCOS DE ALIMENTOS. PARA 2014, SE HIZO UNA ATENCIÓN PSICOSOCIAL A 2.656 FAMILIAS DEL DEPARTAMENTO, LOGRANDO UN FORTALECIMIENTO EN DERECHOS DEL INDIVIDUO Y DETECTANDO Y ATENDIENDO CASOS DE MALTRATO INFANTIL.</t>
  </si>
  <si>
    <t>INCUMPLIMIENTO EN LA OPORTUNIDAD DE ENTREGA DE LOS INDICADORES POR PARTE DE LAS ESE Y EAPB</t>
  </si>
  <si>
    <t xml:space="preserve">9 DE ENERO DE 2015 </t>
  </si>
  <si>
    <t>31 DE DICIEMBRE DE 2014</t>
  </si>
  <si>
    <t>SECRETARIA DE INTEGRACIÓN REGIONAL</t>
  </si>
  <si>
    <t>FREDY WILLIAM SANCHEZ</t>
  </si>
  <si>
    <t xml:space="preserve">JADIR VALENZUELA </t>
  </si>
  <si>
    <t>DEMORA EN LA PUBLICACIÓN DE LOS RESULTADOS POR PARTE DEL SISTEMA SIEX Y DANE YA QUE SOLO MUESTRAN ESTADISTICAS DESDE EL MES DE ENERO HASTA EL MES DE NOVIEMBRE DE 2014</t>
  </si>
  <si>
    <t>SE ESTA ESPERANDO INFORME DE LA AGENCIA NACIONAL DE MINERIA INDICANDO CUANTAS MINAS SE LEGALIZARON EN EL 2014,</t>
  </si>
  <si>
    <t>JAHIR ANDRES HERNANDEZ</t>
  </si>
  <si>
    <t xml:space="preserve">EXISTE UNA GRA DEPENDENCIA DE LAS DECISIONES DE LOS MINEROS DE QUERER LEGALIZARSE Y DE LA GESTIÓN DE TRAMITES DE LA AGENCIA NACIONAL MINERA. </t>
  </si>
  <si>
    <t>INFORMES DE CONVENIOS EJECUTADOS, QUE REPOSAN EN LA SECRETARIA DE MINAS Y ENERGÍA DE CUNDINAMARCA.</t>
  </si>
  <si>
    <t>Teniendo en cuenta que la red departamental vial se encontraba en un 30% luego de la pasada ola Invernal, la presente administración interesada en mejorar las actuales condiciones de transitabilidad, plantea mejorar dichas condiciones un 20% adicional, para llegar ala meta del 50% de toda la estructura vial que tiene Cundinamarca. Con el avance a 31 de diciembre de 2014, se demuestra, que la gestión de la actual administración ha velado pro aumentar los niveles de transitabilidad en el territorio Cundinamarques, mas alto que los porcentajes que se proyectaron inicialmente</t>
  </si>
  <si>
    <t>CENTRO DE PENSAMIENTO
EN ESTRATEGIAS
COMPETITIVAS - CEPEC</t>
  </si>
  <si>
    <t>NA</t>
  </si>
  <si>
    <t>20 DE OCTUBRE DE 2014</t>
  </si>
  <si>
    <t xml:space="preserve"> INDICE DEPARTAMENTAL DE COMPETITIVIDAD, EN EL CUAL SE ESTABLECEN 10 PILARES SIENDO EL NO. 10. INNOVACION Y DINÁMICA EMPRESARIAL, EL CUAL MIDE EL DESEMPEÑO DE LOS DEPARTAMENTOS EN ÁREAS COMO CAPACIDAD Y CALIDAD DE LA INVESTIGACIÓN CIENTÍFICA, INVERSIÓN EN ACTI, UTILIZACIÓN DE MECANISMOS DE PROTECCIÓN DE PROPIEDAD INDUSTRIAL, DENSIDAD Y CRECIMIENTO EMPRESARIAL, ENTRE OTRAS.</t>
  </si>
  <si>
    <t>FEDY WILLIAM SANCHEZ</t>
  </si>
  <si>
    <t>Se constituyó la Región Administrativa y de Planeación Especial – RAPE – entre Bogotá Distrito Capital y los departamentos de Cundinamarca, Boyacá, Meta y Tolima.La consolidación de la RAPE Región Central va más allá de ser un simple ejercicio de planificación, para posicionarse como una apuesta por el desarrollo económico y social del territorio. La RAPE busca consolidar un modelo de desarrollo caracterizado por la inclusión social, el conocimiento, el reconocimiento a la diferencia poblacional, de género, étnica y territorial, al tiempo que avanza en la disminución de la pobreza, el restablecimiento de los derechos de las víctimas del conflicto armado como contribución a la construcción de paz.</t>
  </si>
  <si>
    <t>DISMINUIR EL ÍNDICE DE ESTUDIANTES POR COMPUTADOR EN LAS INSTITUCIONES DEL DEPARTAMENTO DE UNO POR CADA 21 A UNO POR CADA 10 ESTUDIANTES EN EL PERIODO DE GOBIERNO.</t>
  </si>
  <si>
    <t>ANGELA MARIA DEL PILAR REYES</t>
  </si>
  <si>
    <t>NO SE REPORTO NINGUAN DIFICULTAD PARA DICHA MEDICIÓN.</t>
  </si>
  <si>
    <t xml:space="preserve"># PROVINCIAS ATENDIDAS </t>
  </si>
  <si>
    <t xml:space="preserve">Numero </t>
  </si>
  <si>
    <t xml:space="preserve">DEPARTAMENTO </t>
  </si>
  <si>
    <t>ARBOLES SEMBRADOS</t>
  </si>
  <si>
    <t>ARBOLES</t>
  </si>
  <si>
    <t>Secretaria de planeación</t>
  </si>
  <si>
    <t>LUIS FRANCISCO HUERFANO</t>
  </si>
  <si>
    <t>META NETA 2012</t>
  </si>
  <si>
    <t>META ACUMULADA 2012</t>
  </si>
  <si>
    <t>META NETA 2013</t>
  </si>
  <si>
    <t>META ACUMULADA 2013</t>
  </si>
  <si>
    <t>META NETA 2014</t>
  </si>
  <si>
    <t>META ACUMULADA 2014</t>
  </si>
  <si>
    <t>META NETA 2015</t>
  </si>
  <si>
    <t>META ACUMULADA 2015</t>
  </si>
  <si>
    <t>PROGRAMACION</t>
  </si>
  <si>
    <t>PROG _ ACUMULADO</t>
  </si>
  <si>
    <t>PROGRAMACIÓN_ANUAL</t>
  </si>
  <si>
    <t>Ejec. Acumulada</t>
  </si>
  <si>
    <t xml:space="preserve">Falta de una herramienta adecuada para llevar a cabo la aplicación y tabulación de la encuesta de satisfacción. </t>
  </si>
  <si>
    <t xml:space="preserve">SECRETARIA GENERAL DE LA GOBERNACIÓN DE CUNDINAMARCA -ENCUESTA DE SATISFACCIÓN DE LOS USUARIOS, PRESENCIAL </t>
  </si>
  <si>
    <t>DIRECTOR DE SERVICIO AL CIUDADANO Y GESTIÓN DOCUMENTAL</t>
  </si>
  <si>
    <t>ESTE INDICADOR ES DEPARTAMENTAL, MOTIVO POR EL CUAL NO ES COMPARABLE CON LA NACIÓN NI OTROS DEPARTAMENTOS. SE REALIZA ENCUESTA DE SATISFACCIÓN AL USUARIO DEL 24 AL 28 DE NOVIEMBRE DEL 2014, CON UNA MUESTRA DE 265 ENCUESTADOS A LOS QUE SE LES APLICO EL FORMATO M-AC-FR-05 ENCUESTA DE SATISFACCIÓN, UNA VEZ SE REALIZO TABULACIÓN DE LOS RESULTADOS, SE EVIDENCIA QUE LA MEDICIÓN DE LA SATISFACCIÓN DEL USUARIO PARA LA GOBERNACIÓN DE CUNDINAMARCA ES DEL 70%. LAS SECRETARÍAS DE HACIENDA, SALUD Y TRANSPORTE Y MOVILIDAD NO CUMPLIERON LA META ESTABLECIDA. AL REALIZAR UN COMPARATIVO CON EL RESULTADO ANTERIOR, SE EVIDENCIA UN AUMENTO DEL 20% EN EL RESULTADO DE LA MEDICIÓN DE LA SATISFACCIÓN DE LOS USUARIOS PARA EL AÑO 2014 CON RESPECTO AL RESULTADO VIGENCIA 2013. LOS COMPONENTES EVALUADOS FUERON LOS SIGUIENTES: PRIMERO SEÑALIZACIÓN SE EVIDENCIÓ QUE EL 18% DE LOS CIUDADANOS QUE VISITARON LA GOBERNACIÓN DE CUNDINAMARCA AFIRMAN QUE HAY MALA SEÑALIZACIÓN, UN 54% TIENE LA PERCEPCIÓN DE UNA BUENA SEÑALIZACIÓN. EL SEGUNDO COMPONENTE FUE LA ATENCIÓN RECIBIDA: LA PERCEPCIÓN DEL 57% DE LAS PERSONAS ENCUESTADAS EN BUENA. EL TERCER COMPONENTE FUE EL TIEMPO DE ESPERA PARA SER ATENDIDO: EL 45% OPINAN QUE ES BUENA, EL 44% QUE ES REGULAR Y EL 11% AFIRMA QUE EL TIEMPO DE ES PERA ES MAYO A 45 MINUTOS CALIFICANDOLO COMO MALO. EL CUARTO COMPONENTE FUE REALIZAR EL TRAMITE DE UNA MENERA COMPLETA: EL 47% DE LOS CIUDADANOS AFIRMAN QUE LOGRARON REALIZAR SU TRAMITE O SERVICIO DE MANERA COMPLETA, EL 14% NO LOGRAR RALIZAR EL TRAMITE O SERVICIO DE MANERA COMPLETA. DE ACUERDO A LAS SUGERENCIAS DADAS POR USUARIOS SE RECOMIENDA MEJORAR LOS SIGUIENTES ASPECTOS: SEÑALIZACIÓN DE LA GOBERNACIÓN DE CUNDINAMARCA, TIEMPOS DE RESPUESTA EN LA ATENCIÓN DE TRÁMITES Y SERVICIOS, IMPLEMENTAR MEJORAS TECNOLÓGICAS QUE NO AFECTEN AL USUARIO, MEJORAR LA INFORMACIÓN, ACCESO Y ATENCIÓN AL USUARIO EN CADA ENTIDAD Y CALIDAD HUMANA DE LOS SERVIDORES PUBLICOS DE CARA AL CIUDADANO.</t>
  </si>
  <si>
    <t>EL ANÁLISIS PARA EL DEPARATMENTO, FUE REALIZADO CON EL NÚMERO DE RECIÉN NACIDOS OFICIAL DANE 2013 DATO QUE FUE ACTUALIZADO EN EL MES DE NOVIEMBRE DE 2014 Y A LA FECHA NO SE CUENTA CON DATO OFICIAL 2014.</t>
  </si>
  <si>
    <t>1. EL DEPARTAMENTO CONTINÚA CON LA REDUCCIÓN DE LA MORTALIDAD INFANTIL AL PASAR DEL 10,3 EN EL 2013 AL 9,6 EN EL 2014P Y MANTENERSE POR DEBAJO DEL COMPORTAMIENTO NACIONAL.
LA TASA DE MORTALIDAD EN MENORES DE UN AÑO PARA EL DEPARTAMENTO DE CUNDINAMARCA DESDE EL AÑO 2008 HA MOSTRADO TENDENCIA AL DESCENSO, PERO LA MISMA HA SIDO MÁS SIGNIFICATIVA A PARTIR DEL AÑO 2013.
EL INDICADOR DE LA MORTALIDAD INFANTIL ES EL RESULTADO DIRECTO DE LA CALIDAD DE ATENCIÓN DESDE LA GESTACIÓN HASTA EL PRIMER AÑO DE VIDA, POR TAL RAZÓN DA CUENTA DE LA EFECTIVIDAD DE LAS ACCIONES REALIZADAS POR EL ENTE DEPARTAMENTAL, LOS ESFUERZOS MUNICIPALES Y DE LAS EPS. 
PARA EL AÑO 2014 EL INDICADOR EN EL DEPARTAMENTO SE ENCUENTRA IGUAL QUE EL DEPARTAMENTO DE BOYACA (9,6), POR DEBAJO DE BOGOTÀ (10,2), ATLANTICO (14,9) Y ANTIOQUIA (10,4) Y POR ENCIMA DE SANTANDER (8,7) Y VALLE (9,0).</t>
  </si>
  <si>
    <t xml:space="preserve">EL ANÁLISIS PARA EL DEPARATMENTO, FUE REALIZADO CON EL NÚMERO DE RECIÉN NACIDOS OFICIAL DANE 2013 DATO QUE FUE ACTUALIZADO EN EL MES DE NOVIEMBRE DE 2014 Y A LA FECHA NO SE CUENTA CON DATO OFICIAL 2014.
LA COMPARACION CON LOS DEMAS DEPARTAMENTOS SE REALIZA UNICAMENTE CON EL CORTE OFICIAL QUE ARROJA EL DANE E INS QUE CORRESPONDE AL MES DE AGOSTO DE 2014. </t>
  </si>
  <si>
    <t xml:space="preserve">EL DEPARTAMENTO DE CUNDINAMARCA LOGRO MANTENER EL COMPORTAMIENTO DE LA RAZÓN DE MORTALIDAD MATERNA DURANTE LOS AÑOS 2013 (40,91) Y 2014 (46,76), POR DEBAJO DEL COMPORTAMIENTO NACIONAL (51,02). ES IMPORTANTE ACLARAR QUE EL ANÁLISIS FUE REALIZADO CON EL NÚMERO DE RECIÉN NACIDOS OFICIAL DANE 2013, DEBIDO A QUE A LA FECHA NO SE CUENTA CON DATO OFICIAL 2014
PARA EL AÑO 2014 SE HA CONTINUADO CON LAS DIFERENTES ESTRATEGIAS PARA EL LOGRO DE UNA MATERNIDAD SEGURA EN EL DEPARTAMENTO, SIN EMBARGO A DICIEMBRE SE HAN PRESENTADO 16 CASOS DE MUERTES MATERNAS, LO CUAL REFLEJA UNA RAZÓN DE MORTALIDAD MATERNA DE 46.76 POR CADA 100.000 NV CIFRA PRELIMINAR 2014.
EN CUNDINAMARCA Y EN TODA LA NACIÓN A PARTIR DEL AÑO 2011 SE PRESENTÓ UN AUMENTO EN LA TENDENCIA EN MORTALIDAD MATERNA, HECHO QUE ESTÁ DIRECTAMENTE RELACIONADO CON LA CRISIS DEL ACTUAL SISTEMA DE SALUD, EN LA CUAL LAS BARRERAS DE ACCESO A LA PRESTACIÓN DE LOS SERVICIOS OCASIONADAS POR LAS DEFICIENCIAS EN AUTORIZACIONES DE SERVICIOS Y LA DISMINUCIÓN DE PORCENTAJE DE CONTRATACIÓN FORMAL EN LA RED DE PRESTADORES DEL DEPARTAMENTO POR PARTE DE LOS ASEGURADORES, GENERA MAYOR POSIBILIDAD DE LA OCURRENCIA DEL EVENTO
CUNDINAMARCA HASTA ESTE PERIODO HABÍA PRESENTADO NUEVE MUERTES MATERNAS, QUE REFLEJAN UNA RAZÓN DE MORTALIDAD MATERNA (RMM) DE 45.5 X 100000 NACIDOS VIVOS. AL COMPARAR CON OTROS ENTES TERRITORIALES COMO BOGOTÁ CON 36.9, BOYACÁ CON 44.2, SANTANDER CON 29.3, VALLE CON 36.9 Y ANTIOQUIA CON EL 37.6 MUERTES MATERNAS POR CADA 100.000 NACIDOS VIVOS SE EVIDENCIA QUE EL INDICADOR (HASTA ESTE PERIODO DE 2014) SE ENCONTRÓ POR ENCIMA DE ESTOS DEPARTAMENTOS PERO POR DEBAJO DEL NIVEL NACIONAL.
DE OTRA PARTE, A NIVEL DE LOS MUNICIPIOS DEL DEPARTAMENTO, EL ANÁLISIS DE LAS MUERTES POR LUGAR DE RESIDENCIA MUESTRA EN LOS ÚLTIMOS CINCO AÑOS QUE EL MUNICIPIO DE SOACHA CONTINUA PRESENTANDO LA MAYOR RMM DURANTE LOS AÑOS 2011 A 2014, SEGUIDO DE GIRARDOT; SIN EMBARGO AL REALIZAR EL COMPARATIVO POR EL INDICADOR DE RAZÓN DE MUERTE MATERNA POR 100.000 NV GIRARDOT Y ZIPAQUIRA EN LOS AÑOS 2012 Y 2013 MOSTRARON LA MAYOR RMM, A DIFERENCIA DEL 2014 DONDE SOACHA PRESENTO LA MAYOR RMM CON 84 X 100.000 NACIDOS VIVOS.
ES DE ANOTAR, QUE PARA 2014, OTROS MUNICIPIOS COMO FUSAGASUGA, FACATATIVA, VILLAPINZON, CHOACHI, FUNZA Y VERGARA PRESENTARON CASOS DE MUERTE MATERNA.
</t>
  </si>
  <si>
    <t>Secretaria de Salud de Cundinamarca SISVAN 2012 -2014 p</t>
  </si>
  <si>
    <t xml:space="preserve">• BAJA ADHERENCIA DE LOS PADRES DE FAMILIA Y CUIDADORES DE LOS NIÑOS Y NIÑAS DE 6 A 23 MESES AL PROGRAMA DE MICRONUTRIENTES EN POLVO PARA FORTIFICACIÓN CASERA DE ALIMENTOS. 
• FALLAS EN EL SOFTWARE WINSISVAN VERSIÓN 3.0 QUE NO SE PUEDEN ARREGLAR CON LA ASISTENCIA TÉCNICA DE LOS PROFESIONALES DE ASISTENCIA TÉCNICA EN NUTRICIÓN.
• NOTIFICACIÓN TARDÍA AL SISTEMA DE VIGILANCIA ALIMENTARIA Y NUTRICIONAL DE LAS UNIDADES NOTIFICADORAS UPGD. 
• NO SE ENCUENTRA IMPLEMENTADA LA ESTRATEGIA DE AIEPI COMUNITARIO EN LAS CASAS CON NIÑOS Y NIÑAS CON MENORES DE 5 AÑOS PARA SU CANALIZACIÓN OPORTUNA. 
</t>
  </si>
  <si>
    <t>SE HA VENIDO PRESENTANDO UNA PEQUEÑA DISMINUCIÓN EN EL INDICADOR. NO OBSTANTE, NO SE LOGRARÁ DISMINUÍR LA DESNUTRICIÓN GLOBAL A 3.5% AL FINALIZAR EL 2015. LA PREVALENCIA DE DESNUTRICIÓN GLOBAL EN MENORES DE 5 AÑOS MUESTRA UNA TENDENCIA AL DESCENSO, ALCANZANDO UN CUMPLIMIENTO DEL 100% SEGÚN LO PROGRAMADO PARA EL 2013. EL COMPORTAMIENTO DEL INDICADOR CON CORTE A SEMANA EPIDEMIOLÓGICA NÚMERO 50 DEL 2014 MUESTRA UN INCREMENTO CON RESPECTO AL 2013 SIENDO UN DATO PARCIAL QUE PUEDE VARIAR AL CIERRE DE LA VIGENCIA. A LA FECHA NO SE HA CUMPLIDO CON LA META PROGRAMADA PARA EL AÑO 2014.</t>
  </si>
  <si>
    <t>EL L DESPLAZAMIENTO DE LOS NN MENORES DE 6 AÑOS A PARTICIPAR EN LOS CODEPS, ES DIFICIL POR LA AUTORIZACION DE LOS PADRES, INSTITUCIONES EDUCATIVAS, ADEMAS DEL COSTO DE TRANSPORTE, REFRIGERIO Y ALMUERZO</t>
  </si>
  <si>
    <t xml:space="preserve">EN LA VIGENCIA 2011, EL INDICADOR DE COBERTURA BRUTA EN EL NÍVEL DE TRANSICIÓN SE SITUÓ EN 85,0%, PARA EL AÑO 2012, LA SECRETARÍA DE EDUCACIÓN NO PROGRAMÓ AVANCES EN TÉRMINOS DE AUMENTO DE LA COBERTURA BRUTA EN EL NIVEL DE TRANSICIÓN, SIN EMBARGO SE ENCONTRÓ QUE EN EL AÑO 2012 CUNDINAMARCA DISMINUYÓ CON RESPECTO AL AÑO 2011 EN 0,33 PUNTOS PORCENTUALES.
PARA LA VIGENCIA 2013, LA SECRETARÍA DE EDUCACIÓN PLANTEÓ AUMENTAR EL INDICADOR DE COBERTURA BRUTA EN 0,65 PUNTOS PORCENTUALES, SIN EMBARGO GRACIAS A LAS DIFERENTES ESTRATEGÍAS DE ACCESO Y PERMANENCIA EL DEPARTAMENTO LOGRÓ AUMENTAR ESTE INDICADOR EN 3,16 PUNTOS PORCENTUALES CON RESPECTO A LA PROGRAMACIÓN, ES DECIR QUE SE UBICÓ EN EL 88,81% AL FINALIZAR EL AÑO 2013.
LA META PARA LA VIGENCIA 2014, SE ESTABLECIÓ EN TÉRMINOS DE ALCANZAR UNA COBERTURA BRUTA EN EL NIVEL DE TRANSICIÓN DEL 86,30%, NO OBSTANTE, LA SECRETARÍA LOGRÓ AUMENTAR ESTE INDICADOR EN 4,05 PUNTOS PORCENTUALES ADICIONALES A LA META PROGRAMADA, ES DECIR QUE LA COBERTURA BRUTA PARA EL AÑO 2014 SE SITUÓ EN EL 90,35%.
 </t>
  </si>
  <si>
    <t xml:space="preserve">LA SECRETARÍA DE EDUCACIÓN PLANTEÓ ESTA META EN TÉRMINOS DE MANTENER LA COBERTURA EXISTENTE EN EL 100% DE ATENCIÓN. 
EN LA VIGENCIA 2012 EL DEPARTAMENTO DE CUNDINAMARCA MOSTRÓ UNA LEVE DISMINUCIÓN EN EL RESULTADO DE ESTE INDICADOR SITUANDOSE EN EL 99,71%, CON RESPECTO AL AÑO 2011.
LOS RESULTADOS PARA LA VIGENCIA 2013 SE SITUAN EN EL 101,27%, ES DECIR QUE EL DEPARTAMENTO DE CUNDINAMARCA REGISTRÓ AVANCES EN CUANTO A COBERTURA BRUTA EN EL NÍVEL PRIMARIA EN 1,56 PUNTOS PORCENTUALES CON RESPECTO AL AÑO 2012.
PARA EL AÑO 2014, EL RESULTADO DEL INDICADOR DE COBERTURA BRUTA EN EL NIVEL DE PRIMARIA SE SITUÓ EN EL 100,59%, ES DECIR QUE A LA FECHA, ESTE INDICADOR PRESENTA UN AUMENTO DE 0,59 PUNTOS PORCENTUALES CON RESPECTO A LA PROGRAMACIÓN DE LA META. </t>
  </si>
  <si>
    <t xml:space="preserve">EL DEPARTAMENTO DE CUNDINAMARCA HA LOGRADO AVANCES SIGNIFICATIVOS EN TERMINOS DE REDUCCCIÓN DEL INDICADOR DE DESERCIÓN, PARA LA VIGENCIA 2012 SE PLANTEÓ DISMINUIR EN 0,115 PUNTOS PORCENTUALES ESTE INDICADOR, NO OBSTANTE CUNDINAMARCA LOGRÓ DISMINUIR EN 2,97 PUNTOS, SITUANDOSE EN EL 2,64%.
CUNDINAMARCA ES COMPARABLE CON DEPARTAMENTOS COMO ANTIOQUIA, ATLANTICO, SANTANDER, VALLE Y BOYACÁ, DE ACUERDO CON LAS CIFRAS SUMINISTRADAS POR EL MINISTERIO DE EDUCACIÓN NACIONAL, SE LOGRÓ ESTABLECER QUE EL DEPARTAMENTO QUE PRESENTÓ MEJORES RESULTADOS EN EL INDICADOR DE DESERCIÓN FUE ATLÁNTICO, EN TANTO QUE CUNDINAMARCA PRESENTÓ MEJORES RESULTADOS QUE LOS DEPARTAMENTOS COMO ANTIOQUIA, SANTANDER, VALLE Y BOYACÁ.
DE IGUAL MANERA, EN LA VIGENCIA 2013 CUNDINAMARCA CONTINUÓ DISMINUYENDO EL RESULTADO DEL INDICADOR DE DESERCIÓN, SIUÁNDOSE EN EL 2,42%, ES DECIR QUE LOGRÓ DISMINUIR EN 0,22 PUNTOS PORCENTUALES CON RESPECTO AL AÑO INMEDIATAMENTE ANTERIOR, ES IMPORTANTE DESTACAR QUE CUNDINAMARCA CONTINUA PRESENTANDO MEJORES RESULTADOS EN EL INDICADOR DE DESERCIÓN QUE LA NACIÓN, BOGOTÁ D.C Y DE DEPARTAMENTOS CON LOS CUALES ES COMPARABLE COMO SANTANDER BOYACÁ, ANTIOQUÍA Y VALLE. </t>
  </si>
  <si>
    <t xml:space="preserve">EL ALCANCE DE ESTA META PARA LA VIGENCIA 2013, SE ESTABLECIÓ EN TÉRMINOS DE MEJORAR EL DESEMPEÑO EN 2 PUNTOS, AL MENOS UNA DE LAS ÁREAS EVALUADAS. 
UNA VEZ REVISADA LA INFORMACIÓN DE LOS RESULTADOS DE LAS PRUEBAS SABER GRADO 5° DE LOS ESTABLECIMIENTOS EDUCATIVOS OFICIALES DEL DEPARTAMENTO SE ENCONTRÓ QUE CUNDINAMARCA EN EL ÁREA DE LENGUAJE, AUMENTO EL PORCENTAJE DE LOS ESTUDIANTES EN EL NIVEL SATISFACTORIO EN 3 PUNTOS PORCENTUALES, PASANDO DEL 29%, EN EL AÑO 2009 AL 31%, EN LA VIGENCIA 2013. DE IGUAL MANERA, SE EVIDENCIÓ QUE EN EL NIVEL AVANZADO SE LOGRÓ AUMENTAR EN 5 PUNTOS PORCENTUALES, ES DECIR QUE EL DEPARTAMENTO LOGRÓ PASAR DEL 8% EN EL AÑO 2009 AL 13% EN LA VIGENCIA 20013.
ES IMPORTANTE DESTACAR QUE EL DEPARTAMENTO LOGRÓ TAMBIÉN MEJORAR LOS RESULTADOS EN EL ÁREA DE MATEMÁTICAS PARA LOS NIVELES SATISFACTORIO Y AVANZADO, CON RELACIÓN AL PRIMER NIVEL, CUNDINAMARCA LOGRÓ PASAR DEL 22% EN EL AÑO 2009 AL 24% EN LA VIGENCIA 20013, ES DECIR QUE AUMENTO EN DOS PORCENTUALES, SUS RESULTADOS. DE IGUAL MANERA SE EVIDENCIA QUE EN EL NIVEL AVANZADO PASÓ DEL 10% EN EL AÑO 2009 AL 14% EN EL AÑO 2013, ES DECIR QUE AUMENTO EN 4 PUNTOS PORCENTUALES.
</t>
  </si>
  <si>
    <t>No DE NIÑOS Y NIÑAS DE 6 A 11 AÑOS QUE PARTICIPAN ANUALMENTE EN ACTIVIDADES LÚDICAS, CULTURALES Y DEPORTIVAS</t>
  </si>
  <si>
    <t>La Proyección de población de niñ@as de 6 a 11 años para el 2013 era de 232.545 el 35 % de población a atender para cada año es 81.390</t>
  </si>
  <si>
    <t>EL L DESPLAZAMIENTO DE LOS NN A PARTICIPAR EN LOS CODEPS, ES DIFICIL POR LA AUTORIZACION DE LOS PADRES, INSTITUCIONES EDUCATIVAS, ADEMAS DEL COSTO DE TRANSPORTE, REFRIGERIO Y ALMUERZO.</t>
  </si>
  <si>
    <t>FOMENTAR HABILIDADES Y DESTREZAS CON ACTIVIDADES LÚDICAS, CULTURALES Y DEPORTIVAS ANUALMENTE EN EL 60% (82.355 ADOLESCENTES) DE LAS Y LOS ADOLESCENTES</t>
  </si>
  <si>
    <t xml:space="preserve">EL ALCANCE DE ESTA META PARA LA VIGENCIA 2013, SE ESTABLECIÓ EN TÉRMINOS DE MEJORAR EL DESEMPEÑO EN 2 PUNTOS, AL MENOS UNA DE LAS ÁREAS EVALUADAS. 
UNA VEZ REVISADA LA INFORMACIÓN DE LOS RESULTADOS DE LAS PRUEBAS SABER GRADO 9° DE LOS ESTABLECIMIENTOS EDUCATIVOS OFICIALES DEL DEPARTAMENTO SE ENCONTRÓ QUE CUNDINAMARCA EN EL ÁREA DE LENGUAJE, AUMENTO EL PORCENTAJE DE LOS ESTUDIANTES EN EL NIVEL SATISFACTORIO EN 3 PUNTOS PORCENTUALES, PASANDO DEL 33%, EN EL AÑO 2009 AL 36%, EN LA VIGENCIA 2013. DE IGUAL MANERA, SE EVIDENCIÓ QUE EN EL NIVEL AVANZADO SE LOGRÓ AUMENTAR EN 1 PUNTO PORCENTUAL, PASANDO DEL 1% EN EL AÑO 2009 AL 2% EN LA VIGENCIA 20013.
ES IMPORTANTE DESTACAR QUE EL DEPARTAMENTO LOGRÓ TAMBIÉN MEJORAR LOS RESULTADOS EN EL ÁREA DE MATEMÁTICAS PARA LOS NIVELES SATISFACTORIO Y AVANZADO, CON RELACIÓN AL PRIMER NIVEL, CUNDINAMARCA LOGRÓ PASAR DEL 18% EN EL AÑO 2009 AL 21% EN LA VIGENCIA 20013, ES DECIR QUE AUMENTO EN 3 PUNTOS PORCENTUALES, SUS RESULTADOS. DE IGUAL MANERA SE EVIDENCIA QUE EN EL NIVEL AVANZADO PASÓ DEL 1% EN EL AÑO 2009 AL 2% EN EL AÑO 2013.
</t>
  </si>
  <si>
    <t xml:space="preserve">EN LA VIGENCIA 2011, EL INDICADOR DE COBERTURA BRUTA EN EL NÍVEL MEDIA SE SITUÓ EN 76,95%, MIENTRAS QUE EN EL AÑO 2012, SE ENCONTRÓ QUE CUNDINAMARCA TUVO UNA LEVE DISMINUCIÓN EN EL INDICADOR DE COBERTURA BRUTA (-0,33 PUNTOS) SITUÁNDOSE EN EL 76,13% , ES IMPORTANTE DESTACAR QUE LA SECRETARÍA DE EDUCACIÓN NO PROGRAMÓ AVANCES EN TÉRMINOS DE AUMENTO DE LA COBERTURA BRUTA EN EL NIVEL MEDIA PARA LA VIGENCIA 2012.
PARA EL AÑO 2013, LA SECRETARÍA DE EDUCACIÓN PLANTEÓ AUMENTAR EL INDICADOR DE COBERTURA BRUTA EN 0,65 PUNTOS PORCENTUALES, SIN EMBARGO GRACIAS A LAS DIFERENTES ESTRATEGÍAS DE ACCESO Y PERMANENCIA, EL DEPARTAMENTO LOGRÓ AUMENTAR ESTE INDICADOR EN 1,37 PUNTOS PORCENTUALES CON RESPECTO A LA PROGRAMACIÓN, ES DECIR QUE SE UBICÓ EN EL 78,97% AL FINALIZAR EL AÑO 2013.
EL ALCANCE DE ESTA META PARA LA VIGENCIA 2014, SE ESTABLECIÓ EN TÉRMINOS DE LOGRAR UNA COBERTURA BRUTA EN EL NIVEL DE MEDIA DEL 78,25%, NO OBSTANTE, LA SECRETARÍA LOGRÓ AUMENTAR ESTE INDICADOR EN 1,74 PUNTOS PORCENTUALES ADICIONALES A LA META PROGRAMADA, ES DECIR QUE LA COBERTURA BRUTA PARA EL 2014 SE SITUÓ EN EL 79,99%.
 </t>
  </si>
  <si>
    <t>EL L DESPLAZAMIENTO DE LOS ADOLESCENTES A PARTICIPAR EN LOS CODEPS, ES DIFICIL POR LA AUTORIZACION DE LOS PADRES, INSTITUCIONES EDUCATIVAS, ADEMAS DEL COSTO DE TRANSPORTE, REFRIGERIO Y ALMUERZO</t>
  </si>
  <si>
    <t>Se reportan 12 provincias en las cuales se han vinculado jóvenes en diferentes acciones del programa Jóvenes Constructores de Paz con un total de 1430 jóvenes durante pa presente vigencia.</t>
  </si>
  <si>
    <t>EL REPORTE DE ESTE INDICADOR IMPLICA LA REALIZACIÓN DE UN NUEVO ESTUDIO DE FLORECIMIENTO JUVENIL QUE SE ESTÁ PROGRAMANDO PARA LA VIGENCIA 2015.</t>
  </si>
  <si>
    <t>BENEFICIAR ANUALMENTE AL 30% (138.456) DE LAS Y LOS ADULTOS CON ACTIVIDADES CULTURALES, LÚDICAS Y DEPORTIVAS</t>
  </si>
  <si>
    <t>La Proyección de población de adultos para el 2013 era de 461.525 el 30% de población a atender para cada año es 138.456</t>
  </si>
  <si>
    <t>AUSENCIA DE UN INSTRUMENTO QUE PERMITA LLEVAR EL CONTROL MES A MES.</t>
  </si>
  <si>
    <t>EN EL 2012 SE ATENDIERON 3.475 FAMILIAS, EN EL 2013 6.146 FAMILIAS Y EN EL 2014 15.000 FAMILIAS, DE ESTAS SE ATENDIERON FAMILIAS DE RED UNIDOS A TRAVÉS DE OTROS PROGRAMAS DE LA GOBERNACIÓN DE CUNDINAMARCA.</t>
  </si>
  <si>
    <t>EL INDICADOR DEMUESTRA LA GESTION DE LA DIRECCION EN CUANTO AL SEGUIMIENTO A LA CALIDAD Y LA OPORTUNIDAD EN LA GESTIÓN EN EL ASEGURAMIENTO Y PRESTACIÓN DE SERVICIOS DE SALUD DE LOS ENTES TERRITORIALES MUNICIPALES, LAS ENTIDADES RESPONSABLES DE PAGO Y LA RED CONTRATADA POR EL DEPARTAMENTO</t>
  </si>
  <si>
    <t>LA MEDICIÓN DEL INDICADOR SE LOGRARÁ MEDIANTE LA EJECUCIÓN DE LOS PROYECTOS DIRIGIDOS A LAS MUJERES Y SUS ORGANIZACIONES.</t>
  </si>
  <si>
    <t xml:space="preserve">TOMANDO COMO BASE POBLACIONAL DE MUJER A NIVEL DEPARTAMENTAL 909.717, EN EL CONSOLIDADO REALIZADO PARA LOS AÑOS 2012- 2014 EN CUANTO A MUJERES ATENDIDAS Y/O BENEFICIADAS MEDIANTE LOS DIFERENTES PROGRAMAS ACTIVIDADES, ACCIONES BRINDADAS POR LA SECRETARIA DE DESARROLLO SOCIAL – SUBDIRECCIÓN DE MUJER Y GENERO EN LA SUMATORIA REALIZADA YA SE HAN ATENDIDO EL 19,61% DE LAS MUJERES CUNDINAMARQUESAS. 
EN EL AÑO 2012 - 43022 MUJERES ATENDIDAS, REPRESENTANDO EL (4.74%), PARA EL 2013 - 55.434 MUJERES ATENDIDAS, REPRESENTANDO EL (6.10%) Y EN EL AÑO 2014 MEDIANTE APOYO EN EMPRENDIMIENTOS, HABILIDADES Y CAPACIDADES, CREACIÓN DE CONSEJOS CONSULTIVOS Y SENSIBILIZACIÓN A UNA VIDA LIBRE DE VIOLENCIA SE ATENDIERON 79.831 MUJERES, REPRESENTANDO EL (8.77%).
</t>
  </si>
  <si>
    <t>Los municipios no cuentan con recursos para la elaboración de estudios y diseños, lo cual no permite la presentación de proyectos en el Banco de Proyectos Departamental. De otra parte, la mayoría de los municipios no cuentan con la titularidad de los bienes para realizar inversión.</t>
  </si>
  <si>
    <t xml:space="preserve">CONTRIBUIMOS CON LA SOSTENIBILIDAD Y ABASTECIMIENTO DEL RECURSO HÍDRICO A LOS CUNDINAMARQUESES, LOGRANDO GARANTIZAR LA PRESERVACIÓN DE LA OFERTA AMBIENTAL DE 32749 HECTÁREAS DE PREDIOS DE INTERES HÍDRICO DE CUYAS FUENTES SE ABASTECEN LOS ACUEDUCTOS REGIONALES, MUNICIPALES Y VEREDALES.
EN EL CUATRIENIO SE HAN ADQUIRIDO 6,552 EN LOS MUNICIPIOS DE, ARBELÁEZ, SAN BERNARDO, MEDINA, VILLAPINZÓN, UNE, CHOACHÍ, GACHALÁ, PACHO, PASCA, VENECIA, GUATAVITA, CABRERA, SILVANIA, CAPARRAPÍ, UBALÁ, GRANADA, MANTA, SUPATÁ, TIBACUY, YACOPÍ, CHAGUANÍ, JUNÍN, CHIPAQUE, SASAIMA , BOJACÁ, YACOPÍ, TIBACUY, ALBÁN, VILLAGÓMEZ, CAPARRAPÍ Y GUACHETÁ, SE HAN ATENDIDO LOS REQUERIMIENTOS PUNTUALES DE RESTAURACIÓN ECOLÓGICA PARA 138 HECTÁREAS MEDIANTE PROCESOS DE SIEMBRA DE MATERIAL VEGETAL NATIVO EN LOS MUNICIPIOS DE SUBACHOQUE, ZIPACON, Y EN LOS 8 MUNICIPIOS DE LA PROVINCIA DE RIONEGRO
</t>
  </si>
  <si>
    <t>SE HA POSICIONADO EL CONCEPTO LA ESTRATEGIA CUNDINAMARCA NEUTRA, INTERNALIZANDO LAS ACCIONES DE CÁLCULO, REDUCCIÓN Y COMPENSACIÓN DE LA HUELLA DE CARBONO PARA MITIGAR EFECTOS DEL CAMBIO CLIMÁTICO. ESTA ESTRATEGIA SE HA APROPIADO PARA LA ADMINISTRACIÓN DEPARTAMENTAL EN 22 SECRETARÍAS DE NIVEL CENTRAL, 12 ENTES DESCENTRALIZADOS Y 114 MUNICIPIOS DEL DEPARTAMENTO, ASÍ COMO EN ENTES NACIONALES GUBERNAMENTALES COMO EL DEPARTAMENTO PARA LA PROSPERIDAD SOCIAL Y ENTES PRIVADOS COMO LA CÁMARA COLOMBIANA DE LA CONSTRUCCIÓN Y EL CONCESIONARIO VIAL DE LOS ANDES - COVIANDES, PARTICIPANDO IGUALMENTE AUTORIDADES AMBIENTALES COMO LA CAR Y CORPOGUAVIO.
PARA EL POSICIONAMIENTO DE LA ESTRATEGIA, SE DESARROLLARON SESENTA (60) ACTIVIDADES COMUNITARIAS DE EDUCACIÓN Y DIVULGACIÓN, PARA PROMOVER Y APROPIAR LA ESTRATEGIA CUNDINAMARCA NEUTRA Y MITIGAR EFECTOS DEL CAMBIO CLIMÁTICO, A TRAVÉS DE MECANISMOS TAN DIVERSOS COMO LA PARTICIPACIÓN EN LA FERIA INTERNACIONAL DEL MEDIO AMBIENTE FIMA 2014, LA PROMOCIÓN DE LA CONSTRUCCIÓN DE CULTURA AMBIENTAL EN 83 MUNICIPIOS MEDIANTE LA CELEBRACIÓN DEL DÍA DEL DESAFÍO AMBIENTAL CON LA RECOLECCIÓN DE 365 TONELADAS DE RESIDUOS SÓLIDOS Y PARTICIPACIÓN ACTIVA DE 10.000 PERSONAS Y LA RECOLECCIÓN DE 401.52 TONELADAS DE ENVASES DE AGROQUÍMICOS Y PRODUCTOS VETERINARIOS EN 36 MUNICIPIOS DEL DEPARTAMENTO, 2.46 TON DE MEDICAMENTOS VENCIDOS EN 10 MUNICIPIOS DEL DEPARTAMENTO, LA RECOLECCIÓN POS CONSUMO CON LA ANDI DE 207 UNIDADES DE COMPUTADORES Y PERIFÉRICOS DADOS DE BAJA POR OBSOLESCENCIA TECNOLÓGICA Y LA DISMINUCIÓN DEL IMPACTO AMBIENTAL A TRAVÉS DE LA RECOLECCIÓN CON LA ANDI DE 5.092 LLANTAS USADAS RIN 13” A RIN 22.5” DE LAS PROVINCIAS DE SUMAPAZ, GUAVIO, ALMEIDAS, RIONEGRO, SABANA CENTRO Y 270 LLANTAS DE LA SEDE ADMINISTRATIVA DE LA GOBERNACIÓN DE CUNDINAMARCA, PREVINIENDO LA EMISIÓN A LA ATMÓSFERA DE DIOXINAS Y FURANOS, AGENTES CANCERÍGENOS
EL IMPACTO DE LA ESTRATEGIA SE EVIDENCIA EN LA ADECUACIÓN DE LOS PROCESOS ADMINISTRATIVOS DE LOS ALIADOS ESTRATÉGICOS PARA LA MEDICIÓN, REDUCCIÓN Y COMPENSACIÓN DE LA HUELLA DE CARBONO, CONDICIÓN QUE SE VE EXPRESADA EN LOS CAMBIOS DE HÁBITOS DE CONSUMO ESPECIALMENTE EN LO QUE TIENE QUE VER CON CONSUMO DE AGUA, COMBUSTIBLE, ENERGÍA ELÉCTRICA, PAPEL Y TRANSPORTE AÉREO, AUNADOS A LOS EJERCICIOS DE INCREMENTO DE LA COBERTURA VEGETAL EN EL DEPARTAMENTO QUE HAN SIDO LLEVADOS A CABO CON LA SIEMBRA DE APROXIMADAMENTE 770 MIL ÁRBOLES COMO PARTE DE LOS PROCESOS DE COMPENSACIÓN DE LA HUELLA DE CARBONO Y DE LAS PLANTACIONES A CARGO DE LA UNIDAD ADMINISTRATIVA DE BOSQUES.</t>
  </si>
  <si>
    <t>A la fecha se han conectado 132.950 nuevos habitantes con servicio de acueducto en zonas urbanas, rurales y centros poblados de los municipios de Bojaca, Zipaquira, Tocaima, Facatativa, Madrid, Puerto Salgar, Fomeque, Fosca, Anapoima, La Mesa, Villapinzon, Pacho, Subachoque, San Francisco, Mosquera y Soacha. Así mismo, se han ejecutado 48 proyectos de acueducto en 34 municipios por valor de $64.942 millones, con lo cual se ha contribuido a mejorar los índices de cobertura, calidad y continuidad en la prestación del servicio de acueducto en el departamento, mejorando la calidad de vida de los cundinamarqueses.</t>
  </si>
  <si>
    <t>A la fecha se han conectado 48.167 nuevos habitantes con servicio de alcantarillado en zonas urbanas, rurales y centros poblados de los municipios de Bojaca, Fosca, Zipaquira, Tocaima y San Francisco. Así mismo, se han ejecutado 23 proyectos de alcantarillado en 17 municipios por valor de $59.896 millones, con lo cual se ha contribuido a mejorar los índices de cobertura, calidad y continuidad en la prestación del servicio de alcantarillado en el departamento, mejorando la calidad de vida de los cundinamarqueses.</t>
  </si>
  <si>
    <t xml:space="preserve">NO ES VIABLE HACER COMPARATIVOS YA QUE EN CUNDINAMARCA SE TRABAJAN LAS CADENAS DE CACAO,CAÑA,CAFÉ, PAPA,FRUTALES,HORTALIZAS, CAUCHO , LAS CUALES SON DIFERENTES A LAS PRIORIZADAS POR LOS OTROS DEPARTAMENTOS , TOCARIA REALIZARLO INDIVIDUALMENTE Y NO GENERAL </t>
  </si>
  <si>
    <t xml:space="preserve">NO SE PUEDE DAR LA INFORMACION POR QUE A LA FECHA SE ESTA CONSOLIDANDO Y VALIDANDO LA INFORMACIÓN REPORTADA POR LOS MUNICIPIOS DEL SECTOR AGROPECUARIO EN EL AÑO 2014 DICHA INFORMACION ESTARA PARA EL MES DE JULIO DE 2015 </t>
  </si>
  <si>
    <t xml:space="preserve">EL INDICADOR DE LA META NO HACE UNA LECTURA REAL DE LOS AVANCES EN EL CUMPLIMIENTO DE LAS METAS DE PRODUCTO RELACIONADAS, TODA VEZ QUE DESCONOCE LAS REALIDADES DE AUMENTO POBLACIONAL EN LOS GRANDES CENTROS URBANOS ALEDAÑOS A LA CAPITAL, CONDICION QUE NECESARIAMENTE SE VE REFLEJADA EN EL AUMENTO DE LA PRODUCCION DE RESIDUOS SOLIDOS. </t>
  </si>
  <si>
    <t>En el marco del Plan Regional de Cambio Climático (PRICC) se han desarrollado de manera conjunta entre las instituciones socias, estudios técnicos que permiten conocer las características del clima presente y futuro de la región (perfil climático), evaluar la vulnerabilidad territorial e institucional a la variabilidad y al cambio climático y conocer el inventario de emisiones de gases de efecto invernadero. Al mismo se cuenta con un desarrollando una estrategia regional conformada por portafolios de medidas y perfiles de proyectos priorizados para medidas de mitigación y adaptación a la variabilidad y al cambio climático en la Región Bogotá Cundinamarca</t>
  </si>
  <si>
    <t>Plantaciones sin inscripción al ICA</t>
  </si>
  <si>
    <t>Durante el presente periodo de Gobierno, se han estructurado los siguientes proyectos, los cuales se consideran de vital importancia para el desarrollo vial de Cundinamarca: 1. Troncal del Rionegro:Este proyecto busca integrar la Región del Rionegro con el Bajo Magadalena a través de la Ruta del Sol. Con una Longitud de 115Kms y a un costo aproximado de $200.000 millones. Estructurado bajo propuesta en una A.P.P.; 2:Troncal del Magdalena: Los cuales están integrados por el corredor Girardot - Cambao, Cambao - puerto Salgar, Pto Salgar - Pto Bogotá, para un recorrido aproximado de 170 km. proyecto estructurado por la ANI. 3 Ruta del Sol: A nivel de Cundinamarca, el proyecto está desarrollado para que pase por los municipios de Villeta,Guaduas, Caparrapí y Puerto Salgar. Sin Embargo la estructuración de éste proyecto ha resultado especialmente dificil por la estabilidad del terreno de losprimeros 21km de dicho trayecto, ubicado entre Villeta y Gauaduas, en una longitud total de 21 Km. en resumen se puede decir que este TRIANGULO VIRTUOSO se encuentra bastante avanzado, gracias a la gestión del actual Gobernador, los corredores Girardot - cambao Pto Bogotá ya está estructurado y listo, lo mismo para el proyecto Bogotá - Silvania Girardot y por último el corredor vial Bogotá - Villeta Guaduas - Honda - Pto salgar, completando así el triangulo Virtuoso de la productividad. vale la pena resaltar que son obras a cargo de la nación (INVIAS) - (ANI)</t>
  </si>
  <si>
    <t xml:space="preserve">AL INICIO DE ESTE GOBIERNO, EL INDICADOR PROMEDIO DE ESTUDIANTES POR COMPUTADOR SE SITUÓ EN 21, GRACIAS A LAS DIFERENTES ACCIONES IMPLEMENTADAS PARA DISMINUIR ESTE INDICADOR, SE LOGRÓ REDUCIR EN EL PRIMER AÑO DE GOBIERNO EN 4 ALUMNOS POR COMPUTADOR, ES DECIR QUE PARA EL AÑO 2012 SE SITUÓ EN 17.
PARA LA VIGENCIA 2013, ESTE INDICADOR DISMINUYÓ DE 17 ALUMNOS POR COMPUTADOR A 12, EN CONSECUENCIA SE LOGRÓ DISMINUIR EN 5 ESTUDIANTES POR EQUIPO DE CÓMPUTO CON RESPECTO AL AÑO 2012.
CON RELACIÓN A LA VIGENCIA 2014, SE ENCONTRÓ QUE EL ÍNDICE DE ESTUDIANTES POR COMPUTADOR SE UBICÓ EN 6 ALUMNOS POR EQUIPO DE CÓMPUTO, ES DECIR QUE EL INDICADOR LOGRÓ DISMINUIR EN 6 ESTUDIANTES POR EQUIPO DE CÓMPUTO CON RESPECTO A LA VIGENCIA 2013 EN LA CUAL SE SITUÓ EN 12.
ES IMPORTANTE DESTACAR QUE LA SECRETARÍA DE EDUCACIÓN SE PROPUSO COMO META PARA EL CUATRIENIO, DISMINUIR 11 ALUMNOS POR COMPUTADOR, ES DECIR PASAR DE 21 A 10, ESTA RELACIÓN, NO OBSTANTE, CON LOS AVANCES QUE SE HAN TENIDO EN TÉRMINOS DE DOTACIÓN DE EQUIPOS DE CÓMPUTO SE LOGRÓ ESTABLECER QUE A LA FECHA, LA META DEL CUATRIENIO SE HA SUPERADO.
</t>
  </si>
  <si>
    <t>MINTIC informe trimestral de las TIC en Colombia, tercer trimestre 2014, publicado en septiembre de 2014</t>
  </si>
  <si>
    <t>LA CIFRA PRESENTADA TIENE UN ATRAZO DE 6 MESES. LA MEDICIÓN INCLUYE SOLAMENTE LOS PROVEEDORES DE INTERNET, SIN INCLUÍR LA RED SOCIAL DE DATOS DE LA GOBERNACIÓN, QUE TAMBIÉN PROVEE SERVICIO DE INTERNET.</t>
  </si>
  <si>
    <t>el Departamento de Cundinamarca se encuentra en el puesto 11, entre los departamentos del país en el ranking de penetración de internet, en el siguiente cuadro se puede observar el listado de todos los departamentos. Desde el 2011, se ha avanzado en 4.18 puntos porcentuales, siendo el décimo departamento con más progreso en el presente periodo de gobierno, después de Quindío, Casanare, Valle, Santander, Bogotá, Risaralda, Atlántico, Tolima y Norte de Santander y avanzando del puesto 12 al 11 en el ranking.</t>
  </si>
  <si>
    <t>LA SECRETARIA VIENE ADELANTANDO PROYECTOS DE AMPLIACION DE AREAS , PERO COMO SON CULTIVOS DE TARDIO CRECIMIENTO APROXIMADAMENTE EN EL MES DE AGOSTO SE TENDRAN BASE DE DATOS PARA ALIMENTAR ESTA META</t>
  </si>
  <si>
    <t xml:space="preserve">AL OBSERVAR LA PREVALENCIA DE DESNUTRICIÓN AGUDA EN MENORES DE 5 AÑOS, PODEMOS VER QUE DURANTE LOS ÚLTIMOS 3 AÑOS NO SE OBSERVAN VARIACIONES SIGNIFICATIVAS, UNICAMENE EN EL 2013 UN DESENSO LEVE A 5,07% Y REGRESANDO A 5,25% EN EL PARCIAL DEL AÑO 2014, SIN CAMBIOS APARENTES SOBREPASANDO LA LÍNEA BASE DE 5% (AÑO 2011). DE OTRA PARTE, NO ES POSIBLE REALIZAR UN ANALISIS COMPARATIVO CON LOS DEMAS DEPARTAMENTOS DADO QUE LA FUENTE OFICIAL ES EL ENSIN ENCUESTA NACIONAL DE LA SITUACION NUTRICIONAL REALIZADA EN EL 2010. 
SIN EMBARGO, EL DEPARAMENTO CONTINUA TRABAJANDO EN LA IIMPLEMENTACIÓN DEL PLAN DE CHOQUE PARA LA DISMINUCIÓN DE LA DESNUTRICIÓN Y MORTALIDAD POR DESNUTRICIÓN EN NIÑOS Y NIÑAS MENORES DE 5 AÑOS, A TRAVÉS DE DIFERENTES ACTIVIDADES LA DETECCIÓN TEMPRANA DEL RIESGO NUTRICIONAL POR MEDIO DEL BRAZALETE DE PERÍMETRO BRAQUIAL A PARTIR DE LOS 3 MESES DE EDAD, CAPACITANDO A LA FECHA 499 PROFESIONALES GECAVIS, PROFESIONALES DE SALUD A SU CASA (SOACHA), AIEPI, COORDINADORAS PIC DE LAS 15 PROVINCIAS.
LOS DATOS CORRESPONDEN A LA NOTIFICACIÓN REALIZADA POR LOS 116 MUNICIPIOS DEL DEPARTAMENTO, APORTANTO 162.081 REGISTROS QUE AL SER DEPURADOS ARROJAN UNA BASE DE 59.032 DATOS.
</t>
  </si>
  <si>
    <t>FOMENTAR HABILIDADES Y DESTREZAS CON ACTIVIDADES LÚDICAS Y CULTURALES EN EL 15% (17.472 NIÑ@S) DE LOS NIÑOS Y NIÑAS DE PRIMERA INFANCIA CADA AÑO</t>
  </si>
  <si>
    <t xml:space="preserve">A PARTIR DEL AÑO 2012, LA SEC ESTABLECIÓ LA LINEA DE BASE CON SUSTENTO EN LA CUAL SE COMPARARÍA EL INCREMENTO EN EL INDICADOR EN LOS AÑOS POSTERIORES. SEGÚN LOS RESULTADOS CONSOLIDADOS POR EL ICFES CON CORTE A 2013, EN EL ÁREA DE LENGUAJE SE HA LOGRADO UN AVANCE DE 3 PUNTOS Y POR TANTO SE CUMPLE LA META DE LOGRAR EL INCREMENTO PROGRAMADO. 
DE ACUERDO CON LA INFORMACIÓN SUMINISTRADA POR EL ICFES PARA EL AÑO 2014, LA METODOLOGÍA DE EVALUACIÓN Y LAS ÁREAS EVALUADAS SE MODIFICARON, EN CONSECUENCIA NO ES POSIBLE REALIZAR COMPARACIONES DEL AÑO 2014 CON LOS AÑOS ANTERIORES, RAZÓN POR LA CUAL NO SE LOGRÓ ESTABLECER UNA COMPARACIÓN PARA EVALUAR EL CUMPLIMIENTO DE LA META PROGRAMADA. 
</t>
  </si>
  <si>
    <t xml:space="preserve">NO SE PUEDE DAR INFORMACIÓN DEL 2014 DADO QUE LA CONTRATACION SE REALIZO EN EL ULTIMO TRIMESTRE DEL 2014 Y LA EJECUCION EN EL PRIMER SEMESTRE DEL 2015 LOS DATOS SE TENDRAN A 31 DE DICIEMBRE DE 2015 </t>
  </si>
  <si>
    <t xml:space="preserve">EL COMPORTAMIENTO DE LA EXPORTACIONES EN LO CORRIDO DEL AÑO DE ENERO A NOVIEMBRE DE 2014 SE HA VISTO AFECTADO POR LA DISMINUCIÓN DE LAS VENTAS EXTERNAS EN CIERTOS SECTORES DE LA ECONOMÍA COMO LO ES EL SECTOR QUÍMICO, TEXTILES Y CONFECCIONES , VEHÍCULOS, METALMECÁNICA Y PECUARIO, TENIENDO EN CUENTA QUE LOS PAÍSES QUE REPRESENTAN UNA MAYOR ACTIVIDAD COMERCIAL SON ESTADOS UNIDOS, UNIÓN EUROPEA, CHINA, PANAMÁ, INDIA, VENEZUELA Y ECUADOR ESTO FRENTE AL MISMO PERIODO DE TIEMPO DEL 2013 REPRESENTA UNA DISMINUCIÓN EN LAS EXPORTACIONES TOTALES EN UN 4,7%, DEBIDO A LA CRISIS ECONÓMICA QUE SE HA VENIDO DESARROLLANDO A NIVEL MUNDIAL, LA APRECIACIÓN DEL PESO DE LOS ÚLTIMOS AÑOS, LA DISMINUCIÓN CONTINUA DEL PRECIO PETRÓLEO Y LA FALTA DE INNOVACIÓN EN LA TRANSFORMACIÓN DE COMMODITIES YA QUE ES UNO DE LOS FUERTES DE CUNDINAMARCA. SIN EMBARGO, VALE LA PENA RESALTAR EL CRECIMIENTO DE LAS EXPORTACIONES DE LOS SECTORES AGROINDUSTRIA, YA QUE CUNDINAMARCA CONTRIBUYE CON UN 10,9% AL TOTAL DE LAS EXPORTACIONES DE COLOMBIA. </t>
  </si>
  <si>
    <t xml:space="preserve">SE ESTA ADELANTANDO UN PROYECTO DE TOMA Y ANALISIS DE SUELOS COMO HERRAMIENTA PARA EL USO ADECUADO DEL SUELO EN CUNDINAMARCA, IGUALMENTE SE IMPLEMENTARON EL USO DE BIODIGESTORES EN EL SISTEMA PORCINO EL CUAL ESTAMOS A LA ESPERA DE DATOS DE REPORTE DE DISMINUCION DE CONTAMINACION DE SUELO, IGUALMENTE EL MANEJO DE TECNOLOGIAS LIMPIAS EN EL SISTEMA DE CAÑA PANELERA DATOS QUE ASPIRAMOS REPORTAR EN EL MES DE AGOSTO </t>
  </si>
  <si>
    <t xml:space="preserve">A PESAR DE QUE ESTE ES UNA EXIGENCIA QUE REQUIERE EL COMPROMISO PERMANENTE DE LOS ENTES TERRITORIALES MUNICIPALES, A QUIENES POR NORMA SE LES HA DELEGADO LA COMPETENCIA DE LA IMPLEMENTACIÓN DE LA GESTIÓN INTEGRAL DE RESIDUOS SÓLIDOS, EL DEPARTAMENTO HA PROMOVIDO A TRAVÉS DE LAS METAS DEL PDD, LA IMPLEMENTACIÓN DE ACCIONES PUNTUALES QUE EVIDENCIAN QUE SE HAN ADELANTADO, DE MANERA EXITOSA, ACCIONES EN 7 PROVINCIAS CUMPLIENDO EN UN 175% LA META ORIGINAL DE CUATRO PROVINCIAS ATENDIDAS
SE DESTACAN LAS SIGUIENTES ACCIONES: 
1) APOYO DIPUTACIÓN DE BARCELONA: GESTIÓN DE RECURSOS INTERNACIONALES CON UN PREMIO POR 49.800 EUROS, OBTENIDOS MEDIANTE CONCURSO CON LA DIPUTACIÓN DE BARCELONA, LOGRANDO PROYECTAR COMO PROGRAMA PILOTO, EL MANEJO DE RESIDUOS ORGÁNICOS DE PLAZAS DE MERCADO PARA LOS MUNICIPIOS DE VILLETA Y FUSAGASUGÁ, PERTENECIENTES A LAS PROVINCIAS DE GUALIVÁ Y SUMAPAZ.
2) CONVENIO DE COOPERACIÓN FUNIBER PARA EL DESARROLLO DE UN DIPLOMADO PARA 16 MUNICIPIOS EN FORTALECIMIENTO DE RESIDUOS SOLIDOS 
3) APOYO GOBIERNO DE HOLANDA: PARA EL DESARROLLO DE UNA CONSULTORÍA PARA LA DETERMINACIÓN DE ACCIONES PARA LA PROVINCIA DE ORIENTE Y SABANA CENTRO
4) CONSTRUCCIÓN DE LA ORDENANZA 232 DE 2014 “POR LA CUAL SE ADOPTAN LOS LINEAMIENTOS DE POLÍTICA DE MANEJO INTEGRAL DE RESIDUOS SÓLIDOS EN EL DEPARTAMENTO…” 
5) CONSTRUCCIÓN DEL DECRETO 255 DE 2014 “POR EL CUAL SE INSTITUCIONALIZA LA MESA DEPARTAMENTAL DE RESIDUOS SÓLIDOS…”
6) TRABAJO COORDINADO EPC- SAC PARA EL DESARROLLO DE ACTIVIDADES PARA PROMOVER LA GESTIÓN INTEGRAL DE RESIDUOS SÓLIDOS. 
7) APOYO FINANCIERO PARA LA CONSTRUCCIÓN SEGUNDA ETAPA PLANTA DE APROVECHAMIENTO MUNICIPIO DE PACHO. 
8) APOYO FINANCIERO PARA LA CONSTRUCCIÓN SEGUNDA ETAPA PLANTA DE APROVECHAMIENTO MUNICIPIO DE UBATE.
9) APOYO A FORMULACIÓN DE 14 PLANES DE GESTIÓN INTEGRAL DE RESIDUOS SÓLIDOS PGIRS: DE MUNICIPIOS DE LAS PROVINCIAS DE ORIENTE, UBATÉ, MAGDALENA CENTRO, SUMAPAZ Y RIONEGRO.
10) ESTRATEGIAS PARA INCORPORACIÓN DE LAS ESTRATEGIAS DE POS CONSUMO CON LA ANDI Y CAMPO LIMPIO, PARA EL MANEJO Y DISPOSICIÓN ADECUADA DE RESIDUOS POS CONSUMO. REPRESENTADAS EN: 
O RECOLECCIÓN POS CONSUMO (COMPUTADORES, LUMINARIAS, LLANTAS, PILAS, ACUMULADORES Y BOMBILLAS). A OCTUBRE 31 DE 2013 LA CORPORACIÓN CAMPO LIMPIO RECOLECTÓ 208,52 TONELADAS DE ENVASES Y EMPAQUES DE AGROQUÍMICOS EN 36 MUNICIPIOS DEL DEPARTAMENTO. CON LA ANDI EN EL 2013 SE RECOGIERON 1234 LLANTAS Y 207 UNIDADES DE PERIFÉRICOS Y COMPUTADORES.
O SISTEMA DE RECOLECCIÓN SELECTIVA DE MEDICAMENTES Y FÁRMACOS VENCIDOS. DURANTE EL 2013, SE REALIZÓ LA RECOLECCIÓN POS CONSUMO DE MEDICAMENTOS VENCIDOS EN 10 MUNICIPIOS DEL DEPARTAMENTO, CORRESPONDISTE A 2.46 TONELADAS.
11) APOYO A LA ELABORACIÓN DE LOS ESTUDIOS Y DISEÑOS SISTEMA DE RESIDUOS SÓLIDOS MUNICIPIO DE SAN JUAN. 
12) PROCESO DE SENSIBILIZACIÓN EN LA CULTURA DE LA SEPARACIÓN EN LA FUENTE Y LA MINIMIZACIÓN DE RESIDUOS EN LOS MUNICIPIOS DEL DEPARTAMENTO. 
13) FORTALECIMIENTO DE LOS PROCESOS DE SEPARACIÓN EN LA FUENTE Y APROVECHAMIENTO, MEDIANTE UNA ALIANZA SUSCRITA ENTRE LA SECRETARIA DEL AMBIENTE, FUNDASES Y LOS MUNICIPIOS DE LA PROVINCIA DE ORIENTE. 
</t>
  </si>
  <si>
    <t xml:space="preserve"> EL DEPARTAMENTO HA PROMOVIDO, LA SIEMBRA DE 1.254.360 ÁRBOLES, A TRAVÉS DE LA GESTIÓN DE SUS DEPENDENCIAS Y LA PARTICIPACIÓN DE SOCIOS ESTRATÉGICOS PARA GARANTIZAR A LA FECHA EL CUMPLIMIENTO DE LA META, ASÍ:
A. ESFUERZOS PROPIOS DE LA ESTRATEGIA CUNDINAMARCA NEUTRA: 
• SIEMBRA DE 175.226 ÁRBOLES DE ESPECIES NATIVAS EN ECOSISTEMAS SENSIBLES DE LOS CUALES EL 80% HA SIDO SEMBRADO POR LOS MUNICIPIOS COMO PARTE DE LAS ESTRATEGIAS DE COMPENSACIÓN.
• DOS ACUERDOS DE VOLUNTADES CON EL SECTOR PRIVADO, CONTREEBUTE Y COVIANDES QUE REPRESENTAN LA PLANTACIÓN DE 56.500 ÁRBOLES EN ECOSISTEMAS ESTRATÉGICOS SIN COSTO PARA EL DEPARTAMENTO. 
• CINCO AUTORIZACIONES PARA LA SIEMBRA DE MATERIAL VEGETAL A INSTITUCIONES PÚBLICAS QUE REPRESENTAN LA PLANTACIÓN DE 150 MIL ÁRBOLES EN PREDIOS DE INTERÉS HÍDRICO. 
B. ESTRATEGIAS PROPIAS DE LA UNIDAD DE BOSQUES:
• LOS CONVENIOS SUSCRITOS POR LA UNIDAD DE BOSQUES REPRESENTAN LA PLANTACIÓN DE 872.755 ÁRBOLES EN DIFERENTES ESCENARIOS DEL DEPARTAMENTO
</t>
  </si>
  <si>
    <t>LA INFORMACION REPORTADA DE LOS DEPARTAMENTOS SON DE VIGENCIA 2010 , NO SE ENCUENTRA INFORMACION MAS ACTUALIZADA , EL REPORTE QUE SE REALIZA ES DE AÑO AGRICOLA.. DATOS OBTENIDOS VIGENCIA 2010 : NACION : 45249854; ANTIOQUIA 3342809, ATLANTICO 162750, SANTANDER 1666526, BOYACA 1777914 , VALLE DEL CAUCA 18220254. FUENTE AGRONET</t>
  </si>
  <si>
    <t>A LA FECHA SE HAN POSCIONADO 2 DESTINOS TURISTICOS COMO LO SON: - LA RUTA DE LA SAL (NEMOCÓN-ZIPAQUIRÁ), ESTA SE HA LOGRADO POSICONAR A NIVEL DEPARTAMENTAL, NACIONAL E INTERNACIONAL ATRAVES DE LA REALIZACIÓN DE EVENTOS COMO ELECCIÒN Y CORONACIÓN DE LA SEÑORITA CUNDINAMARCA, RECORRIDO TURÍSTICO CON NIÑOS , NIÑAS Y ADOLECENTES VICTIMAS DEL CONFLICTO ARMADO , EVENTO DE SKAL Y FESTIVAL DEL MACRAME ENTRE OTROS, LO CUAL HA INCENTIVADO LAS VISITAS TANTO DE NACIONALES COMO EXTRANJEROS. Y SE HA LOGRADO MEJORAR LA OFERTA TURÍSTICA. - RUTA DE AVENTURA (NIMAIIMA-TOBIA), A TRAVÉS DE ARTICULOS DE PRENSA PUBLICADOS (REVISTA VOLAR), VIAJES DE FAMILIARIZACIÓN, II ENCUNTRO DE AUTORIDADES, CAPACITACIONES, LA IMPLEMENTACIÓN DE UN PIT Y LA PROMOCION EN GENERAL A TRAVES DE FOTOGRAGÍAS DE ESTE DESTINO, HA INCENTIVADO LA VISITA DE TURSITAS DEL DEPARTAMENTO, DEL PAÍS Y DE TURISMO EXTRANJERO, LO CUAL CONLLEVA AL POSICIONAMIENTO DE ESTA RUTA COMO DESTINO TURÍSTICO DE CUNDINAMARCA.</t>
  </si>
  <si>
    <t xml:space="preserve">* NDICADOR 2013: PARA DETERMINAR EL PORCENTAJE PARA ESTE PERIODO SE TUVO EN CUENTA UNA POBLACIÓN TOTAL DE CUNDINAMARCA DE 2.557.623 HABITANTES. EL ÁREA DE CULTURA REPORTA UN AVANCE DE UN 7% CORRESPONDIENTE A 174.264 HABITANTES. * INDICADOR 2014: LA POBLACIÓN TOTAL DE CUNDINAMARCA PARA ESTA MEDICIÓN ES DE 2.598.245 HABITANTES. LA POBLACIÓN REQUERIDA PARA CUMPLIR DICHA META ES DE 259.825 (10%). A LA FECHA EL ÁREA DE CULTURA REPORTA UN AVANCE DE UN 17% CORRESPONDIENTE A 431.213 HABITANTES. </t>
  </si>
  <si>
    <t>Unidad Medida</t>
  </si>
  <si>
    <t>CERES</t>
  </si>
  <si>
    <t>IPS</t>
  </si>
  <si>
    <t>POT</t>
  </si>
  <si>
    <t>EPSAS</t>
  </si>
  <si>
    <t xml:space="preserve"> </t>
  </si>
  <si>
    <t>O</t>
  </si>
  <si>
    <t>I</t>
  </si>
  <si>
    <t>METROS CUADRADOS</t>
  </si>
  <si>
    <t>PROYECTOS</t>
  </si>
  <si>
    <t>10. EQUIPAMIENTO SOCIAL PARA EL DESARROLLO INTEGRAL</t>
  </si>
  <si>
    <t>ESTUDIOS</t>
  </si>
  <si>
    <t>ENCUESTAS</t>
  </si>
  <si>
    <t>EVALUACIONES</t>
  </si>
  <si>
    <t>PUBLICACIONES</t>
  </si>
  <si>
    <t>RENDICIONES DE CUENTAS DE INFANCIA Y ADOLESCENCIA</t>
  </si>
  <si>
    <t>RENDICIONES DE CUENTAS EXTERNAS</t>
  </si>
  <si>
    <t>RENDICIONES DE CUENTAS INTERNAS</t>
  </si>
  <si>
    <t>PLANES</t>
  </si>
  <si>
    <t>ESTANDARES</t>
  </si>
  <si>
    <t>SISTEMAS</t>
  </si>
  <si>
    <t>BODEGA DE DATOS</t>
  </si>
  <si>
    <t>M</t>
  </si>
  <si>
    <t>NO SISTEMA DE INFORMACIÓN GEOGRÁFICA REGIONAL (SIG R) IMPLEMENTADO COMO PLATAFORMA TECNOLÓGICA CORPORATIVA</t>
  </si>
  <si>
    <t>POLITICA</t>
  </si>
  <si>
    <t>MINTIC</t>
  </si>
  <si>
    <t>LLAMADAS</t>
  </si>
  <si>
    <t>ETB</t>
  </si>
  <si>
    <t>CENTROS</t>
  </si>
  <si>
    <t>PORCENTAJE DE HOSPITALES</t>
  </si>
  <si>
    <t>INSTITUCIONES</t>
  </si>
  <si>
    <t>PORTAL</t>
  </si>
  <si>
    <t>TRAMITES EN LINEA</t>
  </si>
  <si>
    <t>PLAN</t>
  </si>
  <si>
    <t>MinTIC-Computadores para educar</t>
  </si>
  <si>
    <t>-</t>
  </si>
  <si>
    <t>COMPUTADORES</t>
  </si>
  <si>
    <t>EVENTOS</t>
  </si>
  <si>
    <t>BIENES DE INETERES CULTURAL</t>
  </si>
  <si>
    <t>UNIDAD</t>
  </si>
  <si>
    <t>MESAS</t>
  </si>
  <si>
    <t>ORGANIZACIONES</t>
  </si>
  <si>
    <t>Municipios: Cajicà, Girardot, Bituima, Madrid, Chipaque, Suesca</t>
  </si>
  <si>
    <t xml:space="preserve">Fundaciòn FUNDIR, Jovenes Constructores de Paz, Municipio San antonio del Tequendama
Pintuco a través de la Fundación Mundial realizó una donación de 3.050 galones de pintura para el desarrollo de esta meta. </t>
  </si>
  <si>
    <t>Municipios: Facatativà, Chipaque</t>
  </si>
  <si>
    <t>OBRAS</t>
  </si>
  <si>
    <t>MECANISMOS DE PARTICIPACION</t>
  </si>
  <si>
    <t>CONSEJOS</t>
  </si>
  <si>
    <t>ASOCIACION MUNDIAL HOLDME</t>
  </si>
  <si>
    <t>APOYOS</t>
  </si>
  <si>
    <t>CASAS DE GOBIERNO</t>
  </si>
  <si>
    <t>FERIAS</t>
  </si>
  <si>
    <t>FEDESARROLLO</t>
  </si>
  <si>
    <t>UNIDADES</t>
  </si>
  <si>
    <t>CAR,MUNICIPIOS</t>
  </si>
  <si>
    <t>PROCESOS ELECTORALES</t>
  </si>
  <si>
    <t>USUARIOS</t>
  </si>
  <si>
    <t>FUNCIONARIOS</t>
  </si>
  <si>
    <t>MECANISMOS</t>
  </si>
  <si>
    <t>ACUERDOS</t>
  </si>
  <si>
    <t>R</t>
  </si>
  <si>
    <t>CALLCENTER</t>
  </si>
  <si>
    <t>ESTRATEGIAS</t>
  </si>
  <si>
    <t>MILLONES DE PESOS</t>
  </si>
  <si>
    <t>BIENES</t>
  </si>
  <si>
    <t>ENTIDADES</t>
  </si>
  <si>
    <t>PROCESOS</t>
  </si>
  <si>
    <t>INSTANCIA</t>
  </si>
  <si>
    <t>COMISARIOS</t>
  </si>
  <si>
    <t>% DE MUNICIPIOS</t>
  </si>
  <si>
    <t>CENTRO</t>
  </si>
  <si>
    <t>CENTROS CARCELARIOS</t>
  </si>
  <si>
    <t>COMITES</t>
  </si>
  <si>
    <t>BRIGADAS</t>
  </si>
  <si>
    <t>OBSERVATORIO</t>
  </si>
  <si>
    <t>INSTALACIONES</t>
  </si>
  <si>
    <t xml:space="preserve">FONSECON </t>
  </si>
  <si>
    <t>MINISTERIO DEL INTERIOR</t>
  </si>
  <si>
    <t>RECURSOS APORTADOR POR LA ENTIDADES TERRITORIALES PARA EL AUMENTO DEL PIE DE FUERZA</t>
  </si>
  <si>
    <t>CONAF, SEDECON , LOS MUNICIPIOS DE: GACHETA,SUBACHOQUE, SAN BERNARDO,MACHETA,QUETAME, CAHIPAY, ANOLAIMA,LA PALMA, COTA,PACHO, PAIME CAPARRAPI , GUACHETA,ARBELAEZ</t>
  </si>
  <si>
    <t>ALIZANZAS</t>
  </si>
  <si>
    <t>APAVE,CORPOSUMAPAZ, FENALCO,EMPRESA FERREA                                   MUNICIPIOS DE: NOCAIMA, QUIPILE M, LA PEÑA , MACHETA, QUEBRADANEGRA Y VILLAGOMEZ.</t>
  </si>
  <si>
    <t xml:space="preserve">                  ACOPI                                 MUNICIPIO  DEL PEÑON </t>
  </si>
  <si>
    <t>ALCALDIAS DE MANTA, TIBIRITA, PAIME, NOCAIMA, SIMIJACA Y SILVANIA</t>
  </si>
  <si>
    <t>PROMOCIONES</t>
  </si>
  <si>
    <t xml:space="preserve">ALCALDÍAS DE VILLETA, GUADUAS, TOCAIMA,QUETAME,BOJACA,PASCA, GUTIERREZ,LA PEÑA, FUSAGASUGA, VIANI, SAN BERNARDO,ANAPOIMA, SAN ANTONIO DEL TEQUENDAMA BELTRAN,NILO, LA MESA,SUSA,NIMAIMA,VIOTA, CHAGUANI,VILLAGOMEZ, ZIPACON, GUAYABAL DE SIQUIMA, JERUSALEN ,PACHO, CACHIPAY, CAPARRAPI, PUERTO SALGAR, NARIÑO, ARBELAEZ, LA CALERA, EL ROSAL,VERGARA,CHOCAHI, MACHETA, , GUAYABETAL, SILVANIA, SUBACHOQUE, CHIPAQUE, GUATAQUI, TOPAIPI, TENA, CAJICA,TIBACUY, QUEBRADANEGRA, PARATEBUENO,EL COLEGIO, APULO, UTICA </t>
  </si>
  <si>
    <t>FONDO NACIONAL DE TURISMO</t>
  </si>
  <si>
    <t>FONDO NACIONAL DE TURISMO , SECRETARIA DE AMBIENTE DE CUNDINAMARCA ,CONVENTION BUREAU DE BOGOTA</t>
  </si>
  <si>
    <t>PITS</t>
  </si>
  <si>
    <t>ASOCIACIONES</t>
  </si>
  <si>
    <t>Universidad de los Andes</t>
  </si>
  <si>
    <t>BANCOS</t>
  </si>
  <si>
    <t>Cámara de comercio de Girardot</t>
  </si>
  <si>
    <t>Cámara de Comercio de Bogotá:
Invest in Bogotá
Centro Internacional de Física</t>
  </si>
  <si>
    <t>UNIVERSIDAD NACIONAL DE COLOMBIA</t>
  </si>
  <si>
    <t>UNIMINUTO</t>
  </si>
  <si>
    <t>Programa de las Naciones Unidas para el Desarrollo PNUD</t>
  </si>
  <si>
    <t>PREMIOS</t>
  </si>
  <si>
    <t>Colsubsidio
Uniminuto</t>
  </si>
  <si>
    <t>SEMANAS</t>
  </si>
  <si>
    <t>Observatorio Colombiano de Ciencia y Tecnología:</t>
  </si>
  <si>
    <t>OBSERVATORIOS</t>
  </si>
  <si>
    <t>Connect Bogotá Región
Secretaría de Hacienda de Cundinamarca
Secretaría de TIC de Cundinamarca
MINTIC
Colciencias
Parquesoft</t>
  </si>
  <si>
    <t>REDES</t>
  </si>
  <si>
    <t>ASOCIACION COLOMBIANA PARA EL AVANCE DE LA CIENCIA</t>
  </si>
  <si>
    <t>CONVOCATORIAS</t>
  </si>
  <si>
    <t>INFRAESTRUCTURAS</t>
  </si>
  <si>
    <t>DISMINUIR PROGRESIVAMENTE LA ACCIDENTALIDAD FATAL, LLEGANDO AL FINALIZAR EL PERIODO DE GOBIERNO, A UN NÚMERO INFERIOR DE 369 MUERTES AL AÑO.</t>
  </si>
  <si>
    <t>KMT</t>
  </si>
  <si>
    <t>CONCESION TRONCAL DEL TEQUENDAMA CONCAY</t>
  </si>
  <si>
    <t>PARADORES</t>
  </si>
  <si>
    <t>M2</t>
  </si>
  <si>
    <t>GARANTIAS</t>
  </si>
  <si>
    <t>PUENTES</t>
  </si>
  <si>
    <t>recursos invias</t>
  </si>
  <si>
    <t>KMTS</t>
  </si>
  <si>
    <t>HOGARES</t>
  </si>
  <si>
    <t>MINEROS</t>
  </si>
  <si>
    <t>INTERCAMBIOS</t>
  </si>
  <si>
    <t>MARCA</t>
  </si>
  <si>
    <t>PRODUCTOS</t>
  </si>
  <si>
    <t>MISIONES</t>
  </si>
  <si>
    <t>CREDITOS</t>
  </si>
  <si>
    <t>EMPRESAS</t>
  </si>
  <si>
    <t>MIPYMES</t>
  </si>
  <si>
    <t>FONDOS</t>
  </si>
  <si>
    <t>PORTAFOLIO</t>
  </si>
  <si>
    <t>NUCLEOS FORESTALES</t>
  </si>
  <si>
    <t>PROYECTO</t>
  </si>
  <si>
    <t>VIVEROS</t>
  </si>
  <si>
    <t>Corporinoquia</t>
  </si>
  <si>
    <t xml:space="preserve">CORPORACION AUTONOMA REGIONAL DE CUNDINAMARCA- CAR                                                                MUNICIPIOS DE . TAUSA  NEMOCON  Y SUBACHOQUE </t>
  </si>
  <si>
    <t>UAEGRDC</t>
  </si>
  <si>
    <t>AMBULANCIAS</t>
  </si>
  <si>
    <t>PORCENTAJE DE EMERGENCIAS</t>
  </si>
  <si>
    <t>PORCENTAJE DE POBLACION</t>
  </si>
  <si>
    <t>ZONAS</t>
  </si>
  <si>
    <t xml:space="preserve">ASIAC - MUNICIPIOS </t>
  </si>
  <si>
    <t>COMUNIDADES</t>
  </si>
  <si>
    <t xml:space="preserve">RECAUDO -FIDUCIA MERCANTIL </t>
  </si>
  <si>
    <t xml:space="preserve">MUNICIPIOS DE CAJICA, SUBACHOQUE, EMPRESAS PUBLKICAS DE CAJICA, SECRETARIA DE INTEGRACION REGIONAL </t>
  </si>
  <si>
    <t>ASOCIACION</t>
  </si>
  <si>
    <t>MUNICIPIOS DE ANAPOIMA,PACHO,VIOTA,GUAYABETAL,FOSCA,SAN JUAN DE RIOSECO,UBATE Y CUCUNUBA</t>
  </si>
  <si>
    <t>MPIOS</t>
  </si>
  <si>
    <t>LINEAMIENTOS</t>
  </si>
  <si>
    <t>COMITÉ</t>
  </si>
  <si>
    <t>FUNDESOT</t>
  </si>
  <si>
    <t xml:space="preserve">CORPORACION COLOMBIANA ORGANICA </t>
  </si>
  <si>
    <t>CORPORACION COLOMBIA ORGANICA</t>
  </si>
  <si>
    <t>GRANJAS</t>
  </si>
  <si>
    <t>CORPOGUAVIO,FEDEPANELA-ASOHOFRUCOL-FEDERACION NACIONAL DE CAFETEROS</t>
  </si>
  <si>
    <t xml:space="preserve">FEDEPANELA </t>
  </si>
  <si>
    <t xml:space="preserve">ASOCIACION MUNDIAL HOLDME </t>
  </si>
  <si>
    <t xml:space="preserve">ASIAC- ASOCICION DE USUARIOS DE ACUEDUCTOS </t>
  </si>
  <si>
    <t>ASIAC, MUNICIPIOS</t>
  </si>
  <si>
    <t xml:space="preserve">MINISTERIO DE AGRICULTURA-FEDERACION NACIONAL DE CAFETEROS- MUNICIPIO-ASIAC </t>
  </si>
  <si>
    <t>PREDIOS</t>
  </si>
  <si>
    <t>FUNDACION ESPELETIA</t>
  </si>
  <si>
    <t>MODELOS</t>
  </si>
  <si>
    <t xml:space="preserve">MINISTERIO DE AGRICULTURA Y MUNICIPIOS </t>
  </si>
  <si>
    <t>MINAGRICULTURA, MUNICIPIOS</t>
  </si>
  <si>
    <t>INSTRUMENTOS</t>
  </si>
  <si>
    <t>FEDEPANELA</t>
  </si>
  <si>
    <t>SECRETARIA DE COMPETITIVIDAD - INTEGRACION REGIONAL-, SECRETARIA DE CIENCIA Y TECNOLOGIA- LICORERA DE CUNDINAMARCA  - OTRAS EMPRESAS Y ENTES TERRITORIALES-MUNICIPIOS</t>
  </si>
  <si>
    <t>FUNDACION EDUCATIVA PARA LA EQUIDAD Y EL DESARROLLO RURAL, FEDEPANELA, COOMUTSOA</t>
  </si>
  <si>
    <t>FINAGRO</t>
  </si>
  <si>
    <t>FEDEPANELA-ASOCIACION COLOMBIANA DE PORCICULTORES</t>
  </si>
  <si>
    <t>FEDEPANELA , MINAGRICULTURA</t>
  </si>
  <si>
    <t xml:space="preserve">ASOCIACION COLOMBIANA DE PORCICULTORES-FUNDESOT-MINISTERIO DE AGRICULTURA-UNIVERSIDAD DE CUNDINAMARCA-UNAL </t>
  </si>
  <si>
    <t>MUNICIPIOS, FEDEPANELA, FUNDESOT</t>
  </si>
  <si>
    <t>CADENAS</t>
  </si>
  <si>
    <t xml:space="preserve">MUNICIPIOS </t>
  </si>
  <si>
    <t>MUNICIPIOS, UNIVERSIDAD NACIONAL</t>
  </si>
  <si>
    <t>GRUPOS</t>
  </si>
  <si>
    <t>FEDECAFE-FEDECACAO-ASOHOFRUCOL-FEDEPANELA-CONFEDERACION CAUCHERA--UNIVERSIDAD CENTRAL</t>
  </si>
  <si>
    <t>FEDEPAPA,CONFEDERACION CAUCHERA COLOMBIANA , ASOHOFRUCOL, FEDERACION NACIONAL DE CAFETEROS-COMITÉ DEPARTAMENTAL DE CAFETEROS DE CUNDINAMARCA, FUNDACION YARUMO</t>
  </si>
  <si>
    <t>FASES</t>
  </si>
  <si>
    <t>CONEXIONES</t>
  </si>
  <si>
    <t>VIVIENDAS</t>
  </si>
  <si>
    <t xml:space="preserve">SECRETARIA DE LAS TICS </t>
  </si>
  <si>
    <t xml:space="preserve">CONTREEBUTE </t>
  </si>
  <si>
    <t xml:space="preserve">CORPOGUAVIO,MUNICIPIO DE TAUSA, MUNICIPIO DE NEMOCON, SECRETARIA DE INTEGRACION REGIONAL </t>
  </si>
  <si>
    <t xml:space="preserve">UNIVERSIDAD NACIONAL DE COLOMBIA </t>
  </si>
  <si>
    <t xml:space="preserve">CAR, MUNICIPIO DE MOSQUERA, MUNICIPIO DE CUCUNUBA  </t>
  </si>
  <si>
    <t>ACCIONES</t>
  </si>
  <si>
    <t>MUNICIPIOS DE CHAGUANI, SILVANIA, YACOPI,CAPARRAPI</t>
  </si>
  <si>
    <t>MODELO</t>
  </si>
  <si>
    <t xml:space="preserve">PROGRAMA  DE NACIONES UNIDADS PARA EL DESARROLLO -PNUD </t>
  </si>
  <si>
    <t>CAR-CORPOGUAVIO- MUNICIPIOS Y NACION</t>
  </si>
  <si>
    <t>RENDICION DE CUENTAS DE VCA</t>
  </si>
  <si>
    <t>7. VICTIMAS DEL CONFLICTO ARMADO CON GARANTIA DE DERECHOS</t>
  </si>
  <si>
    <t>PORCENTAJE DE PERSONAS</t>
  </si>
  <si>
    <t>PORCENTAJE DEL PROCESO</t>
  </si>
  <si>
    <t>RECORRIDOS</t>
  </si>
  <si>
    <t>CORPORACION COLOMBIANA DE DOCUMENTALISTAS -ALADOS COLOMBIA</t>
  </si>
  <si>
    <t>ENCUENTROS</t>
  </si>
  <si>
    <t>CONVENIOS</t>
  </si>
  <si>
    <t>PORCENTAJE DE FAMILIAS</t>
  </si>
  <si>
    <t>CAMPAÑA</t>
  </si>
  <si>
    <r>
      <t xml:space="preserve">ADELANTAR UNA CAMPAÑA ANUAL PREVENTIVA DE </t>
    </r>
    <r>
      <rPr>
        <b/>
        <sz val="10"/>
        <color indexed="8"/>
        <rFont val="Calibri"/>
        <family val="2"/>
      </rPr>
      <t>ESCNNA</t>
    </r>
    <r>
      <rPr>
        <sz val="10"/>
        <color indexed="8"/>
        <rFont val="Calibri"/>
        <family val="2"/>
      </rPr>
      <t xml:space="preserve"> EXPLOTACIÓN SEXUAL COMERCIAL DE NIÑOS, NIÑAS Y ADOLESCENTES, ASOCIADA CON EL TURISMO, PERTENECIENTES A LA POBLACIÓN VICTIMA DEL CONFLICTO ARMADO.</t>
    </r>
  </si>
  <si>
    <t>PORCENTAJE DE PREDIOS</t>
  </si>
  <si>
    <t>CTJT</t>
  </si>
  <si>
    <t>ESPACIOS</t>
  </si>
  <si>
    <t>SEDES</t>
  </si>
  <si>
    <t>COMITE</t>
  </si>
  <si>
    <t>9. MUJERES LIDERES Y LIBRES DE VIOLENCIA</t>
  </si>
  <si>
    <t>FUNDACION COLECTIVO DE MUJERES</t>
  </si>
  <si>
    <t>RUTA</t>
  </si>
  <si>
    <t>PORCENTAJE DE INSTANCIAS</t>
  </si>
  <si>
    <t>PORCENTAJE DE ORGANISMOS</t>
  </si>
  <si>
    <t>FUNDACION RED DE MUJERES DE CUNDINAMARCA</t>
  </si>
  <si>
    <t>ESCUELA</t>
  </si>
  <si>
    <t>MUJERES</t>
  </si>
  <si>
    <t>FUNDASET Y MUNICIPIO DE GUASCA</t>
  </si>
  <si>
    <t>8. FAMILIAS FORJADORAS DE SOCIEDAD</t>
  </si>
  <si>
    <t>PARQUES</t>
  </si>
  <si>
    <t>MUNICIPIOS,FUNDACION COMPARTIR</t>
  </si>
  <si>
    <t>POLITICAS</t>
  </si>
  <si>
    <t>ORIENTADORES</t>
  </si>
  <si>
    <t xml:space="preserve"> Aportes de la Fundacion Arcangeles para la Ejecucion del Contrato SDS 028 de 2013, y aportes de CIREC para la ejecucion del Contrato SDS 018 de 2013</t>
  </si>
  <si>
    <t>FUNDACION MARIANA</t>
  </si>
  <si>
    <t>Aportes de Oportunidad Latinoamerica $50,000,000 para la ejecucion 025 de 2012, Aportes oportunidad Latinoameria $9,000,000 para la ejecucion del contrato SDS 023 de 2013 y aportes Fundacion Mariana  $77,955,382, para la ejecucion del contrato SDS  016 DE 2013</t>
  </si>
  <si>
    <t>ORGANIZACIÓN LATINOAMERICANA DE COLOMBIA , CIREC , FUNDACION PARA LA REHABILITACION INTEGRAL ARCANGELES</t>
  </si>
  <si>
    <t>PLANES DE VIDA</t>
  </si>
  <si>
    <t>APOYAR PARTICIPATIVAMENTE DURANTE EL CUATRIENIO 3 PLANES DE VIDA PARA GRUPOS INDIGENAS</t>
  </si>
  <si>
    <t>PORCENTAJE DE EMPRESAS</t>
  </si>
  <si>
    <t>PRUEBAS</t>
  </si>
  <si>
    <t>INDICE</t>
  </si>
  <si>
    <t>CORPORACION LEXCOM Y ORGANIZACIONES SOLIDARIAS</t>
  </si>
  <si>
    <t>Aporte Fundacion Torre Fuerte para la ejecucion del contrato  SDS 19 de 2013</t>
  </si>
  <si>
    <t>MINISTERIO DE CULTURA</t>
  </si>
  <si>
    <t>BIBLIOTECAS</t>
  </si>
  <si>
    <t>LUDOTECAS</t>
  </si>
  <si>
    <t>BANCO</t>
  </si>
  <si>
    <t>ALUMNOS</t>
  </si>
  <si>
    <t>VACUNAS</t>
  </si>
  <si>
    <t>ALIANZAS</t>
  </si>
  <si>
    <t>CONCIERTOS</t>
  </si>
  <si>
    <t>ESTUDIO</t>
  </si>
  <si>
    <t>VEEDURIAS</t>
  </si>
  <si>
    <t>CONSEJO</t>
  </si>
  <si>
    <t>ASOCIACION SCOUT DE COLOMBIA</t>
  </si>
  <si>
    <t>CLUBES</t>
  </si>
  <si>
    <t>CORPORACION RED DE JOVENES CONSTRUCTORES DE PAZ</t>
  </si>
  <si>
    <t>RED DE COMUNICACIÓN</t>
  </si>
  <si>
    <t>MUNICIPIO DE VILLETA</t>
  </si>
  <si>
    <t>JUEGOS</t>
  </si>
  <si>
    <t>FESTIVALES</t>
  </si>
  <si>
    <t>CORPORACION JOVENES CONSTRUCTORES DE PAZ</t>
  </si>
  <si>
    <t>Ministerio de Educación Nacional, Aporte municipios, aporte Instituciones educativas de Nivel Suprior y Sector privado</t>
  </si>
  <si>
    <t>ICETEX  y Universidades aliadas</t>
  </si>
  <si>
    <t>ESTUDIANTES</t>
  </si>
  <si>
    <t>COMPENSAR FONNIÑEZ</t>
  </si>
  <si>
    <t>COMPENSAR</t>
  </si>
  <si>
    <t>PORCENTAJE DE PARTICIPACION</t>
  </si>
  <si>
    <t>AGENDAS</t>
  </si>
  <si>
    <t>COOPERATIVAS</t>
  </si>
  <si>
    <t>PEARSON</t>
  </si>
  <si>
    <t>DOCENTES</t>
  </si>
  <si>
    <t>Comité de Cafeteros de Cundinamarca</t>
  </si>
  <si>
    <t xml:space="preserve"> COMPENSAR POR FONIÑEZ</t>
  </si>
  <si>
    <t>% DE DOCENTES</t>
  </si>
  <si>
    <t>% DE INSTITUCIONES</t>
  </si>
  <si>
    <t>OEI</t>
  </si>
  <si>
    <t>Fundación Saldarriaga Concha</t>
  </si>
  <si>
    <t>Fundación Empresarios por la Educación-Fundación EXE</t>
  </si>
  <si>
    <t>PORCENTAJE DE DOCENTES</t>
  </si>
  <si>
    <t>AGRUPACIONES</t>
  </si>
  <si>
    <t>Colsubsidio</t>
  </si>
  <si>
    <t>ICBF</t>
  </si>
  <si>
    <t>NIÑOS</t>
  </si>
  <si>
    <t>FUNDASET</t>
  </si>
  <si>
    <t>FUNDASET Y COMITÉ DE CAFETEROS DE CUNDINAMARCA</t>
  </si>
  <si>
    <t>MESES</t>
  </si>
  <si>
    <t>COBERTURA DE VACUNACION</t>
  </si>
  <si>
    <t>% DE HOSPITALES</t>
  </si>
  <si>
    <t>CONTROL PONDERADOR</t>
  </si>
  <si>
    <t>CONTROL PROGRAMACION</t>
  </si>
  <si>
    <t xml:space="preserve">AVANCE_CONTROLADO 2012 - 2015 </t>
  </si>
  <si>
    <t>AVANCE REAL DEL CUATRENIO</t>
  </si>
  <si>
    <t>AVANCE PONDERADO DEL CUATRENIO</t>
  </si>
  <si>
    <t>AJUSTE AL 100%</t>
  </si>
  <si>
    <t>PORCENTAJE DE AVANCE  ACUMULADO</t>
  </si>
  <si>
    <t xml:space="preserve">ACUMULADO PONDERADOR 2012 Y 2015 </t>
  </si>
  <si>
    <t xml:space="preserve">ACUMULADO  DE LA META 2012 - 2015 </t>
  </si>
  <si>
    <t>FUENTE DE LOS RECURSOS GESTIONADOS</t>
  </si>
  <si>
    <t>RECURSOS GESTIONADOS</t>
  </si>
  <si>
    <t>RECURSOS DE FUNCIONAMIENTO</t>
  </si>
  <si>
    <t xml:space="preserve">OTROS INGRESOS </t>
  </si>
  <si>
    <t>CREDITO</t>
  </si>
  <si>
    <t>SGR</t>
  </si>
  <si>
    <t xml:space="preserve">APORTES TRANSFERENCIAS COFINANCIACION MUNICIPIO </t>
  </si>
  <si>
    <t xml:space="preserve">APORTES TRANSFERENCIAS COFINANCIACION NACION </t>
  </si>
  <si>
    <t xml:space="preserve">SGP </t>
  </si>
  <si>
    <t>RECURSO  PROPIO</t>
  </si>
  <si>
    <t>RECURSOS EJECUTADOS 2015</t>
  </si>
  <si>
    <t xml:space="preserve">RECURSOS PROGRAMADOS 2015 </t>
  </si>
  <si>
    <t>AVANCE  PONDERADO 2015</t>
  </si>
  <si>
    <t>AJUSTADO AL 100%</t>
  </si>
  <si>
    <t>PORCENTAJE DE AVANCE DE LA META EN 2015</t>
  </si>
  <si>
    <t>AVANCE DE LA META 2015</t>
  </si>
  <si>
    <t>FALTA</t>
  </si>
  <si>
    <t>% PROGRAMADO 2015</t>
  </si>
  <si>
    <t xml:space="preserve"> PROGRAMADO META PRODUCTO 2015</t>
  </si>
  <si>
    <t>PONDERADOR META DE PRODUCTO 2015 (%)</t>
  </si>
  <si>
    <t>%AVANCE REAL</t>
  </si>
  <si>
    <t>AVANCE  PONDERADO 2014</t>
  </si>
  <si>
    <t>PORCENTAJE DE AVANCE DE LA META EN 2014</t>
  </si>
  <si>
    <t>AVANCE DE LA META 2014</t>
  </si>
  <si>
    <t xml:space="preserve"> EJECUTADO_2014_31 DE DIC</t>
  </si>
  <si>
    <t xml:space="preserve"> EJECUTADO_2014_30 DE SEPTIEMBRE</t>
  </si>
  <si>
    <t xml:space="preserve"> EJECUTADO META  PRODUCTO 2014 - 30 DE agosto</t>
  </si>
  <si>
    <t>% PROGRAMADO 2014</t>
  </si>
  <si>
    <t xml:space="preserve"> PROGRAMADO META PRODUCTO 2014</t>
  </si>
  <si>
    <t>PONDERADOR META DE PRODUCTO 2014 (%)</t>
  </si>
  <si>
    <t>FUENTE RECURSOS GESTIONADOS</t>
  </si>
  <si>
    <t>APORTES TRANSFERENCIAS COFINANCIACION MUNICIPIOS</t>
  </si>
  <si>
    <t>RECURSO PROPIO</t>
  </si>
  <si>
    <t xml:space="preserve">RECURSOS EJECUTADOS 2013        </t>
  </si>
  <si>
    <t xml:space="preserve">RECURSOS PROGRAMADOS 2013 </t>
  </si>
  <si>
    <t>% AVANCE REAL 2013</t>
  </si>
  <si>
    <t>AVANCE PONDERADO 2013</t>
  </si>
  <si>
    <t>PORCENTAJE DE AVANCE DE LA META EN 2013</t>
  </si>
  <si>
    <t>AVANCE DE LA META A 2013</t>
  </si>
  <si>
    <t>EJECUTADO META DE PRODUCTO 2013 - 31 DE DICIEMBRE</t>
  </si>
  <si>
    <t>% PROGRAMADO o 2013</t>
  </si>
  <si>
    <t>PROGRAMADO META  PRODUCTO 2013</t>
  </si>
  <si>
    <t>PONDERADOR META DE PRODUCTO 2013 (%)</t>
  </si>
  <si>
    <t xml:space="preserve">RECURSOS EJECUTADOS 2012  </t>
  </si>
  <si>
    <t xml:space="preserve">RECURSOS PROGRAMADOS 2012 </t>
  </si>
  <si>
    <t>% AVANCE REAL 2012</t>
  </si>
  <si>
    <t>AVANCE PONDERADO  2012</t>
  </si>
  <si>
    <t xml:space="preserve">PORCENTAJE DE AVANCE 2012 </t>
  </si>
  <si>
    <t xml:space="preserve">AVANCE META_2012 </t>
  </si>
  <si>
    <t>EJECUTADO META  PRODUCTO 2012</t>
  </si>
  <si>
    <t>% PROGRAMADO  2012</t>
  </si>
  <si>
    <t>PROGRAMADO META  PRODUCTO 2012</t>
  </si>
  <si>
    <t>PONDERADOR META DE PRODUCTO 2012 (%)</t>
  </si>
  <si>
    <t>VALOR ESPERADO DEL INDICADOR PRODUCTO CUATRIENIO</t>
  </si>
  <si>
    <t>LINEA BASE INDICADOR PRODUCTO DIC. 2011</t>
  </si>
  <si>
    <t>TIPO DE META</t>
  </si>
  <si>
    <t>UNIDAD DE MEDIDA</t>
  </si>
  <si>
    <t>No M.P.</t>
  </si>
  <si>
    <t>Indicador Cuatrenio</t>
  </si>
  <si>
    <t>Meta Cuatrienio</t>
  </si>
  <si>
    <t>LOGRO ACUMULADRO CUATRIENIO</t>
  </si>
  <si>
    <t>SE CUMPLIÓ LA META ESPERADA SEGÚN DENOMINADOR NACIDOS VIVOS (FUENTE DANE)</t>
  </si>
  <si>
    <t>ACREDITACION DEL HOSPITAL E.S.E HOSPITAL UNIVERSITARIO DE LA SAMARITANA UNIDAD FUNCIONAL ZIPAQUIRA. DOTACION Y FUNCIONAMIENTO DE 12 SALAS DE LACTANCIA MATERNA. PRIMER BANCO DE LECHE HUMANA EN FUNCIONAMIENTO. CONGRESO INTERNACIONAL DE LACTANCIA MATERNA, CON PARTICIPACION DE 760 PERSONAS. TALLERES DE CAPACITACION IAMI Y CONSEJERIA EN LACTANCIA MATERNA. ENCUENTRO DE BANCOS DE LECHE HUMANA EN FUSAGASUGA. PARTICIPACION EN EL CURSO DE TUTORES COLOMBIANOS PARA LA RED DE BANCOS DE LECHE.</t>
  </si>
  <si>
    <t>SE REALIZARON LOS ESTUDIOS PREVIOS PARA LA CONTRATACIÓN DEL PROGRAMA DE COMPLEMTNACIÓN NUTRICIONAL. SE SOCIALIZARON LOS LINEAMIENTOS PARA LA IMPLEMENTACIÓN DEL PROGRAMA EN LOS MUNICIPIOS Y SE LES INFORMÓ EL NÚMERO DE CUPOS ASIGNADO.</t>
  </si>
  <si>
    <t>SE REALIZARON LOS ESTUDIOS PREVIOS PARA LA CONTRATACIÓN DEL PROGRAMA DE COMPLEMENTACIÓN NUTRICIONAL. SE SOCIALIZARON LOS LINEAMIENTOS PARA LA IMPLEMENTACIÓN DEL PROGRAMA EN LOS MUNICIPIOS Y SE LES INFORMÓ EL NÚMERO DE CUPOS ASIGNADO.</t>
  </si>
  <si>
    <t>ARTICULACION PERMANENTE ENTRE LA SECRETARIA DE GOBIERNO, ICBF, COMISIARIAS DE FAMILIA CONJUNTAMENTE CON POLICIA DE INFANCIA Y ADOLESCENCIA CON EL FIN DE PROTEGER LA VIDA INTEGRIDAD DE LOS MENORES DE 0A 5 AÑOS</t>
  </si>
  <si>
    <t>SE ESTÁN ATENDIENDO 2.100 NIÑOS Y NIÑAS A TRAVÉS DEL CONVENIO N° 163 DE 2013 AUNANDO ESFUERZOS CON COLSUBSIDIO. LA GOBERNACIÓN DE CUNDINAMARACA APORTÓ 1.405.000.000 Y COLSUBSIDIO APORTÓ $ 567.839.472</t>
  </si>
  <si>
    <t>SE SUSCRIBIÓ CONVENIO ENTRE EL MEN Y LA FUNDACIÓN SALDARRIAGA CONCHA DIPLOMADO UNIVERSIDAD NACIONAL; 100 AGENTES EDUCATIVOS FORMADOS CON LA FUNDACIÓN UNIVERSIDAD DEL NORTE OBJETIVO: FORMACIÓN DIRIGIDO A AGENTES EDUCATIVOS QUE TRABAJAN CON LA PRIMERA INFANCIA EN CUNDINAMARCA, PARA LA PROMOCIÓN DEL DESARROLLO INFANTIL Y FORTALECIMIENTO DE LA EDUCACIÓN INICIAL EN EL MARCO DE UNA ATENCIÓN INTEGRAL</t>
  </si>
  <si>
    <t>1- DESARROLLO SICOMOTRIZ Y SOCIAL DE PI 0-5AÑOS:</t>
  </si>
  <si>
    <t>SE HA DEFINIDO EL PROTOCOLO PARA IMPLEMENTAR EL PROGRAMA EN LOS MUNICIPIOS DEL DEPARTAMENTO, DEFINIENDO LOS CONTENIDOS PROGRAMATICOS PARA CAPACITACIÓN A LOS AGENTES CUIDADORES DE LA PRIMERA INFANCIA. EN EL MES DE MAYO, SE TIENE PARA REPORTAR LA REALIZACIÓN DE 4 TALLERES DE CAPACITACIÓN TEÓRICO Y PRACTICO EN MATROGIMNASIA, EN LOS MUNICIPIOS DE: GRANADA, UBAQUE, GUASCA Y SUESCA. CADA MES SE PRETENDE REALIZA UN PROMEDIO DE 6 TALLERES, DE ACUERDO A LAS SOLICITUDES DE LOS MUNICIPIOS.</t>
  </si>
  <si>
    <t>DOTACIÓN DE PARQUES INFANTILES A LOS MUNICIPIOS DEL DEPARTAMENTO, FOMENTANDO LA CREACIÓN DE ESPACIOS PARA LOS NIÑOS Y NIÑAS QUE FACILITEN LA ACTIVIDAD FÍSICA, EL DEPORTE Y LA RECREACIÓN COMO HÁBITO DE SALUD Y MEJORAMIENTO DE LA CALIDAD DE VIDA Y EL BIENESTAR SOCIAL, ESPECIALMENTE EN LOS SECTORES SOCIALES MÁS NECESITADOS.</t>
  </si>
  <si>
    <t>GARANTIZAMOS EL FOMENTO DE LA RECREACIÓN A LOS NIÑOS Y NIÑAS MENORES DE 5 AÑOS POR MEDIO DE EVENTOS RECREATIVOS COMO UN PROCESO DE ACCIÓN PARTICIPATIVA Y DINÁMICA, QUE FACILITA ENTENDER LA VIDA COMO UNA VIVENCIA DE DISFRUTE, CREACIÓN Y LIBERTAD, EN EL PLENO DESARROLLO DE LAS POTENCIALIDADES DEL SER HUMANO PARA SU REALIZACIÓN Y MEJORAMIENTO DE LA CALIDAD DE VIDA INDIVIDUAL Y SOCIAL, MEDIANTE LA PRÁCTICA DE ACTIVIDADES FÍSICAS O INTELECTUALES DE ESPARCIMIENTO.</t>
  </si>
  <si>
    <t>SE REALIZÓ CON GRAN ÉXITO LA CAPACITACIÓN DIRIGIDA A LOS CUIDADORES DE NIÑOS Y NIÑAS DE 0 A 5 AÑOS, CON LA PARTICIPACIÓN DE MÚSICOS, BIBLIOTECARIOS, LUDOTECARIOS Y LOS RESPONSABLES DE LOS NIÑOS EN LOS HOGARES DEL BIENESTAR FAMILIAR EN LOS 20 MUNICIPIOS QUE SE BENEFICIARON CON LA DOTACIÓN DE ORFF EN EL AÑO 2012</t>
  </si>
  <si>
    <t>1, TANTO LA ESTRATEGIA REGIONAL DE TUTORES COMO LA DE PROMOTORES DE LECTURA LLEGARON A NUESTRO DEPARTAMENTO A TRAVÉS DE LA ASISTENCIA TÉCNICA DE PROFESIONALES QUE JUNTO CON LOS BIBLIOTECARIOS ESTABLECIERON ACCIONES PARA LA ORGANIZACIÓN, FORTALECIMIENTO Y DINAMIZACIÓN DE 40 BIBLIOTECAS DE NUESTRO DEPARTAMENTO. SE ADELANTA EL PROYECTO PILOTO DE CERTIFICACIÓN DE COMPETENCIAS PARA 29 BIBLIOTECARIOS DE CUNDINAMARCA. 3 SE REALIZO LA CAPACITACION DIRIGIDA A LOS CUIDADORES DE NIÑOS Y NIÑAS DE 0-5 AÑOS, CON LA PARTICIPACIÓN DE MUSICOS, BIBLIOTECARIOS, LUDOTECARIOS, Y LOS RESPONSABLES DE NIÑOS DEL BIENESTAR FAMILIAR DE LOS 20 MUNICIPIOS QUE SE BENEFICIARON CON INSTRUMENTOS ORFF AÑO 2012</t>
  </si>
  <si>
    <t>REALIZACIÓN DE UN VIDEO DE LA PEQUEÑA AGRUPACIÓN CONFORMADA EN EL MUNICIPIO DE CAJICA PRESENTADO COMO EXPERIENCIA EXITOSA EN EL CUARTO ENCUENTRO DE LA RED DE MONITOREO Y EVALUACIÓN DE POLÍTICAS PÚBLICAS EL 27 DE NOVIEMBRE.</t>
  </si>
  <si>
    <t>SE ENVIO EL FORMATO PRECONTRACTUAL DE LA CAMPAÑA A PLANEACIÓN DEPARTAMENTAL, PARA SU REVISIÓN Y RESPECTIVA APROBACIÓN DE VIABILIDAD SE ESTAN EADELANTANDO ESTUDIOS PREVIOS PARA LA CONTRATACIÓN A TRAVES DE PROCESO PUBLICO.</t>
  </si>
  <si>
    <t>SE REALIZO CAMPAÑA ESTRATEGICA CONTRA EL ABUSO SEXUAL INFANTIL A TRAVES DE LA FUNDACION RED DE SANCION SOCIAL. DENTRO DE LA ACTIVIDAD DEL DIA DEL NIÑO.</t>
  </si>
  <si>
    <t>SE HIZO CAPACITACIÓN EN GIRARDOT CON LOS LUDOEDUCADORES DE LA REGION DE ALTO MAGDALENA Y TEQUENDAMA, AL IGUAL QUE A LA RED HOTELERA, TAXISTAS Y FUNCIONARIOS PÚBLICOS. DENTRO DEL MARCO DEL CONVENIO DE COMPENSAR POR MEDIO DE VOLANTES INFORMATIVOS, SE ESTA TRABAJANDO SOBRE PREVENCIÓN DE ABUSO SEXUAL Y EXPLOTACIÓN SEXUAL COMERCIAL DE NIÑOS Y NIÑAS. SE TRABAJÓ LA CAMPAÑA EN 5 MUNICIPIOS DE CUNDINAMARCA CON LA FUNDACIÓN AFECTO CONVENIO 031/2013.</t>
  </si>
  <si>
    <t>EN EL MES DE JULIO SE DISEÑO LA RUTA DE ATENCION Y PROTECCION DE CUNDINAMARCA A VICTIMAS Y POSIBLE VICTIMAS DE LA TRATA DE PERSONAS INCLUYENDO DE MANERA ESPECIFICA A LOS NIÑOS Y NIÑAS DE 0 A 5 AÑOS. EN ESTE PROCESO SE REALIZARON TALLERES PARA QUE LAS AUTORIDADES CONOCIERAN DE FONDO COMO GARANTIZAR LA ATENCION INTEGRAL AL 100% DE LAS VICTIMAS Y POSIBLES VICTIMAS</t>
  </si>
  <si>
    <t>TODAS LAS DIMENSIONES PRIORITARIAS PARTICIPANTES EN EL CUMPLIMIENTO DE LA META DESARROLLARON GESTIONES TRANSCECTORIALES PARA EL CUMPLIMIENTO DE LA ACTIVIDAD EN LOS MUNICIPIOS PRIORIZADOS (FOSCA, GUATAQUI, GUAYABETAL, GUTIERREZ, JERUSALÉN, MEDINA, NARIÑO, PARATEBUENO, UBALA, UTICA, VERGARA, VENECIA, SAN BERNARDO, TIBACUY, GRANADA Y PASCA); EN EL CUBRIMIENTO DE VPH SE LLEGÓ AL TOTAL A LOS 16 MUNICIPIOS PRIORIZADOS PARA EL AÑO 2013, ANTES MENCIONADOS.</t>
  </si>
  <si>
    <t>ESTA META TIENE UN CUMPLIMIENTO DEL 100% PUESTO QUE SE INTEVINIERON LAS INSTITUCIONES EDUCATIVAS PROGRAMADAS POR TODAS LAS PRIORIDADES Y EL CONVENIO CON PROINAPSA FUE DE GRAN APOYO PARA PODER AVANZAR JUNTO CON EDUCACION EN LOGRO DEL CUMPLIMIENTO A LO PLANEADO PARA LAS DOS PROVINCIAS DE SAN JUAN DE RIOSECO Y MAGDALENA CENTRO. ESCUELAS: SAN JUAN DE RIOSECO: (ESCUELA LAGUNITAS BAJO,ESCUELA SAN NICOLAS,ESCUELA SANTA TERESA,ESCUELA LA MARIA); CHAGUANI: (ESCUELA ALTO RICO, ESCUELA CAMPOALEGRE, ESCUELA EL RETIRO, ESCUELA MONTEFRIO); LA PEÑA: (ESCUELA GUAYABAL,</t>
  </si>
  <si>
    <t>CON RECURSOS 2012 SE FIRMARON 13 CONVENIOS INTERADMINISTRATIVOS CON 13 MUNICIPIOS (CAQEZA, FOSCA, NOCAIMA, CUCUNUBA, PARATEBUENO, TIBACUY, RICAURTE, VIOTA, ALBÁN, FOMEQUE, CACHIPAY, GUADUAS, LA MESA) PARA BRINDAR COMPLEMENTO NUTRICIONAL - ALIMENTACIÓN PARA INFACIA. Y CON RECURSOS DE REGALIAS 4 CONVENIOS CON LOS MUNICIPIOS (CHOCONTA, GUACHETA, PASCA, EL COLEGIO). CON RECURSOS 2013 SE FIRMO CONVENIO INTERADMINISTRATIVO CON EL MUNICIPIO DE TAUSA PARA BRINDAR COMPLEMENTO NUTRICIONAL A 345 ESTUDIANTES DE LAS IED DEL MUNICIPIO.</t>
  </si>
  <si>
    <t>ARTICULACION PERMANENTE ENTRE LA SECRETARIA DE GOBIERNO, ICBF, COMISIARIAS DE FAMILIA CONJUNTAMENTE CON POLICIA DE INFANCIA Y ADOLESCENCIA CON EL FIN DE PROTEGER LA VIDA INTEGRIDAD DE LOS NIÑOS Y NIÑAS DE 6 A 11 AÑOS</t>
  </si>
  <si>
    <t>SE ENCUENTRA EN PROCESO PRECONTRACTUAL CON EL FIN DE BENEFIACIAR A NIÑOS, NIÑAS Y JOVENES CON SALIDAS AL MUSEO DE ARTE MODERNO DE BOGOTÁ</t>
  </si>
  <si>
    <t>SE ESTAREALIZANDO LA MODIFICACIÓN AL PROYECTO PARA HACER LAS ADICIONES A LOS CONVENIOS INTERADMINISTRATIVOS DE TRANSPORTE ESCOLAR.</t>
  </si>
  <si>
    <t>A TRAVÉS DE CONTRATO CON LA UNIVERSIDAD NACIONAL DE COLOMBIA SE ESTÁN FORMANDO 350 DOCENTES DE 4 ÁREAS BASICAS, EN SEPTIEMBRE INICIARON 42 RECTORES EN EL PROYECTO "RECTORES LÍDERES TRANSFORMADORES", FORMACIÓN CON LA FUNDACIÓN EMPRESARIOS POR LA EDUCACIÓN, 240 DOCENTES DE ÁREAS SE ESTÁN FORMANDO EN BILINGUISMO, 103 DOCENTES ORIENTADORES FORMADOS CON DIPLOMADO EN SALUD MENTAL CON EL MEN-SEC-JAVERIANA, ENTRE OTROS PROGRAMAS.</t>
  </si>
  <si>
    <t>1)30 DOCENTES REALIZANDO ESPECIALIZACIÓN CON LA UPN Y 7 RECTORES CON LA U. DE LOS ANDES Y EXE1 2)14 DOCENTES ADELANTAN MAESTRÍA EN EDUCACIÓN MATEMATICA EN UNIANDES</t>
  </si>
  <si>
    <t>SE REALIZO LA FORMACIÓN DE 129 DOCENTES EN EL MES DE OCTUBRE, VISITAS DE SEGUIMIENTO Y APOYO PEDAGOGICO EN AULA DE MODELOS A LOS MUNICIPIOS DE: LA MESA, VIOTA, ALBAN, SAN BERNARDO, LENGUAZAQUE, MEDINA. ADQUISICIÓN Y RECIBO DE 876 JUEGOS DE GUIAS DE APRENDIZAJE PARA EL MODELO ESCUELA NUEVA BENEFICIANDO A 6,604 ESTUDIANTES DE 30 MUNICIPIOS, 38 IED, 359 SEDES</t>
  </si>
  <si>
    <t>LA META REPORTADA SE CUMPLIO CON RECURSOS 2012. PARA LA EJECUCIÓN DE RECURSOS 2013 SE RECIBIÓ PROPUESTA POR PARTE DE LA FUNDACIÓN SALDARRIAGA CONCHA Y CDI COLOMBIA Y SE ENTREGO CARPETA CON ESTUDIOS PREVIOS Y DEMAS DOCUMENTOS A LA OFICINA JURIDICA Y SE TRAMITARON LAS DISPONIBILIDADES PARA UN CONVENIO QUE PERMITA CONTINUAR CON LOS 22 PROFESIONALES DE APOYO EN LAS 35 IE DE LOS 10 MUNICIPIOS PRIORIZADOS EN 2011 Y EL ACOMPAÑAMIENTO A 37 IE DE LOS 17 MPIOS PRIORIZADOS ESTE AÑO.</t>
  </si>
  <si>
    <t>TODAS LAS INSTITUCIONES EDUCATIVAS DE MUNICIPIOS NO CERTIFICADOS DEL DEPARTAMENTO HAN SIDO FORMADAS PARA EL FORTALECIMIENTO DE SUS PROCESOS DE CONVIVENCIA CON ENFOQUE DE DERECHOS E INCLUSIÓN Y LA ACTUALIZACIÒN DE LOS MANUALES DE CONVIVENCIA.</t>
  </si>
  <si>
    <t>PROTECCIÓN DE 241 NIÑAS Y 283 NIÑOS VÍCTIMAS DE LAS VIOLENCIAS, CON ALOJAMIENTO, ALIMENTACIÓN, INTERVENCION TERAPEUTICA PROFESIONAL E INTERDISCIPLINARIA PARA EL NIÑOS, NIÑAS Y SUS FAMILIAS EN TRABAJO SOCIAL, PSICOLOGÍA, EDUCACIÓN ESPECIAL (PARA NN CON DISCAPACIDAD), PSICOPEDAGOGIA, FONOAUDIOLOGÍA, TERAPIA OCUPACIONAL, PEDAGOGÍA REEDUCATIVA, NUTRICIÓN, EDUCACIÓN, FORMACIÓN PARA EL TRABAJO, RECREACIÓN, CULTURA, DEPORTE, BUEN USO DEL TIEMPO LIBRE, DESARROLLO DE PROYECTOS PRODUCTIVOS Y OCUPACIONALES.</t>
  </si>
  <si>
    <t>1- DESARROLLO SICOMOTRIZ Y SOCIAL DE INFANCIA 6-11AÑOS:</t>
  </si>
  <si>
    <t>APOYO A LAS ESCUELAS DE FORMACIÓN DEL DEPARTAMENTO, CONTRIBUYENDO A LA FORMACIÓN INTEGRAL DE LOS NIÑOS, NIÑAS, UTILIZANDO COMO MEDIO EL GUSTO Y LA INCLINACIÓN POR LA PRÁCTICA DEPORTIVA, CON EL PROPÓSITO DE ORIENTAR Y PROMOVER FUTUROS CIUDADANOS CON UNA MEJOR CALIDAD DE VIDA Y UN MEJOR PERFIL HACIA EL DEPORTE.</t>
  </si>
  <si>
    <t>A LA FECHA, SE ADELANTA EL PROCESO DE SELECCIÓN Y VINCULACIÓN DE PERSONAL TÉCNICO ESPECIALIZADO PARA LA SELECCIÓN Y DETELECCIÓN DE TALENTOS DEPORTIVOS EN EL DEPARTAMENTO.</t>
  </si>
  <si>
    <t>SE HA VENIDO ADELANTANDO LA FASE INTRAMURAL DE LOS FESTIVALES ESCOLARES EN LOS MUNCIPIOS DEL DEPARTAMENTO.</t>
  </si>
  <si>
    <t>COLDEPORTES, UNIFICO EL PROGRAMA DE SUPERATE CON INTERCOLEGIADOS, CAUSANDO DEMORA EN LA INICIACIÓN DEL PROGRAMA.</t>
  </si>
  <si>
    <t>SE APOYARON CON ÉXITO LOS PROCESOS DE FORMACIÓN ARTÍSTICA Y CULTURAL PARA BENEFICIO DE NIÑOS Y NIÑAS DE 6 A 11 AÑOS, EN 89 MUNICIPIOS</t>
  </si>
  <si>
    <t>1, TANTO LA ESTRATEGIA REGIONAL DE TUTORES COMO LA DE PROMOTORES DE LECTURA LLEGARON A NUESTRO DEPARTAMENTO A TRAVÉS DE LA ASISTENCIA TÉCNICA DE PROFESIONALES QUE JUNTO CON LOS BIBLIOTECARIOS ESTABLECIERON ACCIONES PARA LA ORGANIZACIÓN, FORTALECIMIENTO Y DINAMIZACIÓN DE 40 BIBLIOTECAS DE NUESTRO DEPARTAMENTO. SE ADELANTA EL PROYECTO PILOTO DE CERTIFICACIÓN DE COMPETENCIAS PARA 29 BIBLIOTECARIOS DE CUNDINAMARCA. 3 AUNANDO ESFUERZOS CON EL MINISTERIO DE CULTURA, LOS MUNICIPIOS DE UTICA, VILLAPINZON, SOACHA Y CAJICA RECIBIERON UNA DOTACIÓN DE EQUIPOS Y MATERIAL BIBLIOGRÁFICO POR VALOR DE $116.000.000,OO CADA UNA, DE CADA UNA DE LAS CUALES EL 20% VA DIRIGIDA A NIÑAS Y NIÑOS DE 6 A 11 AÑOS</t>
  </si>
  <si>
    <t>"SE GIRARON RECURSOS PARA APOYAR EL PAGO DEL SERVICIO DE ASEO POR VALOR DE $2,080,423,090 PARA LAS 281 IED DE LOS 109 MUNICIPIOS NO CERTIFICADOS DEL DEPARTAMENTO.</t>
  </si>
  <si>
    <t>SE HAN PROFERIDO 4 RESOLUCIONES EN LO CORRIDO DEL AÑO, DONDE SE ORDENÓ EL GIRO DE $686'803,714 A 140 IED POR CONCEPTO DE ACUEDUCTO.SE HAN PROFERIDO 4 RESOLUCIONES EN LO CORRIDO DEL AÑO, DONDE SE ORDENÓ EL GIRO POR $1,233'893,122 A 218 IED POR CONCEPTO DE ENERGÍA, SE GIRARON RECURSOS PARA APOYAR EL PAGO DEL SERVICIO DE ACUEDUCTO POR VALOR DE $700,316,491</t>
  </si>
  <si>
    <t>"1- SE ESTÁ PRESTANDO EL SERVICIO DE VIGILANCIA EN 93 IED, QUE CORRESPONDE AL 34% DE LAS IED.</t>
  </si>
  <si>
    <t>EL PORCENTAJE FALTANTE CORRESPONDE A LAS FLUCTUACIONES O MOVIMIENTOS DE PLANTA MENSUALES</t>
  </si>
  <si>
    <t>SE HAN LIQUIDADO TODAS LAS NOMINAS PROGRAMADAS.</t>
  </si>
  <si>
    <t>ALIANZA CON LA REGISTRADURIA Y REALIZACIÓN DE UNA JORNADA DE IDENTIFICACIÓN EN EL MUNICIPIO DE SOACHA DONDE SE REGISTRARON NIÑOS, NIÑAS Y ADOLESCENTES QUE LO SOLICITARON.</t>
  </si>
  <si>
    <t>24 MUNICIPIOS PARTICIPAN EN EL CONCURSO DE MURALES COLECTIVOS BICENTENARIO 2013, SOBRE LOS DERECHOS DE ANTONIO NARIÑO, PARTICIPAN NIÑOS, NIÑAS ENTRE 6-11AÑOS. EN EL MARCO DEL BICENTENARIO SE HIZO EL PACTO DE PARTICIPACIÓN CIUDADANA PARA GARANTIZAR LOS DERECHOS DE LOS NIÑOS LIDERADO POR LOS PERSONEROS Y LA COMUNIDAD DE LA PROVINCIA DE SABANA OCCIDENTE (8 MUNICIPIOS).</t>
  </si>
  <si>
    <t>SE REALIZARON ENCUENTROS Y JORNADAS DE APOYO AL DESARROLLO COMUNITARIO CON PARTICIPACIÓN DE JUNTAS INFANTILES DE ACCIÓN COMUNAL Y DE ORGANIZACIONES COMUNALES. PARTICIPARON NIÑAS Y NIÑOS, PADRES, ACUDIENTES Y REPRESENTANTES DE LOS ORGANISMOS COMUNALES. SE BRINDÓ Y GESTIONÓ APOYO LOGISTICO, DIDACITCO Y PUBLICITARIO A LOS EVENTOS DESARROLLADOS PARA PROMOVER EN LAS ORGANIZACIONES COMUNALES, LA PARTICIPACIÓN DE LAS NIÑAS Y NIÑOS DE 6 A 11 AÑOS. SE REALIZARON ENCUENTROS DE JUNTAS INFANTILES, DINAMICAS DE INTEGRACIÓN Y CONFORMACIÓN DE JUNTAS INFANTILES EN MUNICIPIOS COMO EL ROSAL, SASAIMA, SIMIJACA, MADRID, SUSA, FUQUENE, MOSQUERA, LENGUAZAQUE, ZIPACON, JUNIN, GACHALA, GACHETA, ENTRE OTROS.</t>
  </si>
  <si>
    <t>SE REALIZÓ CONVENIO CON COMPENSAR, PARA REALIZAR LOS COMPOS EN LOS 35 MUNICIPIOS.</t>
  </si>
  <si>
    <t>DENTRO DEL MARCO DEL CONVENIO DE COMPENSAR POR MEDIO DE VOLANTES INFORMATIVOS, SE ESTA TRABAJANDO SOBRE PREVENCIÓN DE ABUSO SEXUAL Y EXPLOTACIÓN SEXUAL COMERCIAL DE NIÑOS Y NIÑAS. EN TRES CORREDORES TURISTICOS EN LOS MUNICIPIOS DE SOACHA, FUSA, SILVANIA, GIRARDOT, RICAURTE, TOCAIMA, APULO, ANAPOIMA, LA MESA, VILLETA, PUERTO SALGAR, LA VEGA, NOCAIMA.</t>
  </si>
  <si>
    <t>SE CONFORMARON LOS 35 COMITES MUNICIPALES PAR LA PREVENCIÓN Y ERRADICACIÓN DEL TRABAJO INFANTIL Y ADOLESCENTES EN 35 MUNICIPIOS, DENTRO DEL MARCO DEL CONVENIO DE COMPENSAR. SE IDENTIFICARON Y CARACTERIZARON NIÑOS Y NIÑAS EN TRABAJO INFANTIL EN TODAS SUS FORMAS, EN ESCENARIOS COMO INSTITUCIONES EDUCATIVAS, HOGARES, LUGARES DE TRABAJO, ATRAVES DE LA ESTRATEGIA DE BUSQUEDA ACTIVA EN 35 MUNICIPIOS DEL DEPARTAMENTO, INCLUIDAS ZONAS RURALES A CONVENIR DONDE SE IDENTIFICARON 12 NIÑOS TRABAJADORES EN EL SEGUNDO TRIMESTRE Y 58</t>
  </si>
  <si>
    <t>EN EL MES DE JULIO SE DISEÑO LA RUTA DE ATENCION Y PROTECCION DE CUNDINAMARCA A VICTIMAS Y POSIBLE VICTIMAS DE LA TRATA DE PERSONAS INCLUYENDO DE MANERA ESPECIFICA A LOS INFANTES. EN ESTE PROCESO SE REALIZARON TALLERES PARA QUE LAS AUTORIDADES CONOCIERAN DE FONDO COMO GARANTIZAR LA ATENCION INTEGRAL AL 100% DE LAS VICTIMAS Y POSIBLES VICTIMAS</t>
  </si>
  <si>
    <t>LA EJECUCION DE LAS ACTIVIDADES SE REALIZO EN EL TOTAL DE LOS MUNICIPIOS PRIORIZADOS EN LA META PARA EL AÑO 2013 ( FOSCA, GUATAQUI, GUAYABETAL, GUTIERREZ, JERUSALEN, MEDINA, NARIÑO, PARATEBUENO, UBALA, UTICA, VERGARA, VENECIA, SAN BERNARDO, TIBACUY, GRANADA Y PASCA.)</t>
  </si>
  <si>
    <t>SE INTERVINIERON 3 INSTITUCIONES LAS CUALES SON ARBELAEZ (KIRPALAMAR). LA PALMA (MINIPI DE QUIJANO) Y PACHO (INSTITUTO TÉCNICO INDUSTRIAL AGRÍCOLA DE PACHO).</t>
  </si>
  <si>
    <t>EMBARAZO A TEMPRANA EDAD ADOLESCENTES:</t>
  </si>
  <si>
    <t>ARTICULACION PERMANENTE ENTRE LA SECRETARIA DE GOBIERNO, ICBF, FISCALIA, CON EL DPS DE PRESIDENDIA, CONJUNTAMENTE CON POLICIA DE INFANCIA Y ADOLESCENCIA CON EL FIN DE PREVENCIOS DE HOMICIDIOS Y LA COMISION DE DELITOS EN ADOLECENTES</t>
  </si>
  <si>
    <t>ENTREGA DE 19 CANASTAS PARA BASICA PRIMARIA 7 PARA BASICA SECUNDARIA Y 6 DE MEDIA. POR VALOR DE $155399.456. IMPRESIÓN DE GUIAS PARA BASICA SECUNDARIA MODELO POST PRIMARIA POR 152 JUEGOS QUE SE ENTRAGARAN EN ENERO DE 2014 POR VALOR DE $135.000.000. VISITAS DE SEGUIMIENTO Y APOYO PEDAGOGICO EN AULA DE MODELOS A LOS MUNICIPIOS DE: LA MESA, VIOTA, ALBAN, SAN BERNARDO, LENGUAZAQUE, MEDINA.</t>
  </si>
  <si>
    <t>ADMINISTRACIÓN, PROMOCIÓN Y EL CRECIMIENTO DEL OBSERVATORIO RESULTADO A LA FECHA DE 1.870 MIEMBROS.</t>
  </si>
  <si>
    <t>SE VIENE EJECUTANDO EL CONTRATO N° 153/13 A LA FECHA EL AVANCE DEL PROCESO ES DEL 40% DIRECTIVOS DOCENTES Y DOCENTES FORMADOS EN CUATRO REDES SOCIALES, 1800 DOCENTES USUARIOS DE LOS 109 MUNICIPIOS DE CUNDINAMARCA, EL CONTRATO FINALIZA EN DICIEMBRE.</t>
  </si>
  <si>
    <t>DEBIDO A DIFICULTADES EN LA LIQUIDACIÓN DEL CONVENIO QUE SE DESARROLLÓ PARA EL AÑO 2012, ESTE CONVENIO SOLO SE PUDO SUSCRIBIR EN EL MES DE NOVIEMBRE DE 2013. DEBIDO A QUE LAS IED HAN TERMINADO SUS ACTIVIDADES, LA EJECUCIÓN CON ELLAS SE INICIARÁ EN EL 2014.</t>
  </si>
  <si>
    <t>22 IED APOYADAS EN LA IMPLEMENTACIÓN DE LOS PROYECTOS PEDAGÓGICOS PRODUCTIVOS VIABILIZADOS EN EL MARCO DEL FOMENTO DEL EMPRENDIMIENTO, DE CONFORMIDAD CON LA RESOLUCIÓN NO. 07308 DEL 8 DE NOVIEMBRE DE 2013</t>
  </si>
  <si>
    <t>SE CONTRATÓ E IMPLANTARON 5 PROYECTOS DE UNIDADES PRODUCTIVAS CON COMPONENTES DE CT&amp;I, PARA DESARROLLAR PROCESOS DE EXTRACCIÓN DE HIDROCARBUROS (ACEITES ESENCIALES) DE PLANTAS PROPIAS DE CADA REGIÓN BENEFICIARIA</t>
  </si>
  <si>
    <t>CONVENIOS EN DESARROLLO CON UNAD, UNIMINUTO Y POLITECNICO, DONDE SE ARTICULAN 51 INSTITUCIONES EDUCATIVAS DEL DEPARTAMENTO.</t>
  </si>
  <si>
    <t>SE FIRMÓ UN CONVENIO DE COOPERACIÓN CON LA FUNDACIÓN SALDARRIAGA CONCHA PARA CONTINUAR CON LOS 22 PROFESIONALES DE APOYO EN LAS 35 IE DE LOS 10 MUNICIPIOS PRIORIZADOS, E INICIAR EL ACOMPAÑAMIENTO A 37 IE DE LOS 17 MPIOS PRIORIZADOS ESTE AÑO.</t>
  </si>
  <si>
    <t>240 DOCENTES EN FORMACIÓN DE BILINGUISMO EN ALIANZA CON PERSON DE COLOMBIA, 100 DOCENTES DE PRIMARIA FORMADOS EN ALIANZA CON MEN-BUNNY-BONITA Y 37 DOCENTES EN ALIANZA CON MEN- BRITISH-COUNCIL</t>
  </si>
  <si>
    <t>SE CAPACITARÓN 1200 ESTUDIANTES Y 465 DOCENTES A TRAVÉS DE DOS CONTRATOS CON ASED Y GRUPO GESTIÓN, CONTRATOS QUE SE ENCUENTRAN EN EJECUCIÓN.</t>
  </si>
  <si>
    <t>CON RECURSOS 2012 SE BRINDO COMPLEMENTO NUTRICIONAL A LOS MUNICIPIOS DE FOMEQUE, LA MESA, CUCUNUBA, CAQUEZA, FOSCA, NOCAIMA, TIBACUY, PASCA, RICAURTE, LA MESA, CACHIPAY, GUADUAS, EL COLEGIO; CON RECURSOS 2013 SE DIO CONTINUIDAD A LOS MUNICIPIOS DE PASCA Y CAQUEZA; E FIRMO ADHESION NUMERO 2 AL CONVENIOS MARCO CON EL ICBF PARA LA ATENCIÒN DE 1280 ESTUDIANTES MAS A LOS 7,279 ESTUDIANTES DE LOS GRADOS 10 Y 11 DE LAS IED QUE CUENTAN CON MEDIA TECNICA PARA UN TOTAL DE 8.559 ESTUDIANTES.</t>
  </si>
  <si>
    <t>SE LLEVO A CABO LA FIRMA A LOS CONVENIOS INTERADMINISTRATIVOS DE TRANSPORTE ESCOLAR CON LOS MUNICIPIOS NO CERTIFICADOS DEL DEPARTAMENTO, POSTERIORMENTE SE RECIBIERON LOS DECRETOS DE INCORPORACIÓN DE CADA MUNICIPIO CON LA CERTIFICACIÓN DE APERTURA DE CUENTAS Y SE ENCUENTRA EN EJECUCIÓN EN CADA MUNICIPIO BENEFICIANDO 44,732 ADOLESCENTES DE LAS IED DE CUNDINAMARCAPARA ADQUISICIÓN DE BUSES SE ESTAN RECOPILANDO LOS CDP DE LOS MUNICIPIOS GAMA, TOPAIPI, PAIME, APULO, QUIPILE, UNE, TABIO, VILLAGOMEZ, CACHIPAY, GUAYABAL DE SIQUIMA SUSA, CAQUEZA VERGARA.</t>
  </si>
  <si>
    <t>PROTECCIÓN SOCIAL QUE COMPRENDE ALOJAMIENTO, ALIMENTACIÓN, INTERVENCION TERAPÉUTICA PROFESIONAL E INTERDISCIPLINARIA PARA EL ADOLESCENTE Y SU FAMILIA EN TRABAJO SOCIAL, PSICOLOGÍA, EDUCACIÓN ESPECIAL (ADOLESCENTES CON DISCAPACIDAD), PSICOPEDAGOGÍA, FONOAUDIOLOGÍA, TERAPIA OCUPACIONAL, PEDAGOGÍA REEDUCATIVA, NUTRICIÓN, EDUCACIÓN, FORMACIÓN PARA EL TRABAJO, RECREACIÓN, CULTURA, DEPORTE, BUEN USO DEL TIEMPO LIBRE, DESARROLLO DE PROYECTOS PRODUCTIVOS Y OCUPACIONALES.</t>
  </si>
  <si>
    <t>APOYO A LAS ESCUELAS DE FORMACIÓN DEL DEPARTAMENTO, CONTRIBUYENDO A LA FORMACIÓN INTEGRAL DE LOS ADOLESCENTES UTILIZANDO COMO MEDIO EL GUSTO Y LA INCLINACIÓN POR LA PRÁCTICA DEPORTIVA, CON EL PROPÓSITO DE ORIENTAR Y PROMOVER FUTUROS CIUDADANOS CON UNA MEJOR CALIDAD DE VIDA Y UN MEJOR PERFIL HACIA EL DEPORTE.</t>
  </si>
  <si>
    <t>FOMENTO, FORTALECIMIENTO Y APOYO A LOS ORGANISMOS DEPORTIVOS DE CUNDINAMARCA PARA ELEVAR LOS NIVELES DE RENDIMIENTO Y COMPETENCIA DE NUESTROS DEPORTISTAS, GARANTIZANDO AL DEPARTAMENTO RESULTADOS POSITIVOS EN COMPETENCIAS NACIONALES E INTERNACIONALES.</t>
  </si>
  <si>
    <t>CON EL PROGRAMA DE JUEGOS INTERCOLEGIADOS, GARANTIZAMOS EL DESARROLLO Y AFIANZAMIENTO DE HABILIDADES EN LAS DISTINTAS DISCIPLINAS DEPORTIVAS DE LOS ESTUDIANTES CON EDADES ENTRE 12 Y 17 AÑOS CUMPLIDOS, A PARTIR DE LA PARTICIPACIÓN DE NUESTROS ADOLESCENTES VINCULADOS AL SISTEMA EDUCATIVO DEL DEPARTAMENTO QUIENES A TRAVÉS DE UN NIVEL SANO DE COMPETENCIA DEFINEN LAS POSICIONES EN LAS DIFERENTES DISCIPLINAS DEPORTIVAS.</t>
  </si>
  <si>
    <t>SE APOYARON CON ÉXITO LOS PROCESOS DE FORMACIÓN ARTÍSTICA Y CULTURAL PARA BENEFICIO DE LAS Y LOS ADOLESCENTES, EN 98 MUNICIPIOS</t>
  </si>
  <si>
    <t>SE HA HECHO GESTIÓN CON COLEGIOS BILINGUES DE LA REGIÓN EN ARAS DE SUSCRIBIR CONVENIOS DE COLABORACIÓN</t>
  </si>
  <si>
    <t>ESTUDIOS PREVIOS EN UNIDAD DE CONTRATACIÓN Y SOLICITUD DE DISPONIBILIDAD PRESUPUESTAL.</t>
  </si>
  <si>
    <t>282 INSTITUCIONES CON GOBIERNOS ESCOLARES CONSTITUIDOS, FINALIZA CON EL CIERRE ESCOLAR 2013.</t>
  </si>
  <si>
    <t>SE REALIZARON ENCUENTROS DE JUNTAS INFANTILES DE ACCIÓN COMUNAL CON LA PARTICIPACIÓN DE ADOLESCENTES, ORGANISMOS COMUNALES, PADRES, ACUDIENTES Y AFILIADOS DE ORGANISMOS COMUNALES. SE BRINDÓ Y GESTIONÓ APOYO LOGISTICO, DIDACITCO Y PUBLICITARIO A LOS EVENTOS DESARROLLADOS PARA PROMOVER EN LAS ORGANIZACIONES COMUNALES, LA PARTICIPACIÓN DE ADOLESCENTES DE 12 A 17 AÑOS. SE REALIZARON ENCUENTROS, CAPACITACIONES, JORNADAS DE INTEGRACIÓN Y DE APOYO AL DESARROLLO COMUNITARIO, CONFORMACIÓN DE JUNTAS INFANTILES EN MUNICIPIOS COMO MOSQUERA, EL ROSAL, JUNIN, ZIPACON, GACHALA, GACHETA, SIMIJACA, LENGUAZQUE, NARIÑO, SASAIMA, ENTRE OTROS</t>
  </si>
  <si>
    <t>EN REUNIÓN REALIZADA EL 13 DE FEBRERO DEL CONSEJO DEPARTAMENTAL DE POLÍTICA PÚBLICA SOCIAL CODEPS, HUBO PARTICIPACIÓN DE UN ADOLESCENTE REPRESENTANDO AL MUNICIPIO DE VENECIA EN LOS TEMAS DE ABORDAJE DE LA POLÍTICA DE DISCAPACIDAD DEL DEPARTAMENTO. EN REUNIÓN REALIZADA EL 12 DE JUNIO DEL CONSEJO DEPARTAMENTAL DE POLÍTICA PÚBLICA SOCIAL CODEPS, HUBO PARTICIPACIÓN DE ADOLESCENTES VIA CHAT Y SKIPE REPRESENTANDO POR EL MUNICIPIO DE PUERTO SALGAR EN LOS TEMAS DE ABORDAJE DE LA POLÍTICA DE PREVENCIÓN DE TRABAJO INFNATIL DEL DEPARTAMENTO. DENTRO DEL MARCO DEL DIA MUNDIAL DE ERRADICACIÓN DE MALTRATO INFANTIL</t>
  </si>
  <si>
    <t>DENTRO DEL MARCO DEL DIA DEL NIÑO SE IMPLEMENTÓ LA CAMPAÑA DE INFORMACIÓN, EDUCACIÓN Y COMUNICACIÓN PARA LA PREVENCIÓN DEL MALTRATO Y ABUSO SEXUAL EN ADOLESCENTES DE 12 A 17 AÑOS. CON LA PARTICIPACIÓN DE 1086 NIÑOS. POR MEDIO DEL CONVENIO 031/2013 SE SENSIBILIZARON 1084 CUNDINAMARQUESES. EN EL MARCO DE LA CAPACITACIÓN A LUDOEDUCADORAS EN MELGAR SE CAPACITARON A 81 MUNICIPIOS.</t>
  </si>
  <si>
    <t>IDENTIFICAR Y CARACTERIZAR A LOS ADOLESCENTES QUE DESARROLLEN TRABAJO INACEPTABLE EN LOS ESCENARIOS DE: INSTITUCIONES EDUCATIVAS, HOGARES Y LUGARES DE TRABAJO, ATRAVES DE LA ESTRATEGIA DE BUSQUEDA ACTIVA, EN TREINTA Y CINCO MUNICIPIOS DEL DEPARTAMENTO, LOS CUALES SE ENCONTRARON 129 NIÑOS, NIÑAS Y ADOLESCENTES TRABAJADORES EN EL SEGUNDO TRIMESTRE Y 175 EN EL TERCER TRIMESTRE,. DENTRO DELCETI DEPARTAMENTAL SE TERMINÓ DE IMPLEMENTAR LA RUTA DE ATENCIÓN EN EL SUBCOMITE DEPARATAMENTAL DE PREVENCIÓN Y ERRADICACIÓN DEL TRABAJO INFANTIL Y ADOLESCENTES. SE REALIZARON TALLERES DE SENSIBILIZACIÓN A 4115 ADULTOS.</t>
  </si>
  <si>
    <t>IDENTIFICAR Y CARACTERIZAR A LOS ADOLESCENTES QUE DESARROLLEN TRABAJO INACEPTABLE EN LOS ESCENARIOS DE: INSTITUCIONES EDUCATIVAS, HOGARES Y LUGARES DE TRABAJO, ATRAVES DE LA ESTRATEGIA DE BUSQUEDA ACTIVA, EN TREINTA Y CINCO MUNICIPIOS DEL DEPARTAMENTO, DE LOS CUALES ALGUNOS JOVENES PUEDEN TRABAJAR PERO NO ESTAN PROTEGIDOS POR EL MINISTERIO DE TRABAJO.</t>
  </si>
  <si>
    <t>EN EL MES DE JULIO SE DISEÑO LA RUTA DE ATENCION Y PROTECCION DE CUNDINAMARCA A VICTIMAS Y POSIBLE VICTIMAS DE LA TRATA DE PERSONAS INCLUYENDO DE MANERA ESPECIFICA A LOS ADOLENCENTES EN EL MES DE JULIO SE DISEÑO LA RUTA DE ATENCION Y PROTECCION DE CUNDINAMARCA A VICTIMAS Y POSIBLE VICTIMAS DE LA TRATA DE PERSONAS INCLUYENDO DE MANERA ESPECIFICA A ADOLESCENTES. EN ESTE PROCESO SE REALIZARON TALLERES PARA QUE LAS AUTORIDADES CONOCIERAN DE FONDO COMO GARANTIZAR LA ATENCION INTEGRAL AL 100% DE LAS VICTIMAS Y POSIBLES VICTIMAS</t>
  </si>
  <si>
    <t>FORTALECIMIENTO DEL CENTRO DE SERVICIOS JUDICIALES PARA ADOLENCENTES DEL MUNICIPIO DE SOACHA. Y SE DOTO AL CENTRO DE PASO DE PUERTO SALGAR PARAR ATENDER A LOS INFRACTORES DE LA LEY PENAL EN ADOLESCENTES</t>
  </si>
  <si>
    <t>SE REALIZARON SIETE ENCUENTROS PROVINCIALES PROGRAMADOS PARA EL 2013 (EN LOS MUNICIPIOS DE UBATE, GIRARDOT, FUSAGASUGA; PACHO, LA MESA Y FACATATIVA), EL IRD REALIZA LAS ACTIVIDADES DE ACTIVIDAD FISICA; A TRAVES DEL PROGRAMA DE DISCAPACIDAD SE REALIZO SEGUIMIENTO, ASESORÍA Y CAPACITACIÓN A LOS PROFESIONALES DE LOS CENTROS DE VIDA SENSORIAL EN TALLERES VOCACIONALES PARA EL DESEMPEÑO E INCLUSIÓN LABORAL. •SE CAPACITO PARA LA APLICACIÓN DE BATERÍAS DE EVALUACIÓN DE PERFILES OCUPACIONALES Y ANÁLISIS DE PUESTOS DE TRABAJO PARA LA INCLUSIÓN LABORAL. • SE CAPACITO PARA LA FORMACIÓN DE “CUIDANDO CUIDADORES DENTRO DE LA ESTRATEGIA REHABILITACIÓN BASADA EN COMUNIDAD (RBC).</t>
  </si>
  <si>
    <t>LEGALIZADOS CONVENIOS CONN 17 INSTITUCIONES DE EDUCACIÓN SUPERIOR PRIVADAS Y 9 OFICIALES, SE LEGALIZÓ CONTRATO PARA LA ADQUISICIÓN DE MATERIAL PUBLICITARIO POR VALOR DE $8'025,760 PARA LA DIFUSIÓN DEL PROGRAMA. SE REALIZARON 30 FERIAS UNIVERSITARIAS</t>
  </si>
  <si>
    <t>SE CONTRATÓ CON HIGIELECTRONIX 2 LABORATORIOS DE SALUD OCUPACIONAL</t>
  </si>
  <si>
    <t>SE POSTULARON PROPUESTAS PARA 4 CERES EN CUNDINAMARCA A UNA CONVOCATORIA REALIZDA POR EL MEN Y SE APROBARON. ESTOS CERES INICIAN OPERACIONES EN EL AÑO 2014</t>
  </si>
  <si>
    <t>EDUCACION Y LA FUNDACIÓN PARA LA APLICACIÓN Y ENSEÑANZA DE LA CIENCIA FUNDAEC, PARA LA DQUISICIÓN DE 1.894 JUEGOS DE TEXTOS DEL PROGRAMA SAT – SISTEMA DE APRENDIZAJE TUTORIAL, PARA ATENCIÓN DE JOVENES EN LOS NIVELES IMPULSOR, PRACTICO Y BACHILLER</t>
  </si>
  <si>
    <t>PROCESO DE ESTRUCTURACIÓN DE LA ESCUELA DE LIDERAZGO EN EL MARCO DEL CONVENIO 049/12 //REALIZACIÓN DE TALLERES DE FORMACIÓN CON MUNICIPIOS FOCALIZADOS: CAJICA, GACHANCIPA, LA CALERA, CHOCONTA // ARTICULACIÓN CON LA SECRETARIA DE ECONOMÍA Y COMPETITIVIDAD PARA LA IDENTIFICACIÓN DE PROPUESTAS Y FORTALECIMIENTO JUVENIL EN EMPRENDIMIENTO.</t>
  </si>
  <si>
    <t>FORTALECIMIENTO Y OPERACION LUDOTECAS PARA JOVENES 18-28 AÑOS:</t>
  </si>
  <si>
    <t>EN PROCESO DE ARTICULACIÓN CON OTRAS ENTIDADES Y ÁREAS COMPETENTES EN EL TEMA DE ETNIAS.</t>
  </si>
  <si>
    <t>SE ADELANTO EL PROCESO DE PRESTACIÓN DE SERVICIO TÉCNICO DE APOYO PARA CAPACITACIÓN A LOS MUNICIPIOS EN LAS TÉCNICAS CAMPAMPISTAS, PARA EL POSTERIOR DESARROLLO DEL PROGRAMA.</t>
  </si>
  <si>
    <t>EN LOS MUNICIPIOS DEL DEPARTAMENTO, SE HAN GARANTIZADO ESPACIOS EN BUSCA DE FORTALECER EL NIVEL COMPETITIVO DE LOS DEPORTISTAS EN EL ORDEN NACIONAL, DEPARTAMENTAL Y MUNICIPAL.</t>
  </si>
  <si>
    <t>SE ADELANTO LA DEFINICIÓN DEL PROTOCOLO PARA EL DESARROLLO DEL FESTIVAL DE DEPORTE EXTREMO EN EL DEPARTAMENTO.</t>
  </si>
  <si>
    <t>SE ADELANTO EL PROCESO DE VINCULACIÓN DE ENTRENADORES, METODOLOGOS, PREPARADORES FÍSICOS Y DEL AREA BIOMEDICA, PARA LA ATENCIÓN Y PREPARACIÓN OPORTUNA DE LOS DEPORTISTASDE ALTOS LOGROS QUE REPRESENTAN AL DEPARTAMENTO EN LOS EVENTOS NACIONALES E INTERNACIONALES.</t>
  </si>
  <si>
    <t>SE DEFINIÓ LA SELECCIÓN DE DEPORTISTAS QUE INTEGRAN EL PROGRAMA PLAN ESTRELLAS DE CUNDINAMARCA, SOLICITANDO LA DOCUMENTACIÓN REQUERIDA PARA ACCEDER A LOS ESTIMULOS.</t>
  </si>
  <si>
    <t xml:space="preserve">CONCIERTOS: 1COLEGIO STA. MARIA DE JESUS, 2HOSPITAL LA SAMARITANA, 3MUNICIPIO DE SESQUILE, 4MUNICIPIO DE MANTA, 5ANAPOIMA CORREGIMIENTO DE LA PAZ, 6CORREGIMIENTO SAN ANTONIO, 7CONCIERTO CENTRAL JOSE IGNACIO PERILLA, 8EGRESADOS UNION SOVIETICA, 9CONCIERTO INSTITUCIONAL,10ZIPACON XXXV FESTIVAL DE MUSICA CLASICA, 11CLUB COLSUBSIDIO EVENTO PROSOCIAL, 12MUNICIPIO DE SUESCA, 13MUNICIPIO DE COTA,14 AUDITORIO OLAV ROOTS, 15CONCIERTO DE GRADO FRANCISCO CHAPETON,16MUNICIPIO DE SAN JUAN DE RIOSECO, 17MUNICIPIO GACHANCIPA, 18MUNICIPIO DE SUESCA, 19CLAUSURA BICENTENARIO DE CUNDINAMARCA, 20POSESIÓN PRESIDENTE DE LA ASAMBLEA, 21HIDRO CARBUROS ARGOS, 22MUNICIPIO ZIPACÓN, 23MUNICIPIO DE SOACHA Y 24UNISUR 	</t>
  </si>
  <si>
    <t>SE APOYARON LOS JOVENES DEL DEPARTAMENTO CON SU PARTICIPACIÓN EN LOS SIGUIENTES ENCUENTROS:1. ANIVERSARIO INSTITUCIONES DEL ESTADO DE CHIHUAHUA. 2. MUNICIPIO VILLAPINZON CONCURSO DE BANDAS LA VEGA 2013. 3. MUNICIPIO SIBATE CONCURSO DE BANDAS LA VEGA 2013 Y III ENCUENTRO COROS ESCOLARES BARRANQUILLA 2013. 4INSTITUTO DE TURISMO Y CULTURA DE GIRARDOT EN EL 7MO FESTIVAL CORAL INTERNACIONAL DE COROS GUSTAVO GOMEZ ARDILA ZAPATOCA, SANTANDER AÑO 2013. 5 MUNICIPIO DE CHIA III CONCURSO DE BANDAS SINFONICA HOMENAJE AL COMPOSITOR Y DIRECTOR JOSE IGNACIO CAMACHO TOSCANO, IBAGUE TOLIMA 2013. 6. INSTITUTO CULTURA Y TURISMO VILLETA, CONCURSO NACIONAL DE BANDAS PEDRO IGNACIO CASTRO PERILLA, ANAPOIMA 2013.</t>
  </si>
  <si>
    <t>EL INSTITUTO APOYO CON DOTACIÓN DE INSTRUMENTOS Y UNIFORMES A MUNICIPIOS DEL DEPARTAMENTO 1. GUAYABAL DE SIQUIMA (UNIFORMES) 2. MUNICIPIO DE ANOLAIMA (TRAJES GRUPO DE DANZAS) 3 MUNICIPIO DE VERGARA (TRAJES EFAC) 4. MUNICIPIO DE EL PEÑÓN (VESTUARIO GRUPO DE DANZAS) 5. MUNICIPIO DE SUESCA (UNIFORMES). 6 MUNICIPIO DE COGUA (UNIFORMES). 7. MUNICIPIO DE VILLAPINZON (VESTUARIO), 8 MUNICIPIO DE FOMEQUE (INSTRUMENTOS), 9 MUNICIPIO DE GUASCA (INSTRUMENTOS)</t>
  </si>
  <si>
    <t>IDENTIFICACIÓN DE ESTRATEGIAS DE ARTICULACIÓN DE ACCIONES DENTRO DE LA SDS PARA DAR CUMPLIMIENTO A ESTA ACTIVIDAD E IDENTIFICACIÓN DE LAS INICIATIVAS PRODUCTIVAS A APOYAR</t>
  </si>
  <si>
    <t>POR UN LADO ARTICULACIÓN CON LA PLATAFORMA DE LA PÁGINA WEB PARA UN PLAN DE ACCION QUE INCLUYE DIVULGAR OFERTA INSTITUCIONAL PARA JÓVENES, PROMOCIÓN DE LA PÁGINA PARA QUE LOS Y LAS JÓVENES SE VINCULEN A LA PÁGINA, Y PROGRAMACIÓN DE FOROS. POR OTRO LADO EN PROCESO DE CONSTRUCCIÓN DE UNA ESTRATEGIA DE COMUNICACIONES, QUE PERMITA ARTICULAR LAS INICIATIVAS DE LOS Y LAS JOVENES.</t>
  </si>
  <si>
    <t>APOYO A LA REALIZACIÓN DEL IV ENCUENTRO "LOS JOVENES SE TOMAN LA NOCHE", CON EL FIN DE FORTALECER INTERCAMBIOS DE EXPERIENCIAS CULTURALES Y LA CONSTRUCCIÓN DE OTRAS FORMAS DE PARTICIPACIÓN Y AGRUPACIÓN JUVENIL.</t>
  </si>
  <si>
    <t>CONVENIO ASOCIACIÓN SCOUT DE COLOMBIA 046 DE 2012, FOCALIZACION DE 10 MUNICIPIOS PARA REALIZAR UN PROCESO DE FORMACIÓN DE UN GRUPO DE LÍDERES QUE CONFORMARÁN LOS GRUPOS SCOUT EN CADA MUNICIPIO. CONVENIO 049 DE 2012: EN PROCESO DE IDENTIFICACIÓN DE ASOCIACIONES JUVENILES A FORTALECER Y EN AJUSTE DE LAS ACCIONES PROPUESTAS.</t>
  </si>
  <si>
    <t>META GENERAL APLAZADA PARA 2014 POR APLAZAMIENTO NACIONAL DE CALENDARIO ELECTORAL//SE DEFINIÓ PARA ESTE AÑO AVANZAR EN LA SOCIALIZACIÓN DEL ESTATUTO DE CIUDADANÍA JUVENIL, ACLARANDO EL CAMBIO DE CALENDARIO PARA LA ELECCIÓN DEL CMJ.// DESDE LA SUBDIRECCION DE JUVENTUD, COMUNICACIÓN CON LOS COORDINADORES DE JUVENTUD PARA BRINDAR INFORMACIÓN SOBRE LA ELECCIÓN DE CMJ</t>
  </si>
  <si>
    <t>META APLAZADA PARA 2015 DEBIDO AL CAMBIO NORMATIVO QUE SOPORTA LA CREACIÓN DE LOS CMJ MUNICIPALES QUE SOPORTAN LA CONFORMACIÓN DEL CONSEJO DEPARTAMENTAL</t>
  </si>
  <si>
    <t>CONVENIO 049 DE 2012: FASE 3 DEL PROYECTO, EN PROCESO DE ESTRUCTURACIÓN Y AJUSTE DE LA PROPUESTA DE FORTALECIMIENTO E IDENTIFICACIÓN Y CREACIÓN DE VEEDURÍAS.</t>
  </si>
  <si>
    <t>AJUSTE DE LA ACTIVIDAD Y EN PROCESO LA IDENTIFICACIÓN DE UNA UNIVERSIDAD PARA LA REALIZACIÓN DE UN CONVENIO QUE PERMITA LA REALIZACIÓN DE ESTE DOCUMENTO.</t>
  </si>
  <si>
    <t>ALIANZA CONCERTADA. COORDINACION CON REGISTRADURIA NAL Y DPTAL Y COMO ALIADOS SENA, ANSPE, UNIDAD NAL DE VICTIMAS, SECRETARIA DE DESARROLLO SOCIAL, SECRETARIA DE ASUNTOS ESPECIALES DE SOACHA, ALCALDIA ATRAVES DE LA SECRETARIA DE DLLO SOCIAL, PARA LA REALIZACION DE JORNADAS DE IDENTIFICACION PARA POBLACION RED UNIDOS DE SOACHA (17 Y 18 DE MAYO), GIRARDOT Y 51 MUNICIPIOS MAS (24 MAYO), MEDINA Y PARATEBUENO (13 Y 14 DE JULIO).</t>
  </si>
  <si>
    <t>ALIANZA CON EL EJÉRCITO NACIONAL PARA LA EXPEDICIÓN DE LIBRETAS MILITARES, EN PROCESO DE COMPRA CARPETAS REQUERIDAS PARA EL PROCESO.</t>
  </si>
  <si>
    <t>SE BRINDO APOYO LOGISTICO, DIDACTICO Y PUBLICITARIO A LOS EVENTOS QUE SE REALIZARON: ENCUENTROS, VISITAS ADMINISTRATIVAS Y JORNADAS DE CAPACITACION, ASESORIAS Y ACOMPAÑAMIENTO DE PLENARIAS, EN LAS QUE HAN PARTICIPADO ACTIIVAMENTE JOVENES VINCULADOS A ORGANIZACIONES COMUNALES, A QUIENES SE LES GENERO CAPACIDADES DE GESTION Y SE LES PROMOVIÓ LA PARTICIPACION DE LAS Y LOS JOVENES EN LOS CUADROS DIRECTIVOS DE LOS ORGANISMOS COMUNITARIOS.</t>
  </si>
  <si>
    <t>SE APOYARON CON ÉXITO PROYECTOS LOS CUALES BENEFICIAN A LOS JÓVENES QUE PARTICIPAN EN LOS GRUPOS DE VIGÍAS QUE PROPENDEN POR LA INVESTIGACIÓN CONSERVACIÓN Y RESCATE DEL PATRIMONIO CULTURAL, EN LOS MUNICIPIOS DE JERUSALÉN, TABIO, ZIPACÓN, TENJO Y TAUSA.</t>
  </si>
  <si>
    <t>EL INSTITUTO SUSCRIBIO CONTRATO DE PRESTACIÓN DE SERVICIOS PARA PARA LA REALIZACIÓN DE TALLER DE ARTE BELENISTA EN EL MUNICIPIO DE GUADUAS.</t>
  </si>
  <si>
    <t>483 JOVENES, INCORPORADOS EN LOS PROCESOS DE SENSIBILIZACIÒN AMBIENTAL Y PROGRAMAS DE SOSTENIBILIDAD AMBIENTAL EN PROCESOS LUDICO-PEDAGOGICOS DENOMINADOS: YINCANA AMBIENTAL Y DESAFIO AMBIENTAL.</t>
  </si>
  <si>
    <t>LA META SE CUMPLE AL 100% A SU CIERRE, SE HAN INTERVENIDO 35 MUNICIPIOS DESDE EL I TRIMESTRE DE MANERA CONTINUA Y ESTOS MUNICIPIOS SON: APULO, ANOLAIMA, ARBELAEZ, AGUA DE DIOS, BITUIMA, BOJACA, CHAGUANI, CHOCONTA, CUCUNUBA, COGUA, CACHIPAY, GUAYABAL DE SIQUIMA, GUACHETA, GACHANCIPA, LA PALMA, LENGUAZAQUE, MACHETA, MEDINA, NOCAIMA, NEMOCON, NILO, NIMAIMA, PARATEBUENO, PACHO, PASCA, RICAURTE, SAN JUAN DE RIOSECO, SAN CAYETANO, SESQUILE, SUESCA, SAN BERNARDO, SUTATUSA, SAN ANTONIO DEL TEQUENDAMA, SUPATA, SAN FRANCISCO.</t>
  </si>
  <si>
    <t>FOCALIZACIÓN DE 12 MUNICIPIOS PARA EL DESARROLLO DEL PROCESO DE ACOMPAÑAMIENTO, CONTACTO CON LAS ADMINISTRACIONES E INICIO DE LAS ACCIONES DE FORMACIÓN LA PROPUESTA DE ABORDAJE DE LAS ADICCIONES PROPUESTO POR EL DEPARTAMENTO.</t>
  </si>
  <si>
    <t>EN EL MES DE JULIO SE DISEÑO LA RUTA DE ATENCION Y PROTECCION DE CUNDINAMARCA A VICTIMAS Y POSIBLE VICTIMAS DE LA TRATA DE PERSONAS INCLUYENDO DE MANERA ESPECIFICA A LOS JOVENES. ADICIONALMENTE SE REALIZO LA CAPACITACION EN LEY 985/05. A LOS PERSONEROS Y SECRETARIOS DE GOBIERNO DE LOS 116 MUNICIPIOS EL 2 DE SEPTIEMBRE DE 2013 EN EL MES DE JULIO SE DISEÑO LA RUTA DE ATENCION Y PROTECCION, EN ESTE PROCESO SE REALIZARON TALLERES PARA QUE LAS AUTORIDADES CONOCIERAN DE FONDO COMO GARANTIZAR LA ATENCION INTEGRAL AL 100% DE LAS VICTIMAS Y POSIBLES VICTIMAS</t>
  </si>
  <si>
    <t>ARTICULACION PERMANENTE ENTRE LA SECRETARIA DE GOBIERNO, ICBF, FISCALIA, CON EL DPS DE PRESIDENDIA, CONJUNTAMENTE CON POLICIA DE INFANCIA Y ADOLESCENCIA CON EL FIN DE PREVENCIOS DE HOMICIDIOS Y LA COMISION DE DELITOS EN JOVENES</t>
  </si>
  <si>
    <t>SE REALIZÓ EL DISEÑO E IMPLEMENTACION DE UN MODELO DE ATENCIÓN PRIMARIA EN SALUD RESOLUTIVA Y GESTIÓN, A TRAVÉS DE PLANES DE ACCION Y GUIAS EN CANCER DE MAMA, PROSTATA, CUELLO UTERINO, COLRECTAL Y LEUCEMIAS AGUDAS PEDIATRICAS CON COBERTURA EN LOS 35 MUNCIIPIOS PRIORIZADOS EN LA META (CACHIPAY, ANAPOIMA, TENA, GRANADA, SIBATE, ALBAN, GUYABAL DE SIQUIMA, PAIME, VILLAGOMEZ, TOPAIPI, TOCANCIPA, LA CALERA, FÚQUENE, LEGUAZAQUE, SIMIJACA, SUSA, TAUSA, COGUA, SAN CAYETANO, CÁQUEZA, GUTIERREZ, QUETAME, GUAYABETAL, CHIPAQUE, SAN JUANDE RIOSECO, BELTRAN, BITUIMA, PULI, CHOOCNTA, MACHETA, MANTA, VILLAPINZON, FUSAGASUGA, PASCA Y TIBACUY),</t>
  </si>
  <si>
    <t>ALIANZAS ESTRATEGICAS CON DIFERENTES ACTORES INSTITUCIONALES DE NIVEL NACIONAL, DEPARTAMENTAL Y MUNICIPAL. - EMPODERAMIENTO Y FORTALECIMIENTO A DIFERENTES ACTORES COMUNITARIOS Y SOCIALES EN LOAS DIFERENTES INTERVENCIONES. - ACTIVIDADES DE MOVILIZACION SOCIAL. - IMPLEMENTACION Y FORTALECIMIENTO DE SISTEMA DE VIGILANCIA. - ACTIVIDADES DE INFORMACION, EDUCACION Y COMUNICACION IEC. - GENERACION Y FORTALECIMIENTO DE ESCENARIOS DE ARTICULACION INTERINSTITUCIONAL DE NIVEL DEPARTAMENTAL Y MUNICIPAL.</t>
  </si>
  <si>
    <t>"SE LLEVO A CABO LA FIRMA DEL CONTRATO DE COMPRAVENTA NO. 0157 DE 2013, CELEBRADO ENTRE EL DEPARTAMENTO DE CUNDINAMARCA – SECRETARIA DE EDUCACION Y LA FUNDACIÓN PARA LA APLICACIÓN Y ENSEÑANZA DE LA CIENCIA FUNDAEC, PARA LA DQUISICIÓN DE 1.894 JUEGOS DE TEXTOS DEL PROGRAMA SAT – SISTEMA DE APRENDIZAJE TUTORIAL, PARA ATENCIÓN DE ADULTOS Y ADULTAS EN LOS NIVELES IMPULSOR, PRACTICO Y BACHILLER.</t>
  </si>
  <si>
    <t>1- FORTALECIMIENTO Y OPERACION LUDOTECAS PARA ADULTOS MAYORES DE 29 AÑOS:</t>
  </si>
  <si>
    <t>SE SOCIALIZÓ EL PROGRAMA DE JUEOGS COMUNALES A LOS PRESIDENTES DE ASOJUNTAS Y DIRECTORES DE DEPORTES , INICIANDO EL PROCESO DE INSCRIPCIÓN PARA LA PARTICIPACIÓN DE LOS MUNICIPIOS EN LA FASE ZONAL REGIONAL Y ZONAL DEPARTAMENTAL DE LOS JUEGOS COMUNALES 2013.</t>
  </si>
  <si>
    <t>SE FIRMO CONVENIO CON COLDEPORTES, QUE TRAZA LAS PAUTAS PARA EL DESARROLLO DEL PROGRAMA "HABITOS Y ESTILOS DE VIDA SALUDABLE" EN LOS MUNICIPIOS PRIORIZADOS POR EL DEPARTAMENTO.</t>
  </si>
  <si>
    <t>SE REALIZARON 4 CONCIERTOS EN EL ULTIMO TRIMESTRE POR PARTE DEL ORFEON : NOV-24 CONCIERTO CELEBRA TU MUSICA MINISTERIO DE CULTURA, DIC-7 CONCIERTO INAUGURACION ALUMBRADO NAVIDEÑO ED COLPATRIA, DIC 13: FESTIVAL DE COROS NAVIDEÑOS MUNICIPIO DE TENJO DIC 17: CONCIERTO GOBERNACIÓN</t>
  </si>
  <si>
    <t>SE APOYARON CON ÉXITO PROYECTOS LOS CUALES BENEFICIAN A LOS CUNDINAMARQUESES, NOMBRAR LAS OBRAS RESTAURADAS, EL HISTORIADOR Y EL ACTOR</t>
  </si>
  <si>
    <t>SE APOYARON CON ÉXITO LOS PROCESOS DE FORMACIÓN ARTÍSTICA Y CULTURAL PARA BENEFICIO DE LAS Y LOS ADULTOS, EN 10 MUNICIPIOS</t>
  </si>
  <si>
    <t>ALIANZA CONCERTADA. SE REALIÓ JORNADA DE IDENTIFICACION Y CARACTERIZACION EN EL MUNICIPIO DE SOACHA QUE SE LLEVARÁ A CABO LOS DIAS 18 Y 19 DE MAYO, CON EL APOYO DE LA UNIDAD NACIONAL DE VICTIMAS, REGISTRADURIA NACIONAL ,ANSPE, SENA,SECREATRIA DE DESARROLLO SOCIAL , LA SECRETARIA DE ASUNTOS ESPECIALES DE SOACHA Y LA ALCALDIA ATRAVES DE LA SECRETARIA DE DESARROLLO SOCIAL.</t>
  </si>
  <si>
    <t>SE GENERARON CAPACIDADES DE GESTION LOCAL A TRAVES DE JORNADAS DE FORMACION Y CAPACITACION, ASESORIAS, ACOMPAÑAMIENTO Y ENCUENTROS DONDE SE TRATARON TEMAS ESPECIFICOS DE PARTICIPACION CIUDADANA, LEGISLACION COMUNAL, FUNCIONES Y EMPALME DE DIGNATARIOS, REFORMA DE ESTATUTOS, LIDERAZGO COMUNITARIO, ENTRE OTROS TEMAS, DIRIGIDOS A DIGNATARIAS Y DIGNATARIOS DE ORGANISMOS COMUNALES. SE CONFORMARON COMITES SOCIOAMBIENTALES GENERADORES DE CALIDAD DE VIDA CON EL FI N DE FORTALECER LA IDENTIDAD SOCIOCULTURAL Y AMBIENTAL.</t>
  </si>
  <si>
    <t>EN EL MES DE JULIO SE DISEÑO LA RUTA DE ATENCION Y PROTECCION DE CUNDINAMARCA A VICTIMAS Y POSIBLE VICTIMAS DE LA TRATA DE PERSONAS INCLUYENDO DE MANERA ESPECIFICA A LOS JOVENES. ADICIONALMENTE SE REALIZO LA CAPACITACION EN LEY 985/05. A LOS PERSONEROS Y SECRETARIOS DE GOBIERNO DE LOS 116 MUNICIPIOS EL 2 DE SEPTIEMBRE DE 2013</t>
  </si>
  <si>
    <t>ARTICULACION PERMANENTE ENTRE LA SECRETARIA DE GOBIERNO, ICBF, FISCALIA, CON EL DPS DE PRESIDENDIA, CONJUNTAMENTE CON POLICIA DE INFANCIA Y ADOLESCENCIA CON EL FIN DE PREVENCIOS DE HOMICIDIOS Y LA COMISION DE DELITOS EN LOS ADULTOS Y ADULTAS</t>
  </si>
  <si>
    <t>DIÁLOGO CON LA DEFENSORIA PARA GENERAR ESTRATEGIAS DE TRABAJO CONJUNTO.</t>
  </si>
  <si>
    <t>RECONOCIMIENTO DE LA PERSONA MAYOR COMO SUJETO DE DERECHOS; LEY 1315 DE 2009, LEY 1276/09 Y METODOLOGIA INTEGRADA DE PARTICIPACION SOCIAL DE Y PARA ADULTOS MAYORES. RESPECTO AL OPERADOR CONTRATADO EL CUAL REALIZARA LA IMPLEMENTACION DE LAS FASES CORRESPONDIENTES A: - RUTA ESTRATEGICA PARA EL DISEÑO DE LA POLITICA PUBLICA DE ENVEJECIMIENTO Y VEJEZ CORRESPONDIENTES A LA FASE DE, CARACTERIZACION, IMPLEMENTACION DE LA METODOLOGIA INTEGRADA DE PARTICIPACION SOCIAL DE Y PARA ADULTO MAYORES (MIPSAN) Y LA VALIDACION Y DEFINICION DE LINEAMIENTOS DE POLITICA PUBLICA .</t>
  </si>
  <si>
    <t>RESPECTO A LA VACUNACION DE LAS ADULTAS Y ADULTOS MAYORES SE LLEGA A 12.300 PERSONAS MAYORES.</t>
  </si>
  <si>
    <t>A TRAVÉS DEL CONTRATO DE SUMINISTRO NO 24 DE 2013/ OBJETO SUMINISTRAR BIENES Y SERVICIOS PARA MEJORAR Y FORTALECER LA SEGURIDAD ALIMENTARIA Y NUTRICIONAL DE … ADULTO MAYOR EN EL DEPARTAMENTO DE CUNDINAMARCA, SE DISTRIBUYERON 2074 PAQUETES ALIMENTARIOS EN 51 MUNICIPIOS.</t>
  </si>
  <si>
    <t>"SE LLEVO A CABO LA FIRMA DEL CONTRATO DE COMPRAVENTA NO. 0157 DE 2013, CELEBRADO ENTRE EL DEPARTAMENTO DE CUNDINAMARCA – SECRETARIA DE EDUCACION Y LA FUNDACIÓN PARA LA APLICACIÓN Y ENSEÑANZA DE LA CIENCIA FUNDAEC, PARA LA DQUISICIÓN DE 1.894 JUEGOS DE TEXTOS DEL PROGRAMA SAT – SISTEMA DE APRENDIZAJE TUTORIAL, PARA ATENCIÓN DE ADULTOS Y ADULTAS MAYORES EN LOS NIVELES IMPULSOR, PRACTICO Y BACHILLER.</t>
  </si>
  <si>
    <t>ACT. SE REALIZÓ EN EL 2012, CONVENIO FUNDASET. IMPLEMEN. 40 UNIDADES PRODUCTIVAS EN 3 MPIOS DEL DPTO A TRAVES DE 7 SESIONES: 1:PLANEACION HUERTA, ESTABLECIMIENTO DE CULTIVOS,</t>
  </si>
  <si>
    <t>SE REALIZÓ LA ETAPA PRECONTRACTUAL PARA LA CREACIÓN DEL BANCO DE SABERES IMPACTANDO INICIALMENTE 5 MUNICIPIOS: MADRID-VERGARA-COTA- GIRARDOT- UBATÉ, PERO DICHOS PROCESOS NO SURTIERON EL PROCESO DE REGISTRO PRESUPUESTAL POR TIEMPO Y SE DISEÑARON LOS LINEAMIENTOS DEL BANCO DE SABERES</t>
  </si>
  <si>
    <t>SE ESTÁ ESTRUCTURANDO LOS LINEAMIENTOS PARA LLEVAR A CABO ESTA ACTIVIDAD EN EL 2014</t>
  </si>
  <si>
    <t>1- DESARROLLO SICOMOTRIZ Y SOCIAL ADOLESCENTES 12-17AÑOS:</t>
  </si>
  <si>
    <t>SE HA ADELANTADO EL PROTOCOLO PARA EL DESARROLLO DEL PROGRAMA, VINCULANDO EL SERVICIO TÉCNICO REQUERIDO Y DEFINIENDO LOS MUNICIPIOS QUE PARTICIPARÁN EN LAS OLIMPIADAS "VEJEZ DIVINO TESORO 2013".</t>
  </si>
  <si>
    <t>A LA FECHA SE HAN EMITIDO 29 CDP'S E IGUAL NÚMERO DE RPC'S, CORRESPONDIENTES A 11 NÓMINAS, 5 SENTENCIAS Y 13 AUXILIOS FUNERARIOS, PARA UN VALOR EJECUTADO A 30 DE SEPTIEMBRE DE 2013 TOTAL DE $27,534'081,019.</t>
  </si>
  <si>
    <t>SE DEJO EL ACTO ADMINSITRATIVO PARA LA CREACION CONSEJO DEPARTAMENTAL DEL ADULTO MAYOR DE CUNDINAMARCA</t>
  </si>
  <si>
    <t>SE REALIZÓ JORNADA EN EL MUNICIPIO DE SOACHA DONDE SE ATENDIERON 50 ADULTOS MAYORES Y EN SILVANIA DONDE SE ATENDIERON 3 ADULTOS MAYORES EL 24 DE MAYO.</t>
  </si>
  <si>
    <t>348 MUJERES Y 434 HOMBRES MAYORES DE 60 AÑOS PROTEGIDOS CON ALOJAMIENTO, ALIMENTACIÓN, RECREACIÓN BUEN USO DEL TIEMPO LIBRE, DESARROLLO DE PROYECTOS OCUPACIONALES, SERVICIOS PROFESIONALES ESPECIALIZADOS: TRABAJO SOCIAL, PSICOLOGÍA, GERONTOLOGÍA, NUTRICIÓN, DOTACIÓN INDIVIDUAL DE VESTUARIO Y ASEO, ACCESO A SERVICIOS DE SALUD Y SERVICIOS FUNERARIOS PARA PERSONAS SIN FAMILIA.</t>
  </si>
  <si>
    <t>EN EL MES DE JULIO SE DISEÑO LA RUTA DE ATENCION Y PROTECCION DE CUNDINAMARCA A VICTIMAS Y POSIBLE VICTIMAS DE LA TRATA DE PERSONAS INCLUYENDO DE MANERA ESPECIFICA LOS ADULTOS MAYORES. ADICIONALMENTE SE REALIZO LA CAPACITACION EN LEY 985/05. A LOS PERSONEROS Y SECRETARIOS DE GOBIERNO DE LOS 116 MUNICIPIOS EL 2 DE SEPTIEMBRE DE 2013.</t>
  </si>
  <si>
    <t>SE EJECUTO EL CONVENIO SDS 019 CON LA FUNDACIÓN TORRE FUERTE, EN 13 MUNICIPIOS DIPLOMADO DE CUIDADOR DE ADULTO MAYOR CON UNA POBLACIÓN ATENDIDA DE 299 PERSONAS</t>
  </si>
  <si>
    <t>ARTICULACION PERMANENTE ENTRE LA SECRETARIA DE GOBIERNO, ICBF, FISCALIA, CON EL DPS DE PRESIDENDIA, CONJUNTAMENTE CON POLICIA DE INFANCIA Y ADOLESCENCIA CON EL FIN DE PREVENCIOS DE HOMICIDIOS Y LA COMISION DE DELITOS EN ADULTOS MAYORES</t>
  </si>
  <si>
    <t>ESTA META REPORTÓ AVANCE DURANTE EL 2013 DE 145 VIVIENDAS BENEFICIADAS CON PROYECTOS DE CONSTRUCCION DE INFRAESTRUCTURA URBANISTICA..</t>
  </si>
  <si>
    <t>ESTA META REPORTA AVANCE DE 4.517 VIVIENDAS RURALES APOYADAS EN SU CONSTRUCCION. DENTRO DE LA CONVOCATORIA DE BANCO AGRARIO FUERON APROBADOS 74 DE LOS 91 PROYECTOS PRESENTADOS PATRA UN TOTAL DE VIVIENDAS DE 3.404. 1.517 VIVIENDAS APOYADAS EN SU CONSTRUCCION CON LA CONVOCATORIA DE CADENAS PRODUCTIVAS DEL BANCO AGRARIO EN PARA LOS MUNICIPIOS DE NIMAIMA, NOCAIMA, SAN FRANCISCO, VERGARA, QUEBRADANEGRA, LA VEGA, LA PEÑA, UTICA, ALBAN Y SASAIMA. SE APOYA EN PROCESOS DE ESCRITURACION A 907 FAMILIAS DE LOS 10 MUNICIPIOS DE LA PROVINCIA DE ORIENTE.</t>
  </si>
  <si>
    <t>EN LA VIGENCIA 2013 SE SUSCRIBIERON CONVENIOS CON LOS MPIOS DE MEDINA, SAN JUAN DE RIOSECO, PACHO Y RICAURTE EN EL MARCO DEL PROGRAMA DE VIVIENDA GRATUITA. GIRARDOT UNA PRORROGA Y ADICION DE RECURSOS AL CONVENIO DE COOPERACION UV-002-2012 TAMBIEN DE VIVIENDA GRATUITA. SE SANCIONÓ LA ORDENANZA NO.179 DE 2013 DE EXENCION DEL IMPUESTO DE REGISTRO PARA LOS PROYECTOS DEL PROGRAMA DE VIVIENDA GRATUITA EN CUNDINAMARCA. ESTA ORDENANZA APOYA A 4.221 VIVIENDAS GRATIS. EN EL MUNICIPIO DE SOACHA SE ENTREGARON 984 VIVIENDAS GRATIS EN DONDE EL DPTO APORTO LA EXCENCION DEL IMPUESTO DE REGISTRO PARA DICHAS VIVIENDAS.</t>
  </si>
  <si>
    <t>SE SUSCRIBIERON 10 CONVENIOS CON VARIOS MUNICIPIOS PARA EL MEJORAMIENTO DE 243 VIVIENDAS RURALES DENTRO DE LA CONVOCATORIA DE SANEAMIENTO BASICO DEL BANCO AGRARIO CON UNA INVERSION DPTAL DE $475.20 MILLONES DE PESOS. SE SUSCRIBIERON 12 CONVENIOS CON VARIOS MUNICIPIOS DENTRO DE LA CONVOCATORIA DE LA UAE DE VIVIENDA SOCIAL PARA 544 MEJORAMIENTOS DE VIVIENDA CON UNA INVERSION DE $1.633,93 MILLONES PESOS.</t>
  </si>
  <si>
    <t>DURANTE EL 2013, SOLO SE SUSCRIBIO 1 CONVENIO CON EL MUNICIPIO DE UBATE PARA EL MEJORAMIENTO DE 26 VIVIENDAS URBANAS.</t>
  </si>
  <si>
    <t>SE SUSCRIBIERON 5 CONVENIOS CON LOS MUNICIPIOS DE NARIÑO, EL ROSAL, TOPAIPI Y GUASCA Y CON FONDECUN PARA BENEFICIAR A 1.043FAMILIAS RURALES CON UNA INVERSION DE $3.039,18 MILLONES DE PESOS.</t>
  </si>
  <si>
    <t>SE SUSCRIBIERON 2 CONVENIOS CON FUNZA Y MADRID PARA EL MEJORAMIENTO BARRIAL QUE BENEFICIA A 482 VIVIENDAS.</t>
  </si>
  <si>
    <t>COMO CONDICIONES PREVIAS A LA TITULACION DE PREDIOS SE HA EFECTUADO UNA SERIE DE ACTIVIDADES A SABER: LA CONTRATACION DE UN CARTOGRAFO, UN ABOGADO, A LA FECHA SE HA DESARROLLADO PLANOS DISEÑOS Y ESTUDIOS EN LOS MUNICIPIOS DE SASAIMA, TOPAIPI, SOACHA, PARATEBUENO Y ARBELAEZ</t>
  </si>
  <si>
    <t>SE REALIZÓ CONVOCATORIA A LOS MPIOS PARA PRESENTAR PROYECTOS DE MEJORAMIENTO DE VIVIENDA ANTE EL BANCO AGRARIO. SE CONVOCÓ A LOS MPIOS PARA PRESENTAR PROYECTOS DE PISOS ANTIBACTERIALES PARA SU FINANCIACIÓN CON RECURSOS DEL SNR. EN TOTAL HAN PRESENTADO PROYECTOS 40 MUNICIPIOS.</t>
  </si>
  <si>
    <t>SE CONTRATÓ UNA ARQUITECTA A FIN DE REALIZAR LA REFORMULACIÓN TÉCNICA DEL PROYECTO HABITABILIDAD (MEJORAMIENTO DE VIVIENDA PISOS Y TECHOS). ACTUALMENTE SE HAN VISITADO 220 VIVIENDAS DE UN TOTAL DE 535.</t>
  </si>
  <si>
    <t>SE RETOMÓ UN PROCESO DE ARTICULACIÓN CON EL FONDO NACIONAL DEL AHORRO PARA INFORMAR A FAMILIAS DE RED UNDIOS ACERCA DE LOS MECANISMOS DE AHORRO. EL 17 Y 18 DE MAYO SE REALIZÓ LA PRIMERA JORNADA DEL 2013 EN EL MUNICIPIO DE SOACHA.</t>
  </si>
  <si>
    <t>AUNQUE AÚN NO SE HA INICIADO EL PROCESO DE ENTREGAS , SE ESTÁ ADELANTANDO CONVENIO CON CAJICÁ PARA LA CREACIÓN DE UN NUEVO BANCO DE ALIMENTOS, MEDIANTE EL CUAL SE ATENDERÁN 600 PERSONAS EN ESTADO DE VULNERABILIDAD, MEDIANTE LA ENTREGA MENSUAL DE UN MERCADO. PROXIMAMENTE SE REALIZARÁ CONVENIO CON UN MUNICIPIO QUE ESTÁ POR DEFINIRSE CON EL QUE SE ATENDERÁN 400 FAMILIAS EN VULNERABILIDAD. DE IGUAL FORMA, MEDIANTE UN CONVENIO CON EL SENA SE BRINDARÁ FORMACIÓN COMPLEMENTARIA A ALGUNOS DE LOS BENEFICARIOS DE LOS BANCOS DE ALIMENTOS.</t>
  </si>
  <si>
    <t>SE ESTÁ REALIZANDO DIAGNÓSTICO A 47 PLANTAS DE SOYA, DONDE SE CONCLUIRÁ LAS PLANTAS CON LAS CUALES SE REALIZARÁN LOS CONVENIOS.SE HAN LLEVADO A CABO REUNIONES CON EL SENA PARA REALIZAR UN CONVENIO DE CAPACITACIÓN Y APOYO A LOS GRUPOS QUE OPERAN LAS PLANTAS DE SOYA, SE LLEVÓ A CABO UNA REUNIÓN EN GIRARDOT CON LOS INSTRUCTORES DE TODOS LOS CENTROS DEL SENA EN EL DPTO DE CUNDINAMARCA. SE HA HECHO GESTIONES CON COLSUBSIDIO PARA LA POSIBLE COMPRA DE REFIGERIOS DE SOYA POR PARTE DE ESTA ENTIDAD. SE HA REALIZADO REUNION CON CLUB ROTARIO PARA EL APORTE DE SOYA POR PARTE DE ESTA ENTIDAD A CADA UNA DE LAS PLANTAS.</t>
  </si>
  <si>
    <t>JORNADAS PERMANENTE EN LOS 116 MUNICIPIOS CON EL FIN DE LA DULGACION Y CAPACITACION DE QUE LA POBLACION CONOZCA LOS SERVICIOS DE JUSTICIA Y ACCEDAN DE MANERA EFICAZ Y OPORTUNA</t>
  </si>
  <si>
    <t>SE DESARROLLAN ACTIVIDADES DE CAPACITACION, ASISTENCIA TECNICA, ANALISIS DE CALIDAD DE DATOS, ASISTENCIA DE PACIENTES DE LEPRA ATRAVEZ DE LABORATORIO DE SALUD PUBLICA, Y LA RED DE LABORATORIOS DE LOS 116 MUNICIPIOS.</t>
  </si>
  <si>
    <t>SE HAN REALIZADO JORNADAS DE BUSQUEDA ACTIVA COMUNITARIA E INSTITUCIONAL, ASI COMO CAPACITACIONES A MUNICIPIOS DE GIRARDOT Y SOACHA EN CUMPLIMIENTO DE CONVENIO INTERADMINISTRATIVO DEL SANATORIO DE AGUA DE DIOS CON EL MINISTERIO DE SALUD, ALLI SE CANALIZARON 4 CONVIVIENTES AL DIAGNOSTICO.</t>
  </si>
  <si>
    <t>PARA ESTE AÑO 2013 POR P.I. DEBERIAMOS LOGRAR EL 0,5 INDICE DE INFESTACION EL CUAL SE LOGRA AL CIERRE Y CON LA SIGUIENTE EXPLICACION: SE HAN REPORTADO 2673 CASOS DE DENGUE Y 35 CASOS DE DENGUE GRAVE. SIENDO EL MUNICIPIO DE GIRARDOT EL QUE APORTA LA MAYOR CARGA DE ENFERMEDAD SEGUIDO DE LOS MUNICIPIOS DE LA MESA, ARBELÁEZ, Y GUADUAS, SE REALIZARON 2 “JORNADAS DEPARTAMENTALES PARA LA PREVENCIÓN Y CONTROL DEL DENGUE”, EN LAS CUALES SE BUSCA INTERVENIR LOS FACTORES DE RIESGO ASOCIADOS A ESTE EVENTO, PROMOVER LA PARTICIPACIÓN SOCIAL, REALIZAR CAMPAÑA DE RECOLECCIÓN DE INSERVIBLES Y REALIZAR CAMPAÑA DE CONTROL LARVARIO CON EL FIN DE DISMINUIR LOS ÍNDICES DE INFESTACIÓN VECTORIAL.</t>
  </si>
  <si>
    <t>CUANDO SE PLANTEO LA CANTIDAD SOLO SE INCLUYO LA POBLACION VINCULADA, SIN EMBARGO BUSCANDO MAYOR COBERTURA SE DECIDIO ENTREGAR A LAS E.S.E. LAS PRUEBAS PARA QUE ESTAS LAS REALIZARAN Y LAS FACTURARAN A LOS DIFERENTES ENTES RESPONSABLES DE PAGO Y SIGUIERAN COMPRANDO MANTENIENDO EL STOP INICIAL Y GARANTIZAR DE ESTA MANERA LA COBERTURA; PARA EL IV TRIMESTRE SE HA PROGRAMADO ENTREGAR A LAS E.S.E QUE NO SE LES ENTREGO INICIALMENTE, POR LO TANTO SE TOMARA COMO MANTENIMIENTO.</t>
  </si>
  <si>
    <t>CON LA ASISTENCIA TÉCNICA AL EQUIPO DE LOS AUDITORES DE LA DIRECCIÓN DE ASEGURAMIENTO, SE LOGRÓ QUE EL PERSONAL TENGA LAS CONDICIONES TÉCNICAS E INSTRUMENTOS PARA HACER LA ASISTENCIA TÉCNICA Y LAS AUDITORIAS CORRESPONDIENTES, PARA LOGRAR INFORMES OBJETIVOS RESPECTO A LOS HALLAZGOS OBTENIDOS EN LAS VISITAS REALIZADAS A LAS DIFERENTES INSTITUCIONES</t>
  </si>
  <si>
    <t>CON EL FIN DE GARANTIZAR LA CALIDAD Y OPORTUNIDAD EN EL ACCESO A LA PRESTACIÓN DE LOS SERVICIOS DE SALUD A LA POBLACIÓN POBRE Y NO ASEGURADA, POBLACIONES ESPECIALES Y POBLACION VICTIMA DEL CONFLICTO ARMADO, A CARGO DEL DEPARTAMENTO, SE FIRMARON ACUERDOS CON LAS 34 ESE DE LA RED ADSCRITA DEL DEPARTAMENTO GARANTIZANDO ASI LA ATENCION A 16.246 PERSONAS NO AFILIADAS Y 840 PERSONAS AFILIADAS AL REGIMEN SUBSIDIADO, PROGAMACION DEL PAGO DE CARTERA CORRESPONDIENTE A LAS VIGENCIAS ANTERIORES, ACTUALES Y DE RECOBROS</t>
  </si>
  <si>
    <t>SE DISEÑARON, SE ELABORARON Y AJUSTARON LAS HERRAMIENTAS DE MONITOREO DE LOS INDICADORES DE LA CALIDAD EN LA PRESTACIÓN DE LOS SERVICIOS DE SALUD A LA POBLACIÓN DEL DEPARTAMENTO, INCLUYENDO LAS POBLACIONES ESPECIALES – PVCA, LAS CUALES FUERON ENTREGADAS AL EQUIPO DE AUDITORES PARA SU APLICACIÓN EN LAS INSTITUCIONES PRESTADORAS DE SERVICIOS DE SALUD DE LA RED DEL DEPARTAMENTO.</t>
  </si>
  <si>
    <t>SE HA TENIDO PARTICIPACIÓN EN LA MESA DE ETNIAS DONDE SE ACORDÓ QUE EL SECTOR CULTURAL AUNARÁ ESFUERZOS CON LA SECRETARÍA DE DESARROLLO SOCIAL Y EL ICBF , PARA EL RESCATE Y CONSERVACIÓN DEL ASENTAMIENTO DE LA CULTURA WUAMNAN EN EL MUNICIPIO DE LA MESA</t>
  </si>
  <si>
    <t>ARTICULACIÓN CON ENTES DEPARTAMENTALES Y NACIONALES PARA CONOCER OFERTAS INTERINSTITUCIONALES PARA DESARROLLAR ACCIONES CONCRETAS QUE PERMITA A LA SECRETARIA AUNAR ESFUERZOS ECONOMICOS Y HUMANOS PARA AVANZAR EN LOS COMPONENTES DE LOS PLANES DE VIDA DE LAS COMUNIDADES INDIGENAS MUISCAS.</t>
  </si>
  <si>
    <t>SE DESARROLLÓ TALLER DE CAPACITACIÓN MUNICIPIO DE MOSQUERA, DIRIGIDO A FUNCIONARIOS PUBLICOS,DE ACUERDO REUNION REALIZADA EL 27/SEP/12 Y SE LOGRÓ ABORDAR LOS TEMAS CONCERTADOS EN DICHA REUNIÓN.</t>
  </si>
  <si>
    <t>SE EVIDENCIARON LA CARPETA C-043/2012 EL CUAL APOYÓ EL PROYECTO DE CORTE Y CONFECCION DIRIGIDO A 70 FAMILIAS DE LA COMUNIDAD AFROCOLOMBIANA DEL MUNICIPIO DE SOACHA ($15.000.000). CARPETA C-045/2012 EL CUAL APOYÓ EL PROYECTO DE GASTRONOMÍA DIRIGIDO A 65 FAMILIAS DE LA COMUNIDAD ETNIA PIJAO ASENTADAS EN SOACHA ($19.960.000). CARPETA C-024/2012 EL CUAL APOYÓ LA REALIZACIÓN DE MESAS AUTONOMAS DE POBLACIÓN AFRO EN SOACHA CON EL FIN DE APOYAR PROCESOS DE ORGANIZACIÓN Y LIDERAZGO ($19.980.000). C-041/2012 APOYÓ EL PROYECTO DE FORMACIÓN, PRODUCCIÓN Y COMERCIALIZACIÓN DE CERAMICA MUISCA EN SESQUILE ($29.950.000).</t>
  </si>
  <si>
    <t>EN ARTICULACIÓN CON INDEPORTES SE LOGRÓ APOYO PARA LAS OLIMPIADAS MUISCAS PARA COTA, CHIA Y SESQUILÉ., FINALMENTE NO SE LLEVÓ A CABO EL EVENTO.</t>
  </si>
  <si>
    <t>SE EJECUTARON CUATRO CONTRATOS UNO CON RECURSOS DEL 2012 ,QUE PERMITIRON APOYAR A PERSONA CON DISCAPACIDAD, FAMILIAS Y/O CUIDADORES CON PROYECTOS PRODUCTIVOS O EMPODERAMIENTO DISCRIMINADOS ASI OLC 1-116-ARCANGELES-240-FUNDACION MARIANA ESPERANZA-60 Y OLC 2 -40</t>
  </si>
  <si>
    <t>SE EJECUTARON TRES CONTRATOS (ARCANGELS 2 - FUNDACION NIÑEZ Y DESRROLLO) PARA IMPLEMENTAR LA ESTRATEGIA DE RBC EN 18 MUNICIPIOS COMO HERRAMIENTAS PARA EL MANEJO DE LA DISCAPACIDAD, INCLUIDOS MUNCIIPIOS DEL CONTRATO CON ARCANGELES DEL 2012 Y CON LA ESCUELA COLOMBIANA DE REHABILITACION PARA CAPACITACION DE CUIDADORES EN 5 MUNICIPIOS Y CON CIREC SE CONTRATO UNA JORNADA DE REHABILITACION QUE ATENDIO 3 MUNICIPIOS</t>
  </si>
  <si>
    <t xml:space="preserve">SE APOYÓ AL MUNICIPIO DE GACHETA PARA LA REALIZACIÓN DELA NAVIDAD DIVERSAMENTE HÁBIL EN DICHO MUNICIPIO.	</t>
  </si>
  <si>
    <t>ESTE PORCENTAJE CORRESPONDE A LOS MUNICIPIOS A LOS CUALES SE ATENDIERON CON LA PRIMERA Y LA SEGUNDA ENTREGA DE AYUDAS TECNICAS GRACIAS UN PROCESO DE GESTION</t>
  </si>
  <si>
    <t>597 MUJERES Y 567 HOMBRES CON DISCAPACIDAD MENTAL PROTEGIDOS CON ALOJAMIENTO, ALIMENTACIÓN, INTERVENCIÓN TERAPÉUTICA PROFESIONAL E INTERDISCIPLINARIA: PSIQUIATRÍA, TRABAJO SOCIAL, PSICOLOGÍA, GERONTOLOGÍA, NUTRICIÓN, EDUCACIÓN FÍSICA, EDUCACIÓN ESPECIAL, TERAPIA OCUPACIONAL, TERAPIA FÍSICA Y RESPIRATORIA, RECREACIÓN, BUEN USO DEL TIEMPO LIBRE, DESARROLLO DE PROYECTOS OCUPACIONALES, DOTACIÓN INDIVIDUAL DE VESTUARIO Y ASEO, ACCESO A SERVICIOS DE SALUD Y SERVICIOS FUNERARIOS PARA PERSONAS SIN FAMILIA.</t>
  </si>
  <si>
    <t>103 ORIENTADORES FORMADOS CON DIPLOMADO EN SALUD MENTAL EN CONVENIO CON LA UNIVERSIDAD JAVERIANA Y MEN.</t>
  </si>
  <si>
    <t>ATENCIÓN A 1029 FAMILIAS DE RED UNIDOS Y EN POBREZA EXTREMA ATRAVES DE ATENCIÓN INTEGRAL (IDENTIFICACIÓN, ASESORAMIENTO, EN ASPECTOS DE AHORRO, BANCARIZACIÓN, CAPACITACIÓN PARA EL TRABAJO, SALUD, ASEGURAMIENTO, AFILIACIÓN A SISBEN Y RECREACIÓN).</t>
  </si>
  <si>
    <t>NO SE HA REALIZADO LA DEFINICIÓN DE LOS ENCUENTROS TERRITORIALES, DICHOS ENCUENTROS SE VAN A LLEVAR A CABO CON LA SECRETARÍA DE SALUD. CON LA FORMULACIÓN DE LA POLÍTICA PÚBLICA INTEGRAL ESTAMOS EN PROCESO DE RECIBIR OFERTAS Y ANÁLISIS PARA REALIZAR LA CONTRATACIÓN RESPECTIVA.</t>
  </si>
  <si>
    <t>MEDIANTE ESTRATEGIAS DE COMUNICACIÓN POR DIFERENTES MEDIOS SE LOGRA QUE LA POBLACION ESTE ENTERADA DE SUS DEBERES Y DERECHOS, DE LAS CAMPAÑAS Y JORNADAS REALIZADAS POR EL E.T IGUALMENTE DURANTE ULTIMO TRIMESTRE SE REALIZO DIAGNOSTICO DE LOS MUNICIPIOS DE SAN JUAN DE RIONEGRO Y DE MAGDALENA PARA EVALUAR LAS FORMAS DE PARTICIPACION SOCIAL</t>
  </si>
  <si>
    <t>SE HA COFINANCIADO EL ASEGURAMIENTO AL REGIMEN SUBSIDIADO A LOS 116 MUNICIPIOS, DE LOS CUALES 62 MUNICIPIOS PARTICIPARON EN LA ASISTENCIA TÉCNICA PERSONALIZADA, Y LOS 54 MUNICIPIOS RESTANTES RECIBIERON LA INFORMACIÓN VÍA CORREO ELECTRÓNICO Y EN MEDIO FÍSICO DONDE SE HIZO ENTREGA DE LA MATRIZ DE COFINANCIACIÓN DONDE SE ESTABLECE EL COMPROMISO DE PAGO CON SUS RESPECTIVOS AJUSTES. EL PERMANENTE PROCESO DE ACOMPAÑAMIENTO A LOS MUNICIPIOS HA PERMITIDO UN MAYOR CONTROL Y VERIFICACIÓN, EN LA CERTIFICACIÓN DE LOS GIROS, SIN EMBARGO LOS GIROS EFECTIVOS DEL RECURSO A LOS MUNICIPIOS ESTÁN SUJETOS A LA DISPONIBILIDAD PRESUPUESTAL, Y LA PROGRAMACION ANUAL DE LOS PAGOS,</t>
  </si>
  <si>
    <t>ASISTENCIA TECNICA DIRIGIDAS A LOS ACTORES DEL SGSSS A NIVEL MUNICIPAL PARA HACER EL LEVANTAMIENTO DE LOS LISTADOS CENSALES Y ACTUALIZAR EN EL ARCHIVO MAESTRO DE AFILIADOS EN BDUA, TENIENDO EN CUENTA LOS CÓDIGOS CORRESPONDIENTES A LOS GRUPOS POBLACIONALES ESTABLECIDOS EN LA RESOLUCIÓN 1344 DE 2012, CON UN CUBRIMIENTO DE 109 MUNICIPIOS, 10 EPS, 34 HOSPITALES DE Y A 10 EPS. EN EL ANÁLISIS DE REPORTE DE LA NOVEDAD CON LAS RESPECTIVAS ACTUALIZACIONES EN LA BDUA. 54.828 PERSONAS AFILIADAS AL SGSSS SE DISTRIBUYEN ASI: AFILIACIÓN AL RÉGIMEN SUBSIDIADO (RS): EN LA ACTUALIDAD RESIDEN EN EL DEPARTAMENTO 23.060 PERSONAS AFILIADAS AL RS MÁS 18.656 PERSONAS AFILIADAS AL RS</t>
  </si>
  <si>
    <t>EN EL PRIMER TRIMESTRE DE 2013 SE REALIZARON UN TOTAL DE 7 CONVENIOS INTERADMINISTRATIVOS Y EN EL SEGUNDO TRIMESTRE SE CELEBRARON 25 CONVENIOS</t>
  </si>
  <si>
    <t>DESARROLLO DE A ESTRATEGIA DEPORTE: SALUD, CONVIVENCIA Y PAZ, EN LOS MUNICIPIOS DEL DEPARTAMENTO, COMO COMPETENCIA FORMATIVA PARA LOGRAR EL RESPETO POR LA VIDA, LA PROMOCIÓN DE UNA DE SANA CONVIVENCIA, EL CUIDADO DE LA SALUD, EL APROVECHAMIENTO DEL TIEMPO LIBRE Y EL RECONOCIMIENTO DE LO PÚBLICO COMO DERECHO Y RESPONSABILIDAD CIUDADANA, SOPORTADOS EN UN NÚCLEO FAMILIAR ARMÓNICO, COMO FORMADOR PRIMARIO DEL SER HUMANO.</t>
  </si>
  <si>
    <t>ADECUACIÓN DE PARQUES BIOSALUDABLES, EN LOS MUNICIPIO DEL DEPARTAMENTO, GARANTIZANDO EL FOMENTO A LA ACTIVIDAD FÍSICA Y EL APROVECHAMIENTO DEL TIEMPO LIBRE EN LA POBLACIÓN, BRINDANDO AMOBLAMIENTO ADECUADO, ABIERTO Y PERMANENTE PARA GENERAR HÁBITOS Y ESTILOS DE VIDA SALUDABLE.</t>
  </si>
  <si>
    <t>SE HA DEFINIDO EL PROTOCOLO PARA EL DESARROLLO DEL PROGRAMA; SE ADELANTAN ACCIONES DE PROMOCIÓN Y DIFUSIÓN CON LOS MUNICIPIOS PARA QUE REALICEN LAS RESPECTIVAS INSCRIPCIONES PARA EL DÍA DEL DESAFÍO 2013.</t>
  </si>
  <si>
    <t>SE CUENTA CON UN TOTAL DE 1.971.565 PERSONAS ASEGURADAS AL SGSS DE LAS CUALES 932.519 ESTAN AFILIADAS AL REGIMEN SUBSIDIADO Y 1.039.046 ESTAN AFILIADAS AL REGIMEN CONTRIBUTIVO, EN EL PROCESO DE PROMOCIÓN DE LA AFILIACIÓN DE LA POBLACIÓN DEL DEPARTAMENTO, LAS POBLACIONES ESPECIALES Y POBLACION VICTIMA DEL CONFLICTO ARMADO, EL IMPACTO ES POSITIVO EN CUANTO A LA SENSIBILIZACIÓN DE LA IMPORTANCIA DE LA OPORTUNIDAD DE LA AFILIACIÓN YA QUE LOS 109 MUNICIPIOS CON ASISTENCIA TECNICA, HAN DEMOSTRADO MAYOR RESPONSABILIDAD EN CUANTO A LA CONTINUIDAD EN LA ACTUALIZACIÓN, MANEJO Y DEPURACIÓN PERMANENTE DE LAS BASES DE DATOS</t>
  </si>
  <si>
    <t>EN EL II TRIMESTRE SE PRESENTA UN INCREMENTO DE LA AFILIACIÓN DE LA POBLACIÓN AL RÉGIMEN CONTRIBUTIVO EN 1.6 PUNTOS PORCENTUALES, LO REPRESENTA UNA AUMENTO EN EL ACCESO DE LA POBLACIÓN A DIFERENTES SECTORES PRODUCTIVOS DE SUS MUNICIPIOS, SIN EMBARGO HAY UN LEVE DESCENSO EN LA AFILIACIÓN DEL 0.04% PARA UN TOTAL DE 1.038.550 AFILIADOS AL RÉGIMEN CONTRIBUTIVO, LO QUE OBEDECE A UNA ETAPA ESTACIONARIA EN LAS TEMPORADAS DE CONTRATACIÓN DE ALGUNOS SECTORES PRODUCTIVOS ESPECIALMENTE DEL AGRO Y A QUE LA POBLACIÓN EN EL SECTOR LABORAL, MANTIENE SU AFILIACIÓN AL SGSS.</t>
  </si>
  <si>
    <t>CAPACITACIÓN EN COOPERACIÓN INTERINSTITUCIONAL CON EL DPS EN FORTALECIMIENTO A LAS MUJERES AHORRADORAS EN PROYECTOS PRODUCTIVOS.</t>
  </si>
  <si>
    <t>SE BENEFICIARON CON EL CULTIVO DE QUINUA EN EL MUNICIPIO DE GUASCA, 40 MUJERES. FORTALECIMENTO DE 2 ORGANIZACIONES PRODUCTIVAS EN EL MUNICIPIO DE VIOTÁ, 26 MUJERES. CAPACITACIÓN EN FORMACIÓN PARA EL TRABAJO DEJANDO HABILIDADES Y CAPACIDADES EN EL MUNICIPIO DE BELTRÁN 105 MUJERES.</t>
  </si>
  <si>
    <t>IMPLEMENTACIÓN DE LA ESCUELA MEDIANTE CONFERENCIA LIDERAZGO Y EMPODERAMIENTO EN: SAN CAYETANO(70 MUJERES), MOSQUERA (130 MUJERES) Y GACHETÁ (100 MUJERES). CAPACITACIÓN EN PREVENCIÓN DE CANCER DE SENO Y CUELLO UTERINO MUNICIPIO DE FOSCA (500 MUJERES). ACOMPAÑAMIENTO EN LA CARRERA DE LA MUJER, COMO ESTILO DE VIDA SALUDABLE (SOACHA 1050 MUJERES ) Y (CHIA 750 MUJERES). CAPACITACIÓN EN PREVENCIÓN DE EMBARAZOS EN ADOLESCETNES EN GIRARDOT (250 MUJERES).</t>
  </si>
  <si>
    <t>SE REALIZARON EVENTOS, ENCUENTROS Y JORNADAS DE CAPACITACIÓN, FORMACIÓN, ASESORÍAS Y ACOMPAÑAMIENTO EN LAS QUE PARTICIPARON ACTIVAMENTE MUJERES DE TODAS LAS EDADES Y CONDICIONES Y A LAS QUE SE LES PROMOVIO EL LIDERAZGO Y PARTICIPACION REAL EN LAS ORGANIZACIONES COMUNALES EN BENEFICIO DE SU COMUNIDAD. SE SUSCRIBIO UN CONTRATO PARA EJECUTAR EL PROYECTO "MUJER LIDER Y LIBRE DE VIOLENCIA" PARA GENERAR ACTIVIDADES LABORALES QUE GARANTICEN CALIDAD DE VIDA A LAS MUJERES A TRAVES DE ACCIONES DE INTEGRACION SOCIAL Y PARTICIPACION CIUDADANA.</t>
  </si>
  <si>
    <t>IDENTIFICACIÓN Y DIAGNÓSTICO DE 242 ORGANIZACIONES DE MUJERES EN MUNICIPIOS. CREACION Y FORTALECIMIENTO DE 7 NUEVOS CONSEJOS CONSULTIVO MUNICIPALES CON LA PARTICIPACION DE 367 MUJERES.</t>
  </si>
  <si>
    <t>SE INICIA LA CONVOCATORIA A ORGANIZACIONES Y LIDERESAS PARA CONFORMAR EL CONSEJO DEPARTAMENTAL DE MUJER Y GÉNERO. SE INSTAURÓ LA COMISIÓN DE IGUALDAD DE OPORTUNIDADES Y SE ESTABLECE LA MESA DE TRABAJO PARA LA CONFORMACIÓN DEL COMITÉ DE SEGUIMIENTO DE LA LEY 1257 EN COORDINACION CON LA DEFENSORIA DEL PUEBLO. SE ORGANIZÓ LA COMISIÓN DE IGUALDAD DE OPORTUNIDADES MEDIANTE EL CODEPS Y LA ESCUELA DE LIDERAZGO Y PARTICIPACIÓN POLÍTICA SE ENCUENTRA PARA INSTAURAR.</t>
  </si>
  <si>
    <t>IMPLEMENTACIÓN Y CAMPAÑA DE PREVENCIÓN Y/O ERRADICACIÓN DE LAS VIOLENCIAS CONTRA LAS MUJERES EN 48 MUNICIPIOS, CUBRIENDO EN TOTAL 48.400 MUJERES CUNDINAMARQUESAS.</t>
  </si>
  <si>
    <t>CAMPAÑA DE PREVENCIÓN DE LA NO VIOLENCIA CONTRA LAS MUJERES CON EL APOYO DE LA DEFENSORIA DEL PUEBLO EN LA SECCIONAL DE FACATATIVA, CHOCONTÁ ,ZIPAQUIRÁ Y PACHO. ASISTIENDO MUJERES DE LOS DIFERENTES MUNICIPIOS VECINOS A ESTOS.</t>
  </si>
  <si>
    <t>LA DEFENSORIA DEL PUEBLO, PROCURADURIA Y ALTA CONSEJERIA CON LA ASISTENCIA DE REPRESENTANTES DE LAS ORGANIZACIONES DE MUJERES SE CREA EL COMITÉ DE SEGUIMIENTO A LA LEY 1257.</t>
  </si>
  <si>
    <t>SE HAN SUSCRITO CONVENIOS INTERADMINISTRATIVOS CON LOS MUNICIPIOS Y SE HAN ELABORADO ACUERDOS CON EL MINISTERIO DE EDUCACIÓN NACIONAL. ENTRE LOS CASOS EXITOSOS ENCONTRAMOS LA ENTREGA DE LA I.E.D. AGUSTÍN PARRA DE SIMIJACA, EN EL CUAL SE INCLUYERON OBRAS COMO AULAS, BATERÍAS SANITARIAS, ENTRE OTRAS. CON RECURSOS CERCANOS A LOS $2.526.283.538 MILLONES, DESTINADOS SEGÚN LA LEY 21, SE CONTINUARÁ MEJORANDO LA INFRAESTRUCTURA DE ESTA INSTITUCIÓN. SE HA LOGRADO UN ACUMULADO DE 278 INSTITUCIONES EDUCATIVAS INTERVENIDAS DURANTE EL 2013 PARA UN GRAN TOTAL DE 317 SEDES INTERVENIDAS 2012-2013</t>
  </si>
  <si>
    <t>DURANTE LA PRESENTE VIGENCIA SE HA SUSCRITO UN CONVENIO CON FONDECUN PARA LOS DISEÑOS DEL CENTRO REGULADOR DE URGENCIAS CONTEMPLADO DENTRO DEL PLAN DE DESARROLLO.</t>
  </si>
  <si>
    <t>DURANTE EL PRIMER SEMESTRE DE LA PRESENTE VIGENCIA SE INAUGURÓ EL NUEVO HOSPITAL NUESTRA SEÑORA DE LAS MERCEDES EN FUNZA, EN EL MES DE MAYO DE 2013. ADICIONALMENTE SE HAN SUSCRITO CONVENIOS CON FONDECUN Y CONTRATISTAS PARA LA IMPLEMENTACIÓN Y DESARROLLO DE NUEVOS PROYECTOS DE INFRAESTRUCTURA EN SALUD.</t>
  </si>
  <si>
    <t>SE ENCUENTRA EN PROCESO DE SELECCIÓN EN COORDINACIÓN CON LA SECRETARÍA DE SALUD Y DE LAS IPS, LOS PUESTOS Y CENTROS DE SALUD A INTERVENIR EN EL DEPARTAMENTO.</t>
  </si>
  <si>
    <t>•ENTRE LAS OBRAS, QUE CONTARON CON RECURSOS DEL (ICCU) PARA SER INVERTIDAS EN ESPACIOS PARA EL DEPORTE FIGURAN LOS ESTUDIOS, DISEÑOS Y CONSTRUCCIÓN DE LA CUBIERTA, GRADERÍAS Y CERRAMIENTO DEL POLIDEPORTIVO DE LA URBANIZACIÓN ALCAPARROS EN MADRID, CON UNA INVERSIÓN DE $273.730.376. - ESTUDIOS DISEÑOS Y CONSTRUCCIÓN DE LA CUBIERTA, GRADERÍAS Y CERRAMIENTO DEL POLIDEPORTIVO DEL BARRIO LARETO I, CON UNA INVERSIÓN DE $333.090.376. - ESTUDIOS, DISEÑOS Y CONSTRUCCIÓN DEL ÁREA DEPORTIVA ESPECIALIZADA EN EL COLISEO DEL MUNICIPIO DE MADRID, CON UNA INVERSIÓN $494.166.797.•	ESTUDIOS, DISEÑOS, CONSTRUCCIÓN DE CUBIERTA, GRADERÍAS Y CERRAMIENTO DEL POLIDEPORTIVO DEL BARRIO LORETO II, $ 317.420.376,00</t>
  </si>
  <si>
    <t>PARA LA CONSERVACIÓN Y RESCATE DEL PATRIMONIO SE SUSCRIBIERON LOS SIGUIENTES CONVENIOS: MUNICIPIO DE BELTRAN OBRAS DE PRIMEROS AUXILIOS PARA LA IGLESIA DE NUESTRA SEÑORA DE LA CANOA, MUNICIPIO DE LA CALERA RESTAURACIÓN DE LA CAPILLA MUNICIPAL PRIMERA FASE, CON EL MUNICIPIO DE PACHO LA ELABORACIÓN DE ESTUDIOS TÉCNICOS PARA EL HORNO DE LA FERRERIA , LA TERMINACIÓN DE PEMP DEL CENTRO HISTORICO DEL MUNICIPIO DE GUADUAS Y CON EL MUNICIPIO DE GIRARDOT EL PEMP DE LA PLAZA DE MERCADO.</t>
  </si>
  <si>
    <t>AVANCES EN TEMA CONTRATUAL DEL CONTRATO SUSCRITO EN EL PERIODO PASADO DE 2012. •	CONSTRUCCIÓN, OBRAS EXTERIORES DEL PARQUE ECOCULTURAL HERNÁN ECHAVARRÍA OLÓZAGA, CON UNA INVERSIÓN DE $497.516.000. PROYECTO EN EJECUCIÓN</t>
  </si>
  <si>
    <t>EN PROCESO DE REALIZACIÓN DE ACTIVIDADES ADMINISTRATIVAS PARA DARLE VIABILIDAD AL PROYECTO.</t>
  </si>
  <si>
    <t>EL INSTITUTO REALIZÓ UN CONVENIO SUSCRIBIENDO CON EL MUNICIPIO DE SAN JUAN DE RIOSECO EL ESTUDIO DE VULNERABILIDAD Y REFORZAMIENTO ESTRUCTURAL DEL HOSPITAL DE SAN VICENTE DE PAUL.</t>
  </si>
  <si>
    <t>1 TALLER EN LA PALMA LOS DIAS 17 Y 18 DE JUNIO PARA FORMULAR EL COMIT+E EL CUAL FUE AVALADO POSTERIORMENTE CONSITUYENDOSE ASI EL PRIMER PLAN DE PREVENCIÓN MUNICIPAL, IDENTICA SITUACIÓN SE LLEVO A CABO EN EL MUNICIPIO DE VIOTA DONDE SE LLEVO A CABO LAS REUNIONES PREPARATORIAS Y POSTERIOR AVAL DE LAS MISMAS Y COMO CONSECUENCIA SE LOGRÓ ESTLABLECER EL SEGUNDO PLAN DE PREVENCIÓN POR EL CUAL SE REALIZARON 15 PLANES DE PREVENCION MUNICIPAL PARA LAS VCA</t>
  </si>
  <si>
    <t>REUNION CON SOACHA Y DEL DISTRITO EL 15 DE MAYO, DONDE SE RECAUDAN LOS INSUNMOS Y CON POSTERIORIDAD SE ELABORA LA RUTA DE PROTECCIÓN POR PARTE DE LA OFICINA DE VÍCITMAS DE LA SECRETARÍA DE GOBIERNO, SE ARTICULARON 20 RUTAS DE PROTECCION Y UNA DEPARTAMENTAL PARA LA VIGENCIA 2013</t>
  </si>
  <si>
    <t>SE SUSCRIBIO EL CONTRATO INTERADMINISTRATIVO 076 CON LA CRUZ ROJA COMO ALTERNATIVA DE ATENCIÓN A LA POBLACION VICTIMA DEL CONFLICTO TENIIENDO EN CUENTA LA TRAYACTORIA POR PARTE DE ESTA ENTIDAD SIN ANIMO DE LUCRO EN SITUACIONES SIMILARES</t>
  </si>
  <si>
    <t>TALLER REALIZADO EN EL MUNICIPIO DE LA PALMA, CON EL FIN DE ACTUALIZAR Y FORTALECER EL COMITÉ CREADO</t>
  </si>
  <si>
    <t>SE REALIZARON JORNADAS DE SOCIALIZACION EN COMPAÑIA DE LA SUPERINTENDENCIA DE NOTARIADO Y REGISTRO A FIN DE DIVULGAR LOS PROCESOS HACIENDO HINCAPIE EN QUIENES PUEDEN ACCEDER A ÉSTE</t>
  </si>
  <si>
    <t>SE AJUSTÓ EL PLAN ESTRATEGICO CON LA ASESORIA TECNICA DE LA VICEPRESIDENCIA DE LA REPUBLICA</t>
  </si>
  <si>
    <t>SE REPORTA UN CUMPLIMIENTO DEL 100% ESPERADO PARA EL AÑO 2013</t>
  </si>
  <si>
    <t>SE SELECCIONARON 10 MUNICIPIOS QUE TIENEN MAYORES INDICES DE PRESION CADA ALCALDE DENTRO DE LOS SUBCOMITES DE ASISTENCIA Y ATENCION 10 FAMILIAS QUE SEGUN LOS CRITERIOS DE LA LEY SEGUN REQUISITOS</t>
  </si>
  <si>
    <t>PROTEGIDOS 84 NIÑOS Y NIÑAS, 77 ADOLESCENTES, 1 ADULTA MAYOR Y 2 HOMBRES CON DISCAPACIDAD MENTAL.</t>
  </si>
  <si>
    <t>LOS DIAS 17 Y 18 DE JUNIO SE EFECTUO EL ACOMPAÑAMIENTO Y FORTALECIMEINTO REALIZADO EN EL MUNICIPIO DE LA PALMA. 100%</t>
  </si>
  <si>
    <t>SE REALIZÓ JORNADA DE IDENTIFICACIÓN Y CARACTERIZACIÓN EN EL MUNICIPIO DE SOACHA DURANTE LOS DIAS 18 Y 19 DE MAYO, Y DE MANERA SIMULTÁNEA EN 30 MUNICIPIOS MAS EL 24 DE MAYO, Y DURANTE LOS DIAS DIAS 13 Y 14 DE JUNIO EN LOS MUNICIPIOS DE PARATEBUENO Y MEDINA.</t>
  </si>
  <si>
    <t>DESARROLLAR UN CONVENIO EN EL SEGUNDO SEMESTRE PARA LA ATENCION A LAS FAMILIAS PRIORIZADAS EN RED UNIDOS VCA EN DERECHOS HUMANOS,VIOLENCIA INTRAFAMILIAR Y VIOLENCIA CONTRA LAS MUJERES EN 5 PROVINCIAS "MEDINA- SOACHA-ALTO MAGDALENA-SUMAPAZ-RIONEGRO" DEL DEPARTAMENTO</t>
  </si>
  <si>
    <t>SE REALIZA EL FORTALECIMIENTO DE LA CANALIZACIÓN EFECTIVA DE LA PVCA HACIA LOS SERVICIOS DE PROMOCIÓN Y PREVENCIÓN DE LAS PERSONAS QUE LO REQUIERAN; SE BRINDA ASISTENCIA TÉCNICA PARA REALIZAR LA PROGRAMACIÓN Y EJECUCIÓN DE ACTIVIDADES DE P Y P PARA PVCA EN LOS PROGRAMAS DEL MUNICIPIOS Y SE CONSOLIDA EL REPORTE TRIMESTRAL DE ATENCIÓN EN ACCIONES DE P Y P, DE ACUERDO A LOS INFORMES TRIMESTRALES DE LOS MUNICI</t>
  </si>
  <si>
    <t>FOCALIZAR MADRES GESTANTES Y LACTANTES VCA A TRAVÉS DEL SISVAN Y DE COGESTORES DE LA RED UNIDOS DE ACUERDO A LA OFERTA ESTABLECIDA PARA CADA MPIOS, QUE REÚNAN LOS REQUISTOS PARA ACCEDER AL PROG. A LAS MUJERES FOCALIZADAS, SE LES SUMINISTRARÁ MENSUALM. UN PAQUETE DE COMPLEMENTACIÓN NUTRICIONAL. ADICIONALM. A TRAVÉS DE NUTRICIONISTAS, SE SUMINISTRARÁ APOYO TÉCNICO A LOS MPIOS PARA REALIZAR JORNADAS EDUCATIVAS EN NUTRICIÓN Y ESTILOS DE VIDA SALUDABLES. EL PROGRAMA TENDRÁ UN CUBRIMIENTO EN LOS 116 MPIOS DEL DEPTO. FOCALIZAR ADULTOS MAYORES VCA EN POBREZA, Y SUMINISTRARLES UN PAQUETE ALIMENTARIO GRATUITO EN 27 MUNICIPIOS DE ACUERDO A LA OFERTA ESTABLECIDA PARA CADA MUNICPIO POR LA SECRETARIA.</t>
  </si>
  <si>
    <t>FOCALIZAR A LOS NIÑOS Y NIÑAS MENORES DE CINCO AÑOS VCA A TRAVÉS DEL SISVAN Y DE LOS COGESTORES DE LA RED UNIDOS DE ACUERDO A LA OFERTA ESTABLECIDA PARA CADA MUNICIPIO, QUE REÚNAN LOS REQUISTOS PARA ACCEDER AL PROGRAMA. A LOS NIÑOS FOCALIZADOS SE LES SUMINISTRARÁ MENSUALMENTE UN PAQUETE DE COMPLEMENTACIÓN NUTRICIONAL. ADICIONALMENTE, A TRAVÉS DE NUTRICIONISTAS QUE HACEN PARTE DEL PROGRAMA, SE SUMINISTRARÁ APOYO TÉCNICO A LOS MUNICIPIOS PARA REALIZAR JORNADAS EDUCATIVAS EN NUTRICIÓN Y ESTILOS DE VIDA SALUDABLES. EL PROGRAMA TENDRÁ UN CUBRIMIENTO EN LOS 116 MUNICIPIOS DEL DEPARTAMENTO.</t>
  </si>
  <si>
    <t>EJECUTAR UN CONVENIO DE COOPERACION CON ENTIDADES PUBLICAS O PRIVADAS, QUE PERMITA INCLUIR LAS FAMILIAS DE LAS PERSONAS VCA CON CONDICION DE DISCAPACIDAD COMO LIDERES AGENTES DE DE CAMBIO A TRAVES DE LA ESTRATÉGIA DE REHABILIATACIÓN BASADA EN COMUNIDAD. EJECUTAR UN CONVENIO DE COOPERACION QUE PERMITA INCLUIR LAS FAMILIAS DE LAS PERSONAS VCA CON CONDICION DE DISCAPACIDAD PARA ACOMPAÑAR LA FORMACION DE PLANES DE VIDA QUE PARA EL DESARROLLO DE UNIDADES PRODUCTIVAS Y HABILIDADES OCUPACIONALES Y SOCIALES EN 5 MUNICIPIOS DEL DEPARTAMENTO. ALIANZA CON INSTITUCIONES PÚBLICAS O PRIVADAS PARA LA CONSECUCIÓN DE AYUDAS TÉCNICAS QUE BENEFICIEN A PCD VCA QUE LO DEMANDEN</t>
  </si>
  <si>
    <t>CON LA SUSCRIPCIÓN DE CONTRATO CON EL HOSPITAL PROCARDIO SERVICIOS MÉDICOS INTEGRALES LTDA SE GARANTIZA LA ATENCIÓN EN SALUD A LA POBLACIÓN POBRE NO AFILIADA A CARGO DEL DEPARTAMENTO PARA LA POBLACIÓN VÍCTIMA DEL CONFLICTO ARMADO SIN VINCULACIÓN LABORAL Y/O CAPACIDAD DE PAGO, CORRESPONDIENTE A LO NO CUBIERTO POR SUBSIDIOS A LA DEMANDA Y A LA ATENCIÓN POR EL SERVICIO DE URGENCIAS DE LOS NO AFILIADOS AL SGSSS Y POBLACIONES ESPECIALES EN SOACHA Y SUS ÁREAS DE INFLUENCIA. ADICIONALMENTE, PARA LA PRESTACIÓN INICIAL DE URGENCIAS A CARGO DEL DEPARTAMENTO EN UNA IPS CON LA QUE NO SE TENGA CONTRATACIÓN, EL SERVICIO SERÁ BRINDADO Y RECOBRADO AL AL DEPARTAMENTO A TARIFA PLENA DE SOAT.</t>
  </si>
  <si>
    <t>EN EL PROCESO DE PROMOCIÓN DE LA AFILIACIÓN DE LA POBLACIÓN DEL DEPARTAMENTO, LAS POBLACIONES ESPECIALES Y POBLACION VICTIMA DEL CONFLICTO ARMADO, EL IMPACTO ES POSITIVO EN CUANTO A LA SENSIBILIZACIÓN DE LA IMPORTANCIA DE LA OPORTUNIDAD DE LA AFILIACIÓN YA QUE LOS 109 MUNICIPIOS CON ASISTENCIA TECNICA, HAN DEMOSTRADO MAYOR RESPONSABILIDAD EN CUANTO A LA CONTINUIDAD EN LA ACTUALIZACIÓN, MANEJO Y DEPURACIÓN PERMANENTE DE LAS BASES DE DATOS YA QUE EN LAS ASISTENCIAS TÉCNICAS SE UNIFICARON CRITERIOS EN EL MANEJO LAS MISMAS, PROCESOS DE CALIDAD EN LA PRESTACIÓN DE SERVICIOS DE SALUD Y DE LA CALIDAD DE LA INTERVENTORÍA DE</t>
  </si>
  <si>
    <t>EL INDICADOR DEMUESTRA UN AVANCE DEL 94% EN COBERTURA DE LOS MUNICIPIOS Y 67% DE AVANCE EN LA COBERTURA DE LAS EAPB CON ASISTENCIA TECNICA CADA UNO, TENIENDO EN CUENTA QUE EN EL PROCESO DE PROMOCIÓN DE LA AFILIACIÓN DE LA POBLACIÓN DEL DEPARTAMENTO, LAS POBLACIONES ESPECIALES Y POBLACION VICTIMA DEL CONFLICTO ARMADO, EL IMPACTO ES POSITIVO EN CUANTO A LA SENSIBILIZACIÓN DE LA IMPORTANCIA DE LA OPORTUNIDAD DE LA AFILIACIÓN YA QUE LOS 109 MUNICIPIOS CON ASISTENCIA TECNICA AGUA DE DIOS, ALBÁN, ANAPOIMA, ANOLAÍMA, APULO, ARBELÁEZ, BELTRÁN, BOJACÁ, BITUIMA, CABRERA, CACHIPAY, CAJICÁ, CAPARRAPÍ, CÁQUEZA, CARMEN DE CARUPA, CHAGUANÍ, CHÍA, CHIPAQUE, CHOACHÍ, COGUA, COTA, CUCUNUBÁ EL COLEGIO,</t>
  </si>
  <si>
    <t>SE REALIZA EL FORTALECIMIENTO DE LA CANALIZACIÓN EFECTIVA DE LA PVCA HACIA LOS SERVICIOS DE PROMOCIÓN Y PREVENCIÓN DE LAS PERSONAS QUE LO REQUIERAN; SE BRINDA ASISTENCIA TÉCNICA PARA REALIZAR LA PROGRAMACIÓN Y EJECUCIÓN DE ACTIVIDADES DE P Y P PARA PVCA EN LOS PROGRAMAS DEL MUNICIPIOS Y SE CONSOLIDA EL REPORTE TRIMESTRAL DE ATENCIÓN EN ACCIONES DE P Y P, DE ACUERDO A LOS INFORMES TRIMESTRALES DE LOS MUNICIPIOS</t>
  </si>
  <si>
    <t>SE REALIZARON ESTRATEGIAS DE SENSIBILIZACIÓN AL PERSONAL DEL MUNICIPIO ACERCA DE LOS PROGRAMAS Y ACTIVIDADES DE PROMOCIÓN Y PREVENCIÓN PARA POBLACIÓN VÍCTIMA DEL CONFLICTO (PVC). • CAPACITACIÓN A LAS PROMOTORAS PARA LA CANALIZACIÓN EFECTIVA DE LA PVC HACIA LOS PROGRAMAS Y ACTIVIDADES DE P Y P, COMO PARTE DE LA ATENCIÓN INTEGRAL A LA POBLACIÓN IDENTIFICADA. • IMPLEMENTACIÓN INSTRUMENTO CON ENFOQUE DIFERENCIAL POR ETAPA DE CICLO VITAL, QUE CONTIENE LAS PRIORIDADES DE SALUD PÚBLICA A NIVEL DEPARTAMENTAL DIRIGIDAS A LA PVC.</t>
  </si>
  <si>
    <t>REALIZAR UN CONVENIO PARA EL DESARROLLO DE ACTIVIDADES DE FORMACION, CAPACITACIÓN Y SENSIBILIZACION A VCA, EN EL MUNICIPIO DE LA PALMA.</t>
  </si>
  <si>
    <t>FORTALECIMIENTO, CAPACITACIÓN, PLANES DE NEGOCIO Y ENTREGA DE CAPITAL SEMILLA A MUJERES DE LOS DIFERENTES MUNICIPIOS REFERENCIADOS.</t>
  </si>
  <si>
    <t>SE ATENDIERON 197 ESTUDIANTES DEL MODELO FLEXIBLE GRUPOS JUVENILES CREATIVOS, EL CUAL ESTA IMPLEMENTADO EN AGUA DE DIOS,75 LA CALERA, SIBATE Y PUERTO SALGAR SE PROYECTO LA CIRCULAR 189 PARA CONOCER COMO ESTA LA COBERTURA DE TRANSPORTE ESCOLAR Y DE LAS 282 IED, 93 IE ATENDIERON LA SOLICITUD DE LA CIRCULAR, LAS CUALES REPORTARON ESTAR ATENDIENDO 221 ESTUDIANTES, CON TRANSPORTE ESCOLAR. SE EMITIRA UNA NUEVA CIRCULAR SOLICITANDO LA INFORMACIÓN A LAS IED QUE AUN NO HAN REPORTADO.</t>
  </si>
  <si>
    <t>SE CUBRIO EL 100% DE LA POBLACIÓN EN SITUACIÓN DE DESPLAZAMIENTO EN EDAD ESCOLAR DE CUNDINAMARCA QUE DEMANDO EL SERVICIO EDUCATIVO</t>
  </si>
  <si>
    <t>ESTE AVANCE CORRESPONDE A LA RESPUESTA DE 93 IE DE LAS 282 IED ATENDIENDO LA SOLICITUD DE LA CIRCULAR 189 LOS CUALES REPORTARON 802 ESTUDIANTES VCA QUE ESTAN RECIBIENDO COMPLEMENTO NUTRICIONAL. SE EMITIRA NUEVA CIRCULAR SOLICITANDO EL REPORTE A LAS IED QUE NO ENVIARON LA INFORMACIÓN,</t>
  </si>
  <si>
    <t>EL COORDINADOR DEL PROGRAMA DE RECREACIÓN DEL INSTITUTO DEPARTAMENTAL PARA LA RECREACIÓN Y EL DEPORTE DE CUNDINAMARCA, COORDINA CON LOS SUPERVISORES DE ZONA LA IDENTIFICACIÓN DE LA POBLACIÓN VCA DE 0 A 6 AÑOS EN LOS MUNICIPIOS PRIORIZADOS POR EL DEPARTAMENTO PARA SU INCLUSIÓN EN EL PROGRAMA Y ESTIMULAR EL CRECIMIENTO ARMÓNICO Y EQUILIBRADO DEL NIÑO EN SU PRIMERA INFANCIA, A TRAVÉS DEL JUEGO DIRIGIDO.</t>
  </si>
  <si>
    <t>MEDIANTE EL PROCESO DE CAPACITACIÓN A LAS MADRES COMUNITARIAS ESTIMULAMOS EL CRECIMIENTO ARMÓNICO Y EQUILIBRADO DEL NIÑO EN SU PRIMERA INFANCIA, A TRAVÉS DEL JUEGO DIRIGIDO Y LA MATROGIMNASIA PARA EL DESARROLLO DE MOTRICIDAD, APRESTAMIENTO, MOTIVACIÓN POR LA ACTIVIDAD FÍSICA Y EL PRE-DEPORTE, ADQUISICIÓN DE FORMAS DE EXPRESIÓN, COMUNICACIÓN Y ESTABLECIMIENTO DE VÍNCULOS Y VALORES, ACORDE A NORMAS DE RESPETO, SOLIDARIDAD Y CONVIVENCIA., SIENDO LOS PADRES Y LOS CUIDADORES LOS FACILITADORES.</t>
  </si>
  <si>
    <t>EL AREA FUNCIONAL DE DEPORTE FORMATIVO DEL INSTITUTO DEPARTAMENTAL PARA LA RECREACIÓN Y EL DEPORTE DE CUNDINAMARCA, COORDINA CON LOS SUPERVISORES DE LAS PROVINCIAS DEL DEPARTAMENTO Y CON LOS ENLACES ANTE LAS PERSONERÍAS MUNICIPALES, LA IDENTIFICACIÓN E INCLUSIÓN DE LOS NIÑOS Y NIÑAS DE 6 A 11 VCA EN EL PROGRAMA DE ESCUELAS DEPORTIVAS Y CONTRIBUIR A LA FORMACIÓN INTEGRAL, UTILIZANDO COMO MEDIO EL GUSTO Y LA INCLINACIÓN POR LA PRÁCTICA DEPORTIVA.</t>
  </si>
  <si>
    <t>SE HA COORDINADO CON LOS SUPERVISORES DE ZONA LA IDENTIFICACIÓN DE LA POBLACIÓN VCA EN CADA UNO DE LOS MUNICIPIOS QUE SE INCLUIRÁ EN EL PROGRAMA.</t>
  </si>
  <si>
    <t>EL COORDINADOR DEL DEPORTE DE ALTOS LOGROS, DEL INSTITUTO DEPARTAMENTAL PARA LA RECREACIÓN Y EL DEPORTE DE CUNDINAMARCA, CON EL APOYO DE LOS SUPERVISORES DE ZONA IDENTIFICAN EN LOS MUNICIPIOS PRIORIZADOS POR EL DEPARTAMENTO CON POBLACIÓN VCA A LOS DEPORTISTAS QUE DEMUESTREN UNA APTITUD FÍSICA ESPECIAL PARA INCLUIRLO EN EL PROGRAMA DE DETECCIÓN DE TALENTOS Y RESERVA DEPORTIVA.</t>
  </si>
  <si>
    <t>EL AREA FUNCIONAL DE DEPORTE FORMATIVO DEL INSTITUTO DEPARTAMENTAL PARA LA RECREACIÓN Y EL DEPORTE DE CUNDINAMARCA, COORDINA CON LOS SUPERVISORES DE LAS PROVINCIAS DEL DEPARTAMENTO Y CON LOS ENLACES ANTE LAS PERSONERÍAS MUNICIPALES, LA IDENTIFICACIÓN E INCLUSIÓN DE LOS ADOLESCENTES VCA EN EL PROGRAMA DE ESCUELAS DEPORTIVAS Y CONTRIBUIR A LA FORMACIÓN INTEGRAL, UTILIZANDO COMO MEDIO EL GUSTO Y LA INCLINACIÓN POR LA PRÁCTICA DEPORTIVA.</t>
  </si>
  <si>
    <t>CON EL PROGRAMA DE JUEGOS INTERCOLEGIADOS, GARANTIZAMOS EL DESARROLLO Y AFIANZAMIENTO DE HABILIDADES EN LAS DISTINTAS DISCIPLINAS DEPORTIVAS DE LOS ESTUDIANTES CON EDADES ENTRE 12 Y 17 VCA, A PARTIR DE LA PARTICIPACIÓN DE NUESTROS ADOLESCENTES VINCULADOS AL SISTEMA EDUCATIVO DEL DEPARTAMENTO QUIENES A TRAVÉS DE UN NIVEL SANO DE COMPETENCIA DEFINEN LAS POSICIONES EN LAS DIFERENTES DISCIPLINAS DEPORTIVAS.</t>
  </si>
  <si>
    <t>EL ÁREA FUNCIONAL DE ACTIVIDAD FÍSICA Y APROVECHAMIENTO DEL TIEMPO LIBRE COORDINA CON LOS SUPERVISORES DE LAS PROVINCIAS DEL DEPARTAMENTO Y CON LOS ENLACES ANTE LAS PERSONERÍAS MUNICIPALES, LA INCLUSIÓN DE LOS ADULTOS Y ADULTAS VCA EN EL PROGRAMA HABITOS Y ESTILOS DE VIDA SALUDABLE.</t>
  </si>
  <si>
    <t>EL ÁREA FUNCIONAL DE RECREACIÓN COORDINA CON LOS SUPERVISORES DE LAS PROVINCIAS DEL DEPARTAMENTO Y CON LOS ENLACES ANTE LAS PERSONERÍAS MUNICIPALES, LA INCLUSIÓN DE LAS Y LOS ADULTOS VCA EN EL FOMENTO DE LA RECREACIÓN COMO UN PROCESO DE ACCIÓN PARTICIPATIVA Y DINÁMICA, QUE FACILITA ENTENDER LA VIDA COMO UNA VIVENCIA DE DISFRUTE, CREACIÓN Y LIBERTAD, EN EL PLENO DESARROLLO DE LAS POTENCIALIDADES DEL SER HUMANO</t>
  </si>
  <si>
    <t>EL ÁREA FUNCIONAL DE ACTIVIDAD FÍSICA Y APROVECHAMIENTO DEL TIEMPO LIBRE COORDINA CON LOS SUPERVISORES DE LAS PROVINCIAS DEL DEPARTAMENTO Y CON LOS ENLACES ANTE LAS PERSONERÍAS MUNICIPALES, LA INCLUSIÓN DE LAS Y LOS ADULTOS MAYORES VCA EN EL PROGRAMA HABITOS Y ESTILOS DE VIDA SALUDABLE.</t>
  </si>
  <si>
    <t>EL ÁREA FUNCIONAL DE RECREACIÓN COORDINA CON LOS SUPERVISORES DE LAS PROVINCIAS DEL DEPARTAMENTO Y CON LOS ENLACES ANTE LAS PERSONERÍAS MUNICIPALES, LA INCLUSIÓN DE LA POBLACIÓN VCA EN EL FOMENTO DE LA RECREACIÓN COMO UN PROCESO DE ACCIÓN PARTICIPATIVA Y DINÁMICA, QUE FACILITA ENTENDER LA VIDA COMO UNA VIVENCIA DE DISFRUTE, CREACIÓN Y LIBERTAD, EN EL PLENO DESARROLLO DE LAS POTENCIALIDADES DEL SER HUMANO</t>
  </si>
  <si>
    <t>CAPACITACIÒN Y SOCIALIZACIÒN DE PROYECTOS PRODUCTIVOS</t>
  </si>
  <si>
    <t>PROGRAMACIÒN DE CAPACITACIONES</t>
  </si>
  <si>
    <t>REALIZAR UN CONVENIO DE COOPERACION PARA ASOCIATIVIDAD PROYECTOS PRODUCTIVOS</t>
  </si>
  <si>
    <t>JUNTO CON LA SECRETARIA DE DESARROLLO SOCIAL DEL DEPARTAMENTO DE CUNDINAMARCA Y LA CAJA DE COMPENSACIÓN FAMILIAR COMPENSAR, ESTAMOS TRABAJANDO PARA PROMOVER Y ACOMPAÑAR EL DESARROLLO E IMPLEMENTACIÓN DE INICIATIVAS PRODUCTIVAS EN LAS FAMILIAS VINCULADAS A TRABAJO INFANTIL CON EL FIN QUE COADYUDE A LA SUPERACIÓN.</t>
  </si>
  <si>
    <t>SE REALIZÓ CON GRAN ÉXITO A TRAVÉS DE LAS ARTES CON UN TALLER DE PINTURA, SENSIBILIZAR A LAS PERSONAS VICTIMA S DEL CONFLICTO ARMADO EN EL MUNICIPIO DE VIOTA</t>
  </si>
  <si>
    <t>EL INSTITUTO REALIZARÓ DOS RECORRIDOS TURÍSTICOS A LA MINA DE SAL DE NEMOCÓN Y LA CATEDRAL DE SAL DE ZIPAQUIRA PARA LA PVCA DE LOS MUNICIPIOS DE VIOTÁ Y LA PALMA.</t>
  </si>
  <si>
    <t>DURANTE EL CUARTO TRIMESTRE DE 2013, LA META REPORTA UN AVANCE DE 30 VIVIENDAS APOYADAS EN SU CONSTRUCCION. SE SUSCRIBIERON CONVENIOS CON LOS MUNICIPIOS DE MEDINA Y SIMIJACA PARA ATENDER A POBLACION DESPLAZADA..</t>
  </si>
  <si>
    <t>SE REALIZÓ UNA ALIANZA CON ICBF PARA EL ACOMPAÑAMIENTO DE LA COMUNIDAD IDENTIFICADA WOUMAN EN EL MUNICIPIO DE LA MESA PARA DESARROLLAR EN EL 2014 UN PROYECTO PRODUCTIVO DE ARTESANIA.</t>
  </si>
  <si>
    <t>CONVENIO CON LA REGISTRADURIA NACIONAL A PARA CONJUNTAMENTE CON LA OFICINA DE VICITMAS DEL CONFLICTO ARMADO DE LA SECRETARIA DE GOBIERNO SE IDENTIFIQUE CLARAMENTE LAS VCA DEL DEPARTAMENTO</t>
  </si>
  <si>
    <t>CARACTERIZAR LA POBLACION VCA POR CAUSA DEL HECHO VICTIMIZANTE MAP Y MUSE A TRAVES DEL IMSMA "SOFTWARE Y CAPACITACION", PARA REALIZAR UN LEVATAMIENTO DEL CENSO CON APOYO DE ALCALDES, PERSONEROS Y LA CRUE, EN LOS MUNICIPIOS DONDE EXISTAN CASOS DE HECHO VICTIMIZANTE MENCIONADO.</t>
  </si>
  <si>
    <t>DENTRO DEL PAEI 2013 APROBADO POR EL COMITÉ DIRECTIVO DEL PAP-PDA SE PROGRAMARON LOS ESTUDIOS Y DISEÑOS Y LAS OBRAS IDENTIFICADAS EN LOS MUNICIPIOS VÌCTIMAS DEL CONFLICTO ARMADO EN EL DEPARTAMENTO, DE LOS CUALES SE CONTRATARON LOS ESTUDIOS Y DISEÑOS DE ACUEDUCTO DE LOS MUNICIPIOS DE VIOTÁ Y PUERTO SALGAR</t>
  </si>
  <si>
    <t>A LA FECHA A PESAR DE NO HABER RECIBIDO NINGUNA SOLICITUD O DEMANDA DE CAPACITACIÓN POR PARTE DE LA POBLACIÓN EN CONDICIÓN DE VICTIMAS DEL CONFLICTO ARMADO, SE BRINDÓ CAPACITACIÓN Y FORMACIÓN A 23 PERSONAS QUE PARTICIPARON DE LOS TALLERES DE BIOSEGURIDAD, EMPRENDIMIENTO Y TECNICA LABORAL. ADEMÁS, SE HAN ADELANTADO ACCIONES POR PARTE DEL INSTITUTO, A FIN DE ESTABLECER REUNIONES CON LA OFICINA DE ATENCIÓN INTEGRAL A VICTIMAS DEL CONFLICTO INTERNO, PARA DETERMINAR LAS ESTRATEGÍAS Y ACTIVIDADES CONJUNTAS A SEGUIR, TENIENDO EN CUENTA QUE ES ALLÍ DONDE REPOSA LA INFORMACIÓN ACTUALIZADA DE LA POBLACIÓN VCA OBJETO DE LOS TALLERES DE EMPODERAMIENTO Y LIDERAZGO COMUNITARIO OFRECIDOS POR EL IDACO.</t>
  </si>
  <si>
    <t>SE HAN AVANZADO EN LOS DISEÑOS POR PARTE DE LA UNIVERSIDAD NACIONAL PARA ÉSTE PROYECTO GRACIAS AL CONVENIO SUSCRITO CON ÉSTA ENTIDAD CUYO OBJETO ES LA ELABORACIÓN DE ESTUDIOS TÉCNICOS PARA LA CONSTRUCCIÓN DEL CENTRO REGIONAL DE ATENCIÓN DE VÍCTIMAS, QUE SERÁ LOCALIZADO EN EL MUNICIPIO DE SOACHA CUNDINAMARCA.</t>
  </si>
  <si>
    <t>SE CONCERTÓ CON LA DRA. ADRIANA RAMIREZ SECRETARIA DE GOBIERNO RECIBIR LA META PARA SU EJECUCIÓN DEBIDO A QUE EN EL DECRETO ORDENANZAL 08 DEL 01 DE ENERO DE 2012, Y EN PARTICULAR LOS ARTÍCULOS 138, 142 Y 143 LA DIRECCIÓN, COORDINACIÓN Y ARTICULACIÓN DE LA POLÍTICA PÚBLICA PARA LA ATENCIÓN, ASISTENCIA Y REPARACIÓN INTEGRAL DE LAS VICTIMAS DEL CONFLICTO ARMADO EN EL DEPARTAMENTO DE CUNDINAMARCA CORRESPONDE A LA SECRETARÍA DE GOBIERNO, POR LO CUAL FUE CREADA LA OFICINA DE ATENCIÓN INTEGRAL A LAS VICTIMAS DEL CONFLICTO INTERNO.</t>
  </si>
  <si>
    <t>SOLO SE PROGRAMO ACTIVIDAD PARA EL MES DE DICIEMBRE, NO OBSTANTE SE HA VENIDO SOCIALIZANDO EL TEMA SOBRE QUE COMUNIDAD QUIERE QUE SE APOYE EN LA RENDICION QUE POR LEY DEBE EFECTUAR</t>
  </si>
  <si>
    <t>SE SUSCRIBIERON 7 CONVENIOS CON LOS MPIOS DE ORIENTE, PARA LA REVISIÓN DE LOS EOT. ASI MISMO EN CUMPLIMENTO DEL DECRETO 019/2012 Y LA LEY 1523 DE 2013 QUE ESTABLECE LA INCORPORACION DE LA GESTION DEL RIESGO EN LA REVISION DE LOS POT, GARANTIZANDO LA DELIMIENTACION Y ZONIFICACION DE LAS AREAS DE AMENAZA Y RIESGO, CON LAS RESPECTIVAS MEDIDAS DE MITIGACION. EL DEPARTAMENTO FORMALIZÓ CONVENIOS CON (CAR Y 22 MPIOS) Y (CORPOGUAVIO Y 8 MPIOS) PARA ESTE FIN QUE ES LA 1 FASE DE LA REVISION DE LOS POT. ASÍ MISMO POR LA CONDICIONES DE AMENAZA EN UTICA SE APOYO LA ELABORACION DEL MODELO DE IMPLANTACION PARA REUBICAR LA IEC, EL C. SALUD, POLIDEPORTIVO, CANCHA FUTBOL Y VIVIENDA.</t>
  </si>
  <si>
    <t>SE CUMPLIO EL 100% DE LA META YA QUE A LA FECHA ESTA ENTREGADA LA CARTOGRAFIA BASICA ESCALA 1:10.000 A 59 MUNICIPIOS DEL DEPARTAMENTO LO CUAL SUPERA EL 50% PROGRAMADO</t>
  </si>
  <si>
    <t>EN EL MARCO DEL PRICC SE SUSCRIBIO UN CONVENIO CON EL PNUD PARA ARTICULAR UNA PROPUESTA DE LINEAMIENTOS METODOLOGICOS PARA LA INCORPORACIÓN DEL CC EN EL ORDENAMIENTO TERRITORIAL QUE ES LA BASE PARA EL DESARROLLO DEL PROYECTO PILOTO, SE CUENTA CON UNA PROPUESTA METODOLOGICA QUE ESTA EN REVISIÓN Y AJUSTE</t>
  </si>
  <si>
    <t>N.A.</t>
  </si>
  <si>
    <t>SE ENCUENTRA EN EVALUACIÓN LAS DIFERENTES ALTERNATIVAS DE ABORDAR EL TEMA DEL ORDENAMIENTO REGIONAL TERRITORIAL EN CUNDINAMARCA. QUE GARANTICE LA INCLUSION DE LA VISIÓN, EL ORDENAMIENTO ASI COMO DEL IMAGINARIO DE TODOS LOS SECTORES Y MPIOS, INDENTIFICANDO LA NECESIDAD DE UNA METODOLOGIA PARA ELLO.</t>
  </si>
  <si>
    <t>INCREMENTO DE AREAS PARA LA CONSERVACION DEL RECURSO HIDRICO , MEDIANTE PROCESOS DE ADQUISICION DE PREDIOS DE CONSERVACION EN LOS MUNICIPIOS DE MEDINA, ARBELAEZ,VENTAQUEMADA(BOYACA), UNE, SAN BERNARDO, CHOACHI, YACIPI, GACHALA, PACHO, PASCA, VENECIA, GUATAVITA, CABREARA. CON LA ADQUISICIÓN DE 3113.48 HECTAREAS DE LA VIGENCIA 2013 SE BUSCA ASEGURAR LA OFERTA HIDRICA DE LAS ZONAS OBJETO DE PROTECCIÓN, PRESERVANDO LAS AREAS QUE POR EFECTOS ANTROPICOS PUEDEN PERDER ESTA POTENCIALIDAD.</t>
  </si>
  <si>
    <t>DESARROLLO DE ACTIVIDADES DE COORDINACION CON SOCIOS ESTRATEGICOS ( CONTREEBUTE, COVIANDES Y CONSORCIO RELLENO NUEVO MONDOÑEDO) PARA INCREMENTAR LAS HECTAREAS CONSERVADAS, CON EL FIN DE GARANTIZAR LA CONSERVACIÓN DEL RECURSO HIDRICO . SE REALIZÓ REFORESTACION CON 120.000 ARBOLES EN PREDIOS DEL MUNICIPIO DE SUBACHOQUE, ASÍ MISMO CONTRIBUTE HA REALIZADO 2 REFORESTACIONES ERN LA CUALES HA SEMBRADO 2.400 ARBOLES EN LOS MUNICIPIOS DE SILVANIA ( 2.000) Y ZIPACON (400), CON LA PARTICIPACIÓN DE GRUPOS ESCOLARES Y COMUNIDAD.</t>
  </si>
  <si>
    <t>1. SE REALIZO CAPACITACION Y ASISTENCIA A 116 MUNICIPIOS PARA EL CARGUE DE LA INFORMACIÓN EN EL SUI . 2.SE REALIZO COORDINACIÓN Y SEGUIMIENTO ( OFICIOS, COMUNICACIONES Y OBSERVACIONES) A LOS 39 MUNICIPIOS SUSCEPTIBLES DE DESCERTIFICACIÓN, LOGRANDOSE QUE SOLO 10 MUNICIPIOS QUEDARAN DEFINITIVAMENTE DESCERTIFICADOS. 3. SE ADMINISTRAN LOS RECURSOS DEL SISTEMA GENERAL DE PARTICIPACION DE 10 MUNIOCIPIOS DESCERTIFICADOS (CABRERA, CAPARRAPI, CARMEN DE CARUPA, GACHALA, UBAQUE, YACOPI, RICAURTE, SAN CAYETANO Y VIOTA)</t>
  </si>
  <si>
    <t>1.CON EL QUE RETIRO DE LA MALEZA ACUATICA PARA EL MUNICIPIO DE FUQUENE SE REALIZO LA RESTAURACIÓN DE APROXIMADAMENTE 60 HECTAREAS. 2. 5 HECTAREAS RECUPERADAS CON LEL MANEJO DEL SISTEMA LAGUNAR DE CUCUNUBA. 15 HECTAREAS RESTAURADAS A TRAVES DE LA SIEMBRA DE ABROLES EN LOS MUNICIPIOS DE SUBACHOQUE Y LA PROVINCIA DE RIONEGRO.</t>
  </si>
  <si>
    <t>SE AVANZA EN LA RECUPERACIÓN DEL ECOSISTEMA LENTICODE LA LAGUNA DE FUQUENE, CON ACTIVIDADES QUE PERMITEN LA REMOCIÓN DEL MATERIAL VEGETAL Y SEDIMENTOS PARA LA RECUPERACIÓN DEL ESPEJO DE AGUA Y LA POTENCIALIZACIÓN DE LA BIODIVERSIDAD. ADICIONALMENTE SE ADELANTA EL ANALISIS DE OTROS ECOSISTEMAS LENTICOS A SER APOYADOS, PARA LO CUAL SE HAN REALIZADO VISITAS A LOS SISTEMAS LAGUNARES DE LA HERRERA, EL YULO Y CUCUNUBA, ESTE ULTIMO ENCONTRANDOSE EN LA FASE CONTRACTUAL, MEDIANTE LA SUSCRIPCIÓN DE UN CONVENIO CON APORTES DE LA CAR Y EL MUNICIPIO DE CUCUNUBA</t>
  </si>
  <si>
    <t>SE ADELANTA LA CONSOLIDACION DE INFORMACION RELACIONADA CON PLANES DE MEJORAMIENTO RIO BOGOTÁ. SE DESARROLLAN ACTIVIDADES CON EL SECTOR CURTIDOR DEL DEPARTAMENTO, LA UNIVERSIDAD NACIONAL Y LOS MUNICIPIOS DE VILLAPINZON Y CHOCONTA, EN EL DESARROLLO DEL CONTRATO CUYO OBJETO ES APOYAR LA GESTION DE DESCONTAMINACIÓN DEL RIO BOGOTA , MEDIANTE EL FORTALECIMIENTO DE LA CAPACIDAD INSTALADA Y LA TRAZABILIDAD DEL PROCESO PRODUCTIVO DEL SECTOR CURTIDOR INTERNALIZANDO LOS COSTOS AMBIENTALES E IMPULSANDO LA PRODUCCION MAS LIMPIA.</t>
  </si>
  <si>
    <t>SENSIBILIZACION DE COMUNIDADES E INCORPORACION DE LOS JOVENES EN EL PROCESO A TRAVES DE LA EXPERIENCIA DIA DEL DESAFIO AMBIENTAL, EL CUAL CONTO CON LA PARTICIPACION DE 483 JOVENES QUE RETIRARON 365 TONELADAS DE RESIDUOS DE LAS FUENTES HIDRICAS DEL DEPARTAMENTO. SIEMBRA DEL ARBOL DE LA LIBERTAD EN LOS 116 MUNICIPIOS DEL DEPARTAMENTO, COMO ESTRATEGIA DE RECONOCIMIENTO DEL BICENTENARIO Y DE COMPENSACIÓN DE LA HUELLA DE CARBONO. APOYO A LA PRODUCCION DE HUERTOS LEÑEROS, ALTERNATIVAS DE COMBUSTION PARA EVITAR LA TALA DE ARBOLES EN COMUNIDADES RURALES. DE ACUERDO A LA CONVERSION REALIZADA ESTAS ACCINES REPRESENTAN LA COMPENSACIÓN DE 4190 TONELADAS DE CO2</t>
  </si>
  <si>
    <t>DESARROLLO DE PROCESOS DE SENSIBILIZACION DE COMUNIDADES MEDIANTE LA EJECUCION DE ACTIVIDADES CONTEMPLADAS EN LOS EVENTOS YINCANA AMBIENTAL Y EL DIA DEL DESAFIO AMBIENTAL CON LA PARTICIPACION DE COMUNIDADES EDUCATIVAS, JUVENTUDES Y COMUNIDAD EN GENERAL, CON MAS DE 483 JOVENES APROPIANDOSE DE LOS PROGRAMAS DE CONCIENTIZACION AMBIENTAL. PREMIACION DE 10 PROYECTOS DE INICIATIVA LOCAL QUE MEJORAN ENTORNOS AMBIENTALES, EN LOS MUNICIPIOS DE TENJO, APULO, NIMAIMA, SASAIMA, GUAYABAL DE SIQUIMA, MEDINA, PARATEBUENO,CAHGUANI, NEMOCON Y TIBACUY</t>
  </si>
  <si>
    <t>ACERCAMIENTO CON EMPRESAS PRIVADAS COMO CONTREEBUTE Y COVIANDES Y RELLENO SANITARIO NUEVO MONDOÑEDO PARA LA IMPLEMENTACION Y CONSOLIDACION DE ACCIONES INCLUIDAS EN LAS LICENCIAS AMBIENTALES A FIN DE IMPLEMENTAR ACTIVIDADESN DE BENEFICIO MUTUO, EN EL MEJORAMIENTO DE LOS ECOSISTEMAS AMBIENTALES, OFRECIENDO COMO POTENCIALIDAD LOS PREDIOS DE PROPIEDAD DEL DEPARTAMENTO GENERANDO GRAN IMPACTO. EL PROYECTO QUE HA DESARROLLADO ACTIVIDADES DE IMPLEMENTACIÓN HA SIDO CONTREEBUTE CON LA SIEMBRA DE 2.200 ARBOLES EN EL MUNICIPIO DE SILVANIA Y ZIPACON.</t>
  </si>
  <si>
    <t>SE ADENLANTO EN LA CONSTRUCCION DE UN PROYECTO DE INVESTIGACION CON EL IDEA DE LA UNIVERSIDAD NACIONAL EN EL TEMA DE OBSERVATORIO PARA LA PROVINCIA DE SABANA OCCIDENTE, PROYECTO QUE SE HA SOCIALIZADO CON LA SECRETARIA DE CIENCIA Y TECNOLOGIA, ADICIONALMENTE SE HAN VERIFICADO LAS CONDICIONES INICIALES Y PROMOCIÓN DEL PROYECTO DE INVESTIGACION DE ECOSISTEMAS EN LA PROVINCIA DE BAJO MAGDALENA Y GUALIVA.</t>
  </si>
  <si>
    <t>INCORPORACION DE LOS DATOS DE LAS VARAIBLES ADQUISICION DE PREDIOS Y RESIDUOS SOLIDOS DENTRO DEL COMPONENTE DE INFORMACION AMBIENTAL DESARROLLADO MEDIANTE CONTRATO 001 DE 2013 , EN COORDINACION CON LA SECRETARIA DE LAS TICS, CUYO OBJETIVO ES LA CONSTRATACION DEL SOPORTE Y DESARROLLO DE NUEVAS FUNCIONALIDADES AL SISTEMA DE MEDICION DE LA HUELLA DE CARBONO Y LA CONSOLIDACION DE LA IMFORMACION AMBIENTAL EXISTENTE EN EL DEPARTAMENTO.</t>
  </si>
  <si>
    <t>EN EL 2013 SE VIABILIZARON 39 PROYECTOS DE ACUEDUCTO, SE ENTREGARON 42 ESTUDIOS Y DISEÑOS DE ACUEDUCTOS , SE CONTRATRON 25 PROYECTOS PARA LA OPTIMIZACION Y CONSTRUCCION DE ACUEDUCTOS Y SE ENTREGARON OBRAS QUE BENEFICIARON A 95.076 NUEVOS HABITANTES SE CONTRATARON 7 ESTUDIOS Y DISEÑOS Y 9 PROYECTOS DE INVERSIÓN EN ACUEDUCTO, LOS CUALES SERÁN ENTREGADOS EN EL 2014. ASÍ MISMO SE SUPERVISARON 28 PROYECTOS EN EJECUCIÓN Y SE VIABILIZARON 17 PROYECTOS DE ACUEDUCTO PRESENTADOS AL MINISTERIO DE VIVIENDA, CIUDAD Y TERRITORIO.</t>
  </si>
  <si>
    <t>SE ENTREGARON PROYECTOS QUE BENEFICIARON A 32967 HABITANTES DE 8 MUNICIPIOS; ASI MISMO SE AVANZO EN:</t>
  </si>
  <si>
    <t>EN EL 2013 SE SUPERO LO PREVISTO PARA LA VIGENCIA CON LA ENTREGA DE 982 UNIDADES SANITARIAS RURALES, QUE BENEFICIAN A 3928 HABITANTES.</t>
  </si>
  <si>
    <t>SE AVANZA EN UN DIAGNÓSTICO PRELIMINAR PARA LA IDENTIFICACIÓN DE NECESIDADES DE CONEXIONES INTRADOMICILIARIAS</t>
  </si>
  <si>
    <t>SE ENTREGO LA PTAR DE NOCAIMA, ADICIONALMENTE SE ENCUENTRAN EN EJECUCIÓN 2 PROYECTOS; SE VIABILIZARON 5 PROYECTOS DE PTAR ANTE EL MINISTERIO DE VIVIENDA, CIUDAD Y TERRITORIO Y SE CONTRATARON 7 ESTUDIOS Y DISEÑOS DE PTAR,</t>
  </si>
  <si>
    <t>EN EL REPORTE DE LA SECRETARIA DE SALUD EN 2013 SE REGISTRA UN INCREMENTO DE 7 PUNTOS EN EL SUMINISTRO DE AGUA POTABLE EN ZONAS URBANAS DE MUNICIPIOS DE CUNDINAMARCA , LO CUAL REPRESENTA UN LOGRO, YA QUE EL 66% DE LOS MUNICIPIUOS SUMINISTRAN AGUA POTABLE.</t>
  </si>
  <si>
    <t>EN EL 2013 SE SUPERO LA META, BENEFICIANDO A 8.246 HABITANTES CON PROYECTOS DE ACUEDUCTO EN ZONAS RURALES DE 4 MUNICIPIOS. ADICIONALMENTE SE AVANZÓ CON LA ENTREGA DE 26 ESTUDIOS Y DISEÑOS , LA VIABILIZACIÓN DE 21 PROYECTOS Y SE ENCUENTRAN EN EJECUCIÓN 13 PROYECTOS QUE SE FINALIZARÁN EN EL 2014. ASI MISMO, SE ENCUENTRA EN EJECUCIÓN EL PROGRAMA AGUA, VIDA Y SABER CON EL QUE SE BENEFICIARAN 54 ESCUELAS DE 50 MUNICIPIOS CON EL SUMINISTRO DE AGUA POTABLE A TRAVES DE SISTEMAS DE TRATAMIENTO POR GRAVEDAD.</t>
  </si>
  <si>
    <t>CON BASE EN EL ESTUDIO DE PREFACTIBILIDAD REALIZADO PARA RESOLVER A NIVEL EMPRESARIAL Y DE OPERACIÓN EL SUMINISTRO DE AGUA POTABLE A LOS MUNICIPIOS DE LA SABANA DE BOGOTÁ EN EL PERÍODO DE GOBIERNO, SE HAN DESARROLLARON MESAS DE TRABAJO CON LA EAAB Y LOS MUNICIPIOS DE LA SABANA CON EL FIN DE IDENTTIFICAR CONJUNTAMENTE LAS NECESIDADES DEL ESTUDIO COMPLEMENTARIO QUE SE REALIZARÁ EN EL 2014. ADICIONALMENTE SE DIÓ ALCANCE A LA SOLICITUD DE CONCESION SOBRE EL EMBALSE DEL SISGA, RADICADA EN LA CAR. UNA VEZ SE DEFINA LA CONCESIÓN SE CONTRATARÁ EL ESTUDIO DE FACTIBILIDAD.</t>
  </si>
  <si>
    <t>SE ELABORARON LOS ESTUDIOS PREVIOS PARA LA CONTRATACIÓN DEL ESTUDIO DE IDENTIFICACIÓN DE EMBALSES, EL CUAL SE CONTRATARÁ A INICIOS DEL 2014, TENIENDO EN CUENTA LOS RECURSOS DE VIGENCIAS FUTURAS</t>
  </si>
  <si>
    <t>SE SUSCRIBIÓ CONVENIO ENTRE LA CAR, LA GOBERNACIÓN DE CUNDINAMARCA Y EMPRESAS PÚBLICAS DE CUNDINAMARCA S.A ESP PARA LA ELABORACIÓN DE LOS ESTUDIOS Y DISEÑOS DEL EMBALSE DE CALANDAIMA, CUYO EJECUTOR EL LA CAR. LOS ESTUDIOS PREVIOS PARA SU CONTRATACIÓN SE ENCUENTRAN EN REVISION TECNICA Y JURIDICA DE LA CAR, PARA PUBLICAR PLIEGO DE CONDICIONES.</t>
  </si>
  <si>
    <t>MEDIANTE EL CONTRATO DE 005 DE 2013 SUSCRITO CON FONDECUN, EL CONTRATISTA ALVAR SANCHEZ ENTREGARA DOCUMENTO DE LINEAMIENTOS DE POLITICA QUE EN RESIDUOS SOLIDOS SE APLICA AL DEPARTAMENTO.</t>
  </si>
  <si>
    <t>UNA VEZ IDENTIFICADOS LOS 14 MUNICIPIOS A APOYAR CON LA ACTUALIZACION DE SUS PGIRS, FONDECUN CONTRATA A ALVARO SANCHEZ PARA EL DESARROLLO DE LAS ACTIVIDADES LAS CUALES INICIAN A FINALES DE OCT/13</t>
  </si>
  <si>
    <t>EN PROCESO DESARROLLO CONTRACTUAL DE ASOCIACIONES DE RECICLADORES EN LOS MUNICIPIOS DE CAJICA Y SUBACHOQUE PARA ADQUISICION DE LOS SUMINISTROS CONTEMPLADOS EN LOS CONVENIOS</t>
  </si>
  <si>
    <t>EPC SA ESP HA ADQUIRIDO Y DISTRIBUIDO 30 VEHICULOS COMPACTADORES A 29 MUNICIPIOS. SE ESTA IMPLEMENTANDO SISTEMA REGIONAL DE TRANSOPRTE EN LA PROVINCIA DE UBATE MEDIANTE EL CONVENIO FONDECUN 021-13</t>
  </si>
  <si>
    <t>MEDIANTE CONTRATACION CON FONDECUN SE BUSCA ANALIZAR LOS SISTEMAS REGIONALES DE TRANSFERENCIA PROYECTADOS PARA QUE INICIEN SU FUNCIONAMIENTO, APOYARLOS Y ACOMPAÑARLOS EN SU FUNCIONAMIENTO INICIAL. ESTAN EN PROCSO UBATE, GUADUAS, ARBELAEZ Y PASCA.</t>
  </si>
  <si>
    <t>SE HA VERIFICADO LA DISPOSICION FINAL ADECUADA DE LOS RESIDUOS SOLIDOS GENERADOS EN LAS AREAS URBANAS DE LOS 116 MUNICPIOS DEL DEPARTAMENTO, DE LOS CUALES 78 DISPONEN EN MONDOÑEDO (202.477 TON A JUN-13) Y LOS DEMAS EN RELLENOS PRIVADOS.</t>
  </si>
  <si>
    <t>LA MESA DE RECICLAJE HA FUNCIONADO PERIODICAMENTE; SE BUSCA PROMOVER EL DESARROLLO DE LOS PROYECTOS REGIONALES DE MANEJO INTEGRAL DE RESIDUOS SOLIDOS DE PACHO, UBATE, ORIENTE INICIALMENTE. COMPLEMENTARIO SE ESTA FORTAIENDO EL PROCESO DE MANEJO INTEGRAL DE RESIDUOS EN CAJICA Y SUBACHOQUE.</t>
  </si>
  <si>
    <t>IMPLEMENTAR PROCESOS DE CONCIENTIZACION AMBIENTAL EN 39 MUNICIPIOS DEL MILENIO MEDIANTE EL DESARROLLO DE 39 FESTIVALES AMBIENTALES, ENTREGA DE 117 PUNTOS ECOLOGICOS, APOYO A PROCESOS REGIONALES DE TRANSFERENCIA Y APROVECHAMIENTO DE RESIDUOS SOLIDOS. APOYO A MUNICIPIO DE SAN CAYETANO, PASCA, CAJICA Y SUBACHOQUE EN PROCESOS DE MANEJO INTEGRAL DE RESIDUOS SOLIDOS.</t>
  </si>
  <si>
    <t>DE ACUERDO AL PLAN DE TRABAJO ESTABLECIDO PARA EL SISTEMA INTEGRADO, CONFORME A LA LEY1523 /2012, SE HA AVANZADO EN LAS ACTIVIDADES DE ANALISIS GENERAL INVENTARIO DE RECURSOS Y DEFINICION ESTRUCTURAL DEL SISTEMA</t>
  </si>
  <si>
    <t>SE LLEVO A CABO LA SOCIALIZACION DE LEY 1523 EN LA TOTALIDAD DE LOS MUNICIPIOS DE DEPARTAMENTO, LOGRANDO IDENTIFICAR LA POBLACION OBJETIVO MEDIANTE EL DIAGNOSTICO DE VULNERABILIDAD INSTITUCIONAL PARA LO CUALS E TRABAJO EN ASOCIO CON LA UNGRD, BRINDANDO ACOMPAÑAMIENTO A 22 MUNICIPIOS CON MÁS ALTOS INDICES DE NBI ( MUN MIILENIO) LO ANTERIOR PERMITIO PRIORIZAR ALGUNOS EJES DE ACCION QUE SE TRABAJARON DE MANERA TRASVERSAL CON LA SECRETARIA DE PLANEACION, IMPACTANDO DE MANERA DIRECTA EN 4 PROVINCIAS (RIONEGRO, ORIENTE, MEDINA, SUMAPAZ)</t>
  </si>
  <si>
    <t>LA UAEGRDC SE HA IMPLEMENTADO 4 OBRAS EN LOS MUNICIPIOS DE MEDINA, CAQUEZA Y LA MESA.</t>
  </si>
  <si>
    <t>SE HA INICIADO LA ATENCION DE MONITOREO EN LA ZONA CRITICA DEL MUNICIPIO DE UTICA, MEDIANTE EL DIAGNOSTICO DEL SISTEMA DE ALERTAS TEMPRANAS Y LA IMPLEMENTACION MEDIANTE COOPERACION INTERINSTITUCIONAL PARA LA EMISORA COMUNITARIA; SE REALIZO ACOMPAÑAMIENTO CON LA UNGRD PARA EL AJUSTE EL ESQUEMA DE ORDENAMIENTO TERRIRORIAL DEL MUNICIPIO EL CUAL FUE PRESENTADO A CAR.</t>
  </si>
  <si>
    <t>SE HA APOYADO AL 100% DE LA POBLACION REPORTADA (5942 PERSONAS) POR SITUACIONES DE EMERGENCIA O DESASTRE, EN 25 MUNICIPIOS MEDIANTE LA ENTREGA DE 12104 ELEMENTOS DE AYUDA HUMANITARIA LOS CUALES HAN SIDO GESTIONADOS A TRAVES DEL GOBIERNO NACIONAL - UNGRD.</t>
  </si>
  <si>
    <t>SE CAPACITÓ A 47 ENTIDADES PRESTADORAS DE SERVICIOS DE SALUD DE CARÁCTER PÚBLICO DEPARTAMENTAL Y DE ELLAS 31 ESTABLECIERON SU PLAN DE EMERGENCIA Y CONTINGENCIA. ESTAS ÚLTIMAS SON LOS SIGUIENTES:1. E.S.E. POLICLINICO DE JUNIN 2. E.S.E. HOSPITAL MARCO FELIPE AFANADOR DE TOCAIMA Y LAS SIGUIENTES SEDES: CENTRO DE SALUD RAFAEL REYES, CENTRO DE SALUD JOHAN DE AGUA DE DIOS, PUESTO DE SALUD JERUSALEN 3. E.S.E. CENTRO DE SALUD TIMOTEO RIVEROS CUBILLOS DE UNE 4. E.S.E. HOSPITAL UNIVERSITARIO LA SAMARITANA 5. E.S.E CENTRO DE SALUD DE RICAURTE 6. E.S.E. HOSPITAL SAN RAFAEL DE CAQUEZA 7. E.S.E. HOSPITAL SAN RAFAEL DE PACHO 8. HOSPITAL SAN VICENTE DE PAUL DE FOMEQUE 9.</t>
  </si>
  <si>
    <t>SE ATENDIIERON TODAS LAS SITUACIONES DE URGENCIAS, EMERGENCIAS Y DESASTRES REPORTADOS AL CRUE</t>
  </si>
  <si>
    <t>ESTA META SE CUMPLIÓ EN UN 231%, DADO QUE DE 16 AMBULANCIAS QUE SE HABÍA PREVISTO ADQUIRIR, REALMENTE SE ADQUIRIERON 37. SE OBTUVIERON RECURSOS ADICIONALES DEL MINISTERIO DE SALUD Y DE COFINANCIACIÓN DE MUNICIPIOS Y ESES DEL DEPARTAMENTO, ASÍ COMO DE CONVENIOS DE DESEMPEÑO. LAS AMBULANCIAS ADQUIRIDAS SE DESTINARON PARA LAS SIGUIENTES ESES: SAN ANTONIO DE ARBELÁEZ - ARBELÁEZ; SAN ANTONIO DE ARBELÁEZ- CENTRO DE SALUD DE CABRERA; HABACUC CALDERÓN DE CARMEN DE CARUPA; SAN JOSÉ DE GUADUAS- CS CHAGUANÍ; SAN ANTONIO DE CHÍA; SAN MARTÍN DE PORRES DE CHOCONTÁ; NUESTRA SEÑORA DEL CARMEN DE EL COLEGIO- PUESTO DE SALUD LA VICTORIA; SANTA MATILDE DE MADRID- CS EL ROSAL;</t>
  </si>
  <si>
    <t>FORTALECIERON ALREDEDOR DE 15 MUNICIPIOS DONDE SU ORGANIZACIONES COMUNITARIAS(63 ORGANIZACIONES COMINITARIAS APOYADAS EN LAS MISMAS 63 VEREDAS) CONTARON CON EL APOYO DEPARTAMENTAL EN GESTION DEL RIESGO DE DESASTRES LOGRANDO MAYORES ESTANDARES DE CONOCIMIENTO DE MITIGACION DE DESASTRES</t>
  </si>
  <si>
    <t>SE IDENTIFICO COMO ACCIÓN TEMPRANA EL DESARROLLAR UN PROYECTO PARA APOYAR LA RECUPERACIÓNDE LA CUENCA DEL RIO BOGOTÁ, EN ESTE MARCO SE IMPLEMENTARON CUATRO INTERVENCIONES CONJUNTAS TRES CON LA SECRETARIA DEL AMBIENTE Y UNA CON LA CAR DE RECUPERACIÓN Y MITIGACIÓN A TRAVES DE REFORESTACIÓN, ESTABLECIMIENTO DE CERCAS VIVAS Y MANEJO DE RESIDUOS SOLIDOS EN LA CUENCA ALTA DEL RIO, Y ACCIONES DE ADECUACIÓN HIDRAHULICA DEL RIO FRIO</t>
  </si>
  <si>
    <t>EN EL MARCO DEL PRICC SE SUSCRIBIO UN ACUERDO DE COOPERACIÓN CON EL PNUD PARA EL DISEÑO E IMPLEMENTACIÓN PRELIMINAR DE LA HERRAMIENTA PARA LA OPERATIVIDAD DEL PRICC A NIVEL LOCAL</t>
  </si>
  <si>
    <t>SEGUIMIENTOS EN LAS CUALES SE LOGRO LA VERIFICACION DE LOS ESTABLECIMIENTOS DE 76 HECTAREAS, PROCESO QUE INICIO DESDE EL PRINCIPIO DEL 2013; PARA SISTEMAS PRODUCTIVOS, EN SISTEMAS AGROFORESTALES, CON ESPECIES DE FRUTALES. PARA UN TOTAL DE 450 HECTAREAS REFORESTADAS CON CARACTER PRODUCTIVO EN EL 2013</t>
  </si>
  <si>
    <t>SEGUIMIENTO A LA PLANTACIÓN DE 258.895 ÁRBOLES NATIVOS ADQUIRIDOS EN EL AÑO 2012, EL REPORTE DE LOS ESTABLECIMIENTOS COMPLETOS ES DE 22600ARBOLES EN 13 MUNICIPIOS; EN ESTE TRIMESTRE CON EL SEGUIMIENTO DE LOS ARBOLES ARRIBA MENCIONADOS SE REGISTRAN 22,6 HECTAREAS APROXIMADAMENTE, PARA UN TOTAL DURANTE EL AÑO 2013 DE 177 HECTAREAS</t>
  </si>
  <si>
    <t>SEGUIMIENTO A LA PLANTACIÓN DE 99.915 GUADUAS, CON REPORTE DE ESTABLECIMIENTO OPTIMO EN 10 MUNICIPIOS PARA UN TOTAL DE 17650 GUADUAS SEMBRADAS Y VERIFICADAS, PARA UN TOTAL DE 35.3 HECTÁREAS VERIFICADAS. PARA UN AVANCE FÍSICO ACUMULADO EN EL 2013 DE 140 HECTÁREAS.</t>
  </si>
  <si>
    <t>SE ENTREGO LA OBRA DE LA CONSTRUCCION DEL VIVERO DE SIBATE DE MANERA SATISFACTORIA; ADEMAS DE INSUMOS PARA SU FUNCIONAMIENTO. EL VIVERO UBICADO EN NOCAIMA SE ENTREGO EL PEDIDO DE MATERIAL VEGETAL QUE LA UAEBC REQUIERE PARA EL PRIMER PERIODO DEL 2014.</t>
  </si>
  <si>
    <t>LAS GESTIONES ADELANTADAS CON LA UNIVERSIDAD DISTRITAL PARA EL DESARROLLO DEL PROYECTO DE INVESTIGACIÓN NO SE LLEVARON A UN FELIZ TERMINA YA QUE LA UNIVERSIDAD DEJO VENCER LOS TÉRMINOS PARA AVALAR EL PROYECTO; LAS GESTIONES SE RETOMARAN EN FEBRERO DEL 2014. EN EL 2013 SE LOGRO EL DISEÑO DE LA PROPUESTA PARA LA EJECUCIÓN UN PROGRAMA DE INVESTIGACIÓN APLICADA PARA EL MEJORAMIENTO ENERGÉTICO DE LAS COCINAS CAMPESINAS.</t>
  </si>
  <si>
    <t>FIRMA DE 7 CONVENIOS CON ALCALDÍAS MUNICIPALES PARA REALIZAR SIEMBRA DE FOMENTO EN LAS CABECERAS MUNICIPALES Y ZONAS SUBURBANAS.</t>
  </si>
  <si>
    <t>REUNIONES DE ACOMPAÑAMIENTO A LA CONFORMACION DE LA SOCIEDAD AGROPECUARIA DE TRANSFORMACION -VIDA FORESTAL SAT. CONSTRUCCION DE ESTAUTOS Y ESCRITURA PUBLICA.</t>
  </si>
  <si>
    <t>SE REALIZÓ LA IMPRESIÓN Y DISTRIBUCIÓN DE LA CARTILLA QUE CONTIENE EL ACUERDO, ADEMAS DE ESTO SE REALIZÓ LA DIFUCION DEL DECRETO DE MOVILIZACIÓN DE MADERA A TRAVEZ DE LAS CORPORACIONES AMBIENTALES Y POLCÍA DE CUNDINAMARCA</t>
  </si>
  <si>
    <t>SE REALIZO EL LANZAMIENTO OFICIAL ANTE EL GOBERNADOR DEL"ATLAS IDENTIFICACIÓN ESPECTRAL DE LOS RELICTOS DE BOSQUES DEL DEPARTAMENTO DE CUNDINAMARCA"; DESPUES DE ESTO SE HA DIVULGADO DE MANERA MASIVA EN VARIOS MUNICIPIOS</t>
  </si>
  <si>
    <t>ACTUALMENTE HAY UN CENTRO EN FUNCIONAMIENTO EN EL MUNICIPIO DE LA MESA Y DOS EN PROCESO DE APERTURA COMO SON LOS MUNICIPIOS DE ZIPAQUIRA Y CAQUEZA</t>
  </si>
  <si>
    <t>SE CREO EL FONDO DE CAPITAL SEMILLA BAJO LA ORDENANZA NO.174 DE 2013.COMO GESTIÓN SE LA SECRETARÍA EN EL TEMA</t>
  </si>
  <si>
    <t>PUESTA EN MARCHA DE LOS CREA</t>
  </si>
  <si>
    <t>SOCIALIZACIÒN A LOS EMPRESARIOS EN TEMAS DE CERTIFICACIONES</t>
  </si>
  <si>
    <t>SE ESTAN IMPLEMENTANDO TRES REDES EMPRESARIALES</t>
  </si>
  <si>
    <t>SE ESTÀ CONSOLIDANDO UN COMPROMISO CON PLANEACIÒN Y REGIÒN CAPITAL</t>
  </si>
  <si>
    <t>SE ESTÀ ORGANIZANDO EL CONVENIO</t>
  </si>
  <si>
    <t>PROPUESTAS DE PRESUPUESTO POR VALOR DE $160.000,000 DE PESOS DE ARTECOL. DEFINICIÒN DE SEDES MUNICIPALES PARA PUNTOS OPERATIVOS (CAJICÀ, UBATÈ, FACATATIVA, ENTRE OTROS); PRESUPUESTO PROYECTADO DEL DEPARTAMENTO $142.000.000 DE PESOS</t>
  </si>
  <si>
    <t>CON LOS CONVENIOS CELEBRADOS SEAN APOYADO 10 MISIONES COMERCIALES EN LOS MUNICIPIOS MENCIONADOS Y EJECUTADOS EN UN 95% DONDE SE MEJORARON PROCESOS COMERCIALES, Y DE EMPRENDIMIENTO</t>
  </si>
  <si>
    <t>SE HAN LLEVADO A CABO REUNIONES CON LA UNIVERSIDAD EAN, EL PNUD Y LA SECRETARIA DE CONECTIVIDAD PARA DEFINIR EL PLAN DE ACCIÒN DE FORTALECIMIENTO DE LOS OBSERVATORIOS</t>
  </si>
  <si>
    <t>PROGRAMACIÒN DE CURSOS TÈCNICOS DEL SENA Y CAPACITACIONES DE ASOCIATIVIDAD Y COOPERATIVISMO</t>
  </si>
  <si>
    <t>SE ESTÀ HACIENDO LA CARACTERIZACIÒN DE LAS POTENCIALIDADES DE LAS PROVINCIAS</t>
  </si>
  <si>
    <t>SE APLICÒ PREVIAMENTE UN DIAGNOSTICO ELABORADO BAJO LOS PARAMETROS DE PROEXPORT. SE REALIZARON VISITAS DE CAMPO Y SE SELECCIONARON UNAS EMPRESAS PARA INICIAR EL PROCESO DE EXPORTACION</t>
  </si>
  <si>
    <t>SE ESTÀ SOCIALIZANDO EL TEMA CON LAS DIFERENTES ASOCIACIONES Y CON BASE A ESTO, SE ESTA BUSCANDO UN OFERENTE</t>
  </si>
  <si>
    <t>SE REALIZÒ EL RESPECTIVO ESTUDIO DE MERCADO E INVESTIGACIÒN DE LOS PROCESOS NECESARIOS PARA EXPORTAR. SE ESTRUCTURÒ EL PROGRAMA</t>
  </si>
  <si>
    <t>SOCIALIZACIÒN CON LA COMUNIDAD</t>
  </si>
  <si>
    <t>LOS MUNICIPIOS DE GUACHETA Y CUCUNUBA PRESENTARON LOS PROYECTOS COMPLETOS PARA LA IMPLEMENTACIÓN DE LA UBAM, LOS CUALES FUERON VIABILIZADOS, HECHO QUE PEMITIÓ SUSCRIBIR CONVENIOS CON CADA UNO DE ELLOS, LOS CUALES SE ENCUENTRAN EN PROCESO DE EJECUCIÓN.</t>
  </si>
  <si>
    <t>SE DESARROLLÓ UNA ALIANZA ESTRATÉGICA ENTRE LA UNIVERSIDAD MILITAR NUEVA GRANADA PARA DESARROLLAR DOS CAPACITACIONES UNA EN EL MUNICIPIO DE TAUSA Y OTRA EN CUCUNUBA, QUE SE LLEVARON A CABO EL 06 DE JUNIO, Y CONTO CON LA PRESENCIA DE CERCA DE 134 PERSONAS. SE RECIBIERON PROPUESTAS LAS UNIVERSIDAD JAVERIANA, FUNDACIÓN UNIVERSITARIA ANDINA Y UNIVERSIDAD PEDAGÓGICA, LA CUALES FUERON EVALUADAS, ES ASÍ QUE SE ESCOGIÓ LA JAVERIANA COMO LA MEJOR PROPUESTA, QUE SE ENCUENTRA EN PROCESO DE CONTRATACIÓN POR VALOR DE $48.000.000, QUE BENEFICIARÁ A 45 EMPRESARIOS Y MINEROS DEL DEPARTAMENTO.</t>
  </si>
  <si>
    <t>CON EL APOYO DE LA LA LOTERIA DE CUNDINAMARCA Y LA EMPRESA DE LICORES DE CUNDINAMARCA, SE LOGRARON CONSEGUIR RECURSOS PARA PARTICIPARA DE LA CUARTA VERSIÓN DE EXPOMINERIA, QUE SE LLEVO A CABO EN CORFERIAS LOS DÍAS 14 AL 16 DE AGOSTO, QUE CONTO CON TODA LA INSTITUCIONALIDAD DEL SECTOR Y SE INVITARON A MINEROS DEL DEPARTAMENTO.</t>
  </si>
  <si>
    <t>SE RECIBIÓ LA PROPUESTA FINAL DE LA CORPORACIÓN RED JÓVENES CONSTRUCTORES DE PAZ, ACORDES A LAS NECESIDADES DE LA SECRETARIA DE MINAS Y ENERGÍA Y A LA SECRETARÍA DE SALUD. EN LA ACTUALIDAD ESTA PROCESO DE REVISIÓN JURÍDICA DEL CONVENIO PARA PODERLO LEGALIZAR.</t>
  </si>
  <si>
    <t>SE SUSCRIBIERON CONVENIOS PARA EL SUMINISTRO DE GAS DOMICILIARIO PARA LOS MUNICIPIOS DE YACOPÍ, APULO, TOCAIMA, SILVANIA, ANOLAIMA, UBAQUE Y VIOTA. ESTÁ EN PROCESO DE LEGALIZACIÓN LOS CONVENIOS CON CHOACHI, CACHIPAY Y FOMEQUE. DE IGUAL MANERA SE ACORDÓ SUSCRIBIR CONVENIOS EN OCTUBRE PARA BENEFICIAR A 30 MUNICIPIOS MÁS DEL DEPARTAMENTO.</t>
  </si>
  <si>
    <t>SE SUSCRIBIERON CONVENIOS CON LOS MUNICIPIOS DE YACOPÍ, GUACHETA Y SUSA. FUE APROBADO EL PROYECTO DE REGALÍAS POR PARTE DE LA OCAD PARA LA ELECTRIFICACIÓN DE LOS MUNICIPIOS DE PARATEBUENO Y GUTIERREZ, EL CUAL SE ENCUENTRAN EN PROCESO DE INCORPORACIÓN DE LOS RECURSOS AL DEPARTAMENTO.</t>
  </si>
  <si>
    <t>INTERVENCIÓN EN PAVIMENTACIÓN EN VÍAS DE LA RED VIAL DE SEGUNDO ORDEN EN 5 KMS DURANTE LA PRESENTE VIGENCIA EN 15 MUNICIPIOS. EN CUANTO A LAS CONCESIONES, SE ESTAN ADELANTANDO MESAS DE TRABAJO CON EL PROPÓSITO DE ESTABLECER CRONOGRAMAS Y FRENTES DE OBRA PARA QUE SEAN INTERVENIDAS LAS VÍAS AFECTADAS POR LAS PASADAS OLAS INVERNALES. GRAN APORTE DE CONCECIONES EN LA VÍA ADJUDICADA DE PANAMERICANA EN REHABILITACIÓN. INTERVENCIÓN EN LA VÍA CHÍA GUAYMARAL. AVANCE: 100%. LONGITUD: 670 M.</t>
  </si>
  <si>
    <t>SE HAN DESARROLLADO OBRAS DE MANTENIMIENTO RUTINARIO A LA RED VIAL DE SEGUNDO ORDEN EN MUNICIPIOS COMO GIRARDOT, CHOACHÍ, UBAQUE, FÓMEQUE, CHOCONTÁ Y SIMIJACA ENTRE OTROS, LOGRANDO AVANZAR EN DICHAS OBRAS, LOGRANDO UN CONSOLIDADO PARA EL PRIMER SEMESTRE DEL AÑO EN 112 KMS. UN EJEMPLO DE INTERVENCIÓN ES LA VÍA VILLETA - LA MAGDALENA - UTICA (EN ETAPA INICIAL DE RECONSTRUCCIÓN Y REHABILITACIÓN).</t>
  </si>
  <si>
    <t>1219 KILOMETROS ADICIONALES INTERVENIDOS EN LOS MUNICIPIOS DESCRITOS EN EL PRESENTE INFORME COMO RESULTADO DE AVANCE DEL 2013, DESARROLLANDO OBRAS DE MEJORAMIENTO Y MANTENIMIENTO EN VÍAS DE TERCER ORDEN, MEJORANDO LAS CONDICIONES DE MOVILIDAD DE LAS VEREDAS MAS APARTADAS DE LAS ZONAS RURALES URBANAS. INTERVENCIÓN ADICIONAL EN LA VIA •	PACHO – LA PALMA (CON BOX COULVERT Y MUROS DE CONTENCIÓN.)</t>
  </si>
  <si>
    <t>SE HAN LOGRADO IMPORTANTES AVANCES PARA ÉSTA META, APORTANDO EN LA INTERVENCIÓN DE 84.696 METROS CUADRADOS EN VIAS MUY AFECTADAS POR LA PASADA OLA INVERNAL Y QUE REQUIERÍAN DE CINTAS EN CONCRETO, PARA MEJORAR LA MOVILIDAD Y TRANSITABILIDAD DE LOS HABITANTES DE VEREDAS MUY ALEJADAS DE LOS CENTROS URBANOS, QUE SUMADOS CON LA GESTION DEL AÑO ANTERIOR DE 6.457 METROS CUADRADOS, SE SUMA UN CONSOLIDADO DE 89.735 MESTOS INTERVENIDOS. GESTIÓN2012-2013</t>
  </si>
  <si>
    <t>AVANCE FÍSICO PRESENTADO EN MUNICIPIOS RELACIONADOS EN EL PRESENTE INFORME PARA OBRAS EN VÍAS URBANAS, REALIZANDO LABORES DE PAVIMENTACIÓN Y ADECUACIÓN VÍAL DENTRO DE LAS ZONAS DE INFLUENCIA DE LOS MUNICIPIOS. COMO EJEMPLO SE PRESENTA LA 	 INTERVENCIÓN EN LA VÍA LA BAJADA – CAJICÁ, CON UNA LONGITUD DE 600M, ENTRE OTROS.</t>
  </si>
  <si>
    <t>DESARROLLO DE LOS CONTRATOS SUSCRITOS AL FINAL DEL AÑO PASADO. SE HAN PRESENTADO AVANCES EN EL PUENTE EL REMANSO VÍA SAN CAYETANO EN EL MUNICIPIO DE PACHO - PUENTE LOS CUROS DE 32 MTS UBICADO EN EL MUNICIPIO DE FÓMEQUE -PUENTE PEATONAL SOBRE LA QUEBRADA CURAZAO EN EL MUNICIPIO DE NOCAIMA.DE OTRO LADO SE HAN PRESENTADO AVANCES EN EL PUENTE BALSILLAS (ALÓ).EN LOS MUNICIPIOS DE ALBÁN, SUPATÁ Y EN UTICA SE HAN INICIADO LABORES PARA APORTAR EN LA CONSTRUCCIÓN DE ÉSTA META. •AL INICIO DEL AÑO SE REALIZÓ LA INAUGURACIÓN PUENTE ANTONIO NARIÑO.</t>
  </si>
  <si>
    <t>DURANTE ÉSTOS PRIMEROS 9 MESES DEL 2013 SE HAN INTERVENIDO LAS SIGUIENTES OBRAS: REHABILITACIÓN PUENTE UBICADO EN EL K 10+400 QUEBRADA LA GALLEGA VÍA ARBELAEZ - SAN BERNARDO. - MANTENIMIENTO PUENTE CANOAS EN EL MUNICIPIO DE SOACHA.HABILITACIÓN PUENTE PEATONAL VEREDA LA ESPERANZA EN EL MPIO DE LA MESA. -MANTENIMIENTO APROCHES PUENTE SOBRE LA QUEBRADA LA CIMARRONA EN EL MPIO DE GUADUAS. -MANTENIMIENTO DE APROCHES DEL PUENTE SOBRE LA QUEBRADA LA FRIA EN EL MUNICIPIO DE GUADUAS.-MANTENIMIENTO DE APROCHES DEL PUENTE SOBRE LA QUEBRADA LA CHIROZA EN EL MPIO DE GUTIERREZ.</t>
  </si>
  <si>
    <t>EN LA VIGENCIA 2013 SE HAN ENTREGADO 52 MAQUINAS (PARA EL MUNICIPIO DE EL COLEGIO) Y ASÍ COMPLETAR UN AVANCE CONSOLIDADO DE 110 MAQUINAS EN IGUAL NUMERO DE MUNICIPIOS BENEFICIADOS, CON EL OBJETIVO DE COADYUVAR EN EL MEJORAMIENTO DE LAS VÍAS AFECTADAS DE TERCER ORDEN POR LA PASADA OLA INVERNAL. DURANTE EL SEGUNDO TRIMESTRE SE ADJUDICARON CONTRATOS PARA LA ENTREGA DE LA SEGUNDA ETAPA DE SUMINISTRO DE MAQUINARIA PARA IMPLEMENTACIÓN DE OBRAS VIALES.</t>
  </si>
  <si>
    <t>DURANTE EL PERIODO AUDITADO LA GERENCIA DEL INSTITUTO GESTIONÓ LA CONSECUCIÓN DE LOS RECURSOS PARA PODER CUMPLIR CON ÉSTAS OBLIGACIONES.</t>
  </si>
  <si>
    <t>EN PROCESO LA REALIZACIÓN DEL INVENTARIO DE LOS CAMINOS REALES QUE NECESITAN INTERVENCIÓN. MAS SIN EMBARGO Y LUEGO DEL CORRESPONDIENTE INVENTARIO, SE HAN INTERVENIDO 14.700 MTS CUADRADOS</t>
  </si>
  <si>
    <t>SE CONSTRUYÓ Y ENTREGÓ UN PARADOR TURÍSTICO EN MESITAS DEL COLEGIO A FINALES DEL AÑO PASADO. PARA ÉSTE AÑO SE ESTÁ EN NEGOCIACIONES PARA INTERVENIR Y REALIZAR PARADORES TURÍSTICOS EN DOS MUNICIPIOS MAS.</t>
  </si>
  <si>
    <t>SEÑALIZACIÓN MUNICIPIOS: TRAMITAMOS 38 PROYECTOS DE SEÑALIZACIÓN VIAL MUNICIPALES. SEÑALIZACIÓN VÍAS DEPARTAMENTALES: CONVENIO FIRMADO ENTRE EL DEPARTAMENTO DE CUNDINAMARCA Y LA EMPRESA INMOBILIARIA CUNDINAMARQUESA, ASI COMO EL CONVENIO FIRMADO ENTRE EL DEPARTAMENTO Y EL MUNICIPIO DE TOCANCIPA. SEÑALIZACIÓN ENTIDADES EDUCATIVAS: CONVENIO FIRMADO ENTRE EL DEPARTAMENTO Y LA EMPRESA INMOBILIARIA CUNDINAMARQUESA, ASI COMO EL CONVENIO FIRMADO CON EL MUNICIPIO DE GACHANCIPA. LA POBLACIÓN ESTUDIANTIL A BENEFICIAR ES DE 772 ESTUDIANTES. UNA VEZ EJECUTADOS LOS CONVENIOS EL NUMERO DE KMS SEÑALIZADOS SERA DE: 458.6.</t>
  </si>
  <si>
    <t>SE REALIZARON CAMPAÑAS EN PREVENCION DE ACCIDENTALIDAD VIAL EN MUNICIPIOS, CICLO PASEOS Y ENTREGA DE MATERIAL DIVULGATIVO SOBRE SEGURIDAD VIAL EN SEMANA SANTA Y EN SAN PEDRO, SEMANA DE RECESO ESCOLAR (OCTUBRE) Y REALIZACION DE OPERATIVOS DE CONTROL DE ALCOHOLEMIA DEN LAS PRINCIPALES VIAS DE ACCESO A LA CAPITAL. ASI MISMO OPERATIVOS Y ENTREGA DE MATERIAL DIDACTICO EN LAS FESTIVIDADES DE FIN DE AÑO. SE FIRMARON CONVENIOS PARA IMPLEMENTAR CICLORRUTAS Y SENDEROS PEATONALES EN GACHETA, MADRID, ZIPAQUIRA Y TENJO.</t>
  </si>
  <si>
    <t>SE CONTRATO CONSULTORIA PARA ELABORAR ESTUDIO TECNICO RELACIONADO CON LA LEGALIZACION DEL TRANSPORTE INFORMAL.</t>
  </si>
  <si>
    <t>SE INICIO LA ESTRUCTURACION DEL OBSERVATORIO, CONTRATO DE SERVICIOS PROFESIONALES.</t>
  </si>
  <si>
    <t>EN PROCESO LA SELECCIÓN EN COORDINACIÓN CON LA SECRETARÍA DE DESARROLLO SOCIAL LOS MUNICIPIOS EN DONDE SE DESARROLLARÁN LAS OBRAS.</t>
  </si>
  <si>
    <t>CON EL FIN DE APOYAR LA IMPLEMENTACIÓN DE CENTROS DE COMERCIALIZACIÓN QUE PERMITAN EL DESARROLLO Y LA COMPETITIVIDAD REGIONAL SE PRESENTO EL PROYECTO PARA LA ADECUACIÓN DEL COLISEO DE FERIAS DEL CENTRO AGROTECNOLÓGICO QUEBRAJACHO DEL MUNICIPIO DE FUSAGASUGÁ, PARA ACCEDER A RECURSOS DEL SISTEMA GENERAL DE REGALÍAS –SGR. ADICIONALMENTE LA SECRETARIA DE COMPETITIVIDAD ADELANTA UN DIAGNÓSTICO DE 85 PLAZAS DE MERCADO EN CUNDINAMARCA A PARTIR DEL CUAL SE ESTABLECERÁ CUÁL O CUALES REQUIEREN INVERSIÓN</t>
  </si>
  <si>
    <t>ADICIONAL A LOS AVANCES ESTABLECIDOS CON BOGOTÁ, SE REALIZO UN UN TALLER DE EJERCICIO DE “TRANSFERENCIA DE CONOCIMIENTOS PARA LA DEFINICIÓN DE LA ESPECIALIZACIÓN ESTRATÉGICA PRODUCTIVA DE LA REGIÓN BOGOTÁ – CUNDINAMARCA CON ÉNFASIS EN CIENCIA, TECNOLOGÍA E INNOVACIÓN”, TENIENDO EN CUENTA EL PROYECTO VISIÓN BOGOTÁ REGIÓN 2038, QUE SERVIRA COMO BASE PARA LA FORMULACION DEL PLAN ESTRATEGICO REGIONAL.</t>
  </si>
  <si>
    <t>EL 9 DE SEPTIEMBRE SE CERRO LA PRIMERA CONVOCATORIA, A LA CUAL SE PRESENTARON 61 PROYECTOS PROVENIENTES DE TODO EL DEPARTAMENTO. APLICARON A LA CONVOCATORIA ALCALDÍAS MUNICIPALES, UNIVERSIDADES LOCALES, CENTROS DE FORMACIÓN, EMPRESAS, ENTRE OTROS.</t>
  </si>
  <si>
    <t>SE DESARROLLÓ UN FORO EN FACATATIVÁ EN EL CUAL PARTICIPARON MAS DE 600 PERSONAS ENTRE EMPRESARIOS, ACADÉMICOS, DOCENTES, ESTUDIANTES Y REPRESENTANTES DEL GOBIERNO. CON BASE EN LOS TALLERES DESARROLLADOS, SE ADELANTO UN PROCESO DE IDENTIFICACION DE ACTORES Y LINEAS ESTRATEGICAS PARA LA CONSOLIDACION DE LAS REDES.</t>
  </si>
  <si>
    <t>SE CUENTA CON TRES (3) PROYECTOS -DOS ORIENTADSO AL SECTOR EDUCACION Y UNO ORIENTADO AL SECTOR SALUD- APROBADOS POR EL OCAD DEL FONDO CTEI DEL SGR. DICHOS PROYECTOS SE ENCUENTRAN EN LA ETAPA PRECONTRACTUAL, DE CONFORMIDAD CON LA NORMATIVIDAD VIGENTE EN LA MATERIA.</t>
  </si>
  <si>
    <t>SE HAN SUSCRITO DOS ACUERDOS DE COOPERACION UNO CON LA FUNDACION TRUST FOR THE AMERICAS, ENTIDAD FILIAN DE LA OEA, EN EL MARCO DE LA CUAL SE DESARROLLARÁN ACCIONES ESPECIFICAS DE FOMENTO DE LA CTEI EN EL DEPARTAMENTO Y OTRA ALIANZA CON EL PROGRAMA DE LAS NACIONES UNIDAS PARA EL DESARROLLO PNUD, EN EL MARCO DE LA CUAL SE DESARROLLARÁEL DISEÑO DE LA ESTRATEGIA TÉCNICA PARA LA CONFORMACIÓN DEL CENTRO DE INNOVACIÓN SOCIAL BAJO LA PERSPECTIVA DE LAS METAS ODM EN EL MUNICIPIO DE SOACHA.</t>
  </si>
  <si>
    <t>SE CUENTA CON UN REPORTE DE LAS ACTIVIDADES QUE EN CTEI SE HAN DESARROLLADO EN CUNDINAMARCA Y SE ESTA DESARROLLANDO LA PRIMERA VERSION DE LA BATERIA DE INDICADORES CTEI PROPIOS PARA EL DESPARTAMENTO.</t>
  </si>
  <si>
    <t>SE LLEVÓ A CABO LA CELEBRACION DE LA SEMANA DE LA CTEI DURANTE LOS MESES DE OCTUBRE Y NOVIEMBRE.</t>
  </si>
  <si>
    <t>SE REALIZÓ LA TRANSFERENCIA A COLCIENCIAS EN LA SUMA PREVISTA EN EL PRESUPUESTO DE LA SECRETARÍA DE SALUD APROPIADO EN SU TOTALIDAD.</t>
  </si>
  <si>
    <t>EN EL MARCO DE LA SEMANA DEPARTAMENTAL DE LA CTEI, SE LLEVO A A CABO UN PROCESO DE VISIBILIZACION Y PREMIACION A LOS LIDERES INNOVADORES IDENTIFICADOS EN EL MARCO DE LAS ACTIVIDADES PROMOVIDAS EN LOS MUNICIPIOS COMO PARTE DE LA ESTRATEGIA DE APROPIACION SOCIAL DE LA CTEI.</t>
  </si>
  <si>
    <t>SE CONTRATO EL ESTUDIOS DE PREFACTIBILIDAD DE UN CENTRO DE INNOVACION ORIENTADO A LA INNOVACION RURAL EN LA PROVINCIA DE SUMAPAZ. ADICIONALMENTE, EN ALIANZA CON EL PROGRAMA DE LAS NACIONES UNIDAS PARA EL DESARROLLO -PNUD-, SE DESARROLLAN ACCIONES ORIENTADAS AL DISEÑO DE LA ESTRATEGIA TÉCNICA PARA LA CONFORMACIÓN DEL CENTRO DE INNOVACIÓN SOCIAL BAJO LA PERSPECTIVA DE LAS METAS ODM EN EL MUNICIPIO DE SOACHA.</t>
  </si>
  <si>
    <t>SE CUENTA CON EL PLAN OPERATIVO MEDIANTE EL CUAL SE DESARROLLLARÁ LA PRIMERA FASE DEL PROGRAMA DE FORMACION DE LIDERES INNOVADORES DEL DEPARTAMENTO.</t>
  </si>
  <si>
    <t>SE CUENTA CON UNA HOJA DE RUTA PARA LA CONFROMACION DE LOS CONSEJOS REGIONALES Y SE ESTÁ DISEÑANDO EL PROTOCOLO DE FUNCIONAMIENTO DE ESTOS.</t>
  </si>
  <si>
    <t>SE FIRMÓ UN CONVENIO CON LA UNIVERSIDAD NACIONAL DE COLOMBIA Y LA SECRETARIA DISTRITAL DE DESARROLLO ECONOMICA EN EL MARCO DEL CUAL SE LLEVARÁ A CABO LA EJECUCION DEL PROYECTO APROBADO POR EL OCAD DE CTEI DEL SGR.</t>
  </si>
  <si>
    <t>SE CUENTA CON TRES (3) PROYECTOS APROBADOS POR EL OCAD DEL FONDO CTEI DEL SGR ORIENTADOS AL FORTALECIMIENTO DE LAS CAPACIDADES Y COMPETENCIAS REQUERIDAS PARA LA GENERACIÓN DE CONOCIMIENTO Y TRANSFERENCIA DE TECNOLOGÍA ENFOCADAS HACIA EL FOMENTO DE LA CONVERGENCIA TECNOLÓGICA (TIC'S, BIOTECNOLOGÍA Y GESTIÓN SOSTENIBLE, APROVECHAMIENTO DE LOS RECURSOS GENÉTICOS</t>
  </si>
  <si>
    <t>SE DESARROLLO UN PROGRAMA PARA LA FORMACION DE EMPRESARIOS Y EMPRENDEDORES EN EL FOMENTO DEL EMPRENDIMIENTO E INNOVACION DE BASE TECNOLOGICA</t>
  </si>
  <si>
    <t>SE CUENTA A LA FECHA CON UN DIAGNOSTICO QUE HA PERMITIDO ESTABLECER RECOMENDACIONES PARA LOS SECTORES INDAGADOS (MANUFACTURERO, ALIMENTOS, TICS, ENTRETENIMIENTO, TURISMO Y AGROPECUARIO) PARA EL PROCESO DE APROPIACION DE INTANGIBLES EN EL DEPARTAMENTO.</t>
  </si>
  <si>
    <t>SE ACOMPAÑÓ LA FORMULACION DE UN PROYECTO SOBRE EL ESTUDIO DE LA DIVERSIDAD DE ORQUIDEAS NATIVAS EN EL DEPARTAMENTO, EL CUAL HARÁ PARTE DEL BANCO DE PROYECTOS EN CTEI Y BIODIVERSIDAD PREVISTOS EN EL PLAN DE DESARROLLO.</t>
  </si>
  <si>
    <t>EL INSTITUTO, INICIO UN PROGRAMA DE BILINGUISMO DE FORMA VIRTUAL , CON EL FIN DE CAPACITAR ORIENTADORES TURÍSTICOS DE LOS MUNICIPIOS DE CAJICA, GUATAVITA, NEMOCON, VILLETA Y ZIPAQUIRA EN TEMAS PRÁCTICOS DE LA ACTIVIDAD TURÍSTICA.</t>
  </si>
  <si>
    <t>EL INSTITUTO, REALIZÓ UN PROGRAMA DE CAPACITACIÓN EN LEGISLACIÓN TURÍSTICA Y BUENAS PRÁCTICAS SOSTENIBLES, PARA PRESTADORES DE SERVICIOS TURÍSTICOS EN LOS MUNICIPIOS DE CHIA, SUESCA, GIRARDOT, LA MESA Y EL ROSAL</t>
  </si>
  <si>
    <t>EL INSTITUTO, FORTALECIÓ LA ASOCIACIÓN DE TURISMO DEL GUAVIO ALTO EN TEMAS RELACIONADOS CON LA ASOCIATIVIDAD, PORTAFOLIO DE SERVICIOS Y SISTEMAS DE COMERCIALIZACIÓN DE PRODUCTOS TURÍSTICOS, CAPACITACIÓN EN GASTRONOMÍA, MESA Y BAR, ADEMAS, REALIZÓ UN DIAGNÓSTICO PARA LA IMPLEMENTACIÓN DEL AGROTURISMO EN EL MUNICIPIO DE VIOTÁ (ORGANIZACIÓN Y SENSIBILIZACIÓN EN TURISMO RURAL DE FINQUEROS INTERESADOS EN PROYECTOS DE AGROTURISMO).</t>
  </si>
  <si>
    <t>EL INSTITUTO, ADECUO LOS PUNTOS DE INFORMACIÓN TURÍSTICA DE LOS MUNICIPIOS DE GIRARDOT Y LA MESA.</t>
  </si>
  <si>
    <t>EL INSTITUTO, ELABORO LOS ESTUDIOS TÉCNICOS PARA LA SEÑALIZACIÓN TURÍSTICA DE 22 MUNICIPIOS Y REALIZÓ EL LEVANTAMIENTO DE INVENTARIO DE ATRACTIVOS TURÍSTICOS DE 38 MUNICIPIOS.</t>
  </si>
  <si>
    <t>QUEDARON SEÑALIZADOS PEATONALMENTE LOS MUNICIPIOS DE GRANADA, NOCAIMA, SILVANIA, SAN FRANCISCO, LA MESA, GACHETÁ, GACHANCIPÁ Y TOCANCIPÁ.</t>
  </si>
  <si>
    <t>EL INSTITUTO ELABORÓ UN ESTUDIO DE PREFACTIBILIDAD PARA LA ADECUACIÓN DE CAMINOS REALES EN LA PROVINCIA DEL TEQUENDAMA</t>
  </si>
  <si>
    <t>SE PROMOCIONO EL EVENTO FESTIVAL DE LANAS EN CUCUNUBA</t>
  </si>
  <si>
    <t>SE REALIZÓ EN EL PRIMER TRIMESTRE 2013 5 CONVENIOS INTERADMINISTRATIVOS CON MUNICIPIOS DEL DEPARTAMENTO,. Y EN EL SEGUNDO TRIMESTRE SE SUSCRIBIERON UN TOTAL DE 33 CONVENIOS INTERADMINISTRATIVOS. EN EL TERCER TRIMESTRE SE SUSCRIBIERON 28. EN EL CUARTO TRIMESTRE SE SUSCRIBIERON 32 CONVENIOS</t>
  </si>
  <si>
    <t>SE SUSCRIBIÓ CONVENIO CON EL MUNICIPIO DE GUAYABAL DE SÍQUIMA. ADICIONALMENTE, EL INSTITUTO VALIDARÁ EL MAPA TURÍSTICO DEL DEPARTAMENTO PARA SU DEBIDA CIRCULACIÓN AL FINAL DEL AÑO, E IMPLEMENTARA LA NUEVA GUÍA TURÍSTICA DE CUNDINAMARCA</t>
  </si>
  <si>
    <t>SE IMPLEMENTARON ACCIONES A TRAVES DE UN CONTRATO QUE NOS PERMITIO AVANZAR EN EL PROCESO DE SUSCRIPCION Y DESARROLLO DE UNA ALIANZA ESTRATEGIACA QUE CONLLEVA AL REALIZACION DE UN PROYECTO DE TURISMO SUPARREGIONAL Y MEDIANTE UN CONVENIO CON ACOPI SE ADELANTARON ACCIONES DE FORTALECIMIENTO DE PIMES CON EL FIN DE ARTICULAR LA IMPLEMENTACIÓN DE LA ALIANZA ESTRATEGICA SUPRAREGIONAL SUSCRITA ENTRE U POLITECNICO GRAN COLOMBIANO, LA UNAD, ACOPI, FENALCO Y DPTO - SIR, ASÍ MISMO SE FORTALECIERON PROCESOS CULTURALES SUPRAREGIONALES.</t>
  </si>
  <si>
    <t>SE CONTINUO CON LA IMPLEMENTACIÓN DE LAS ALIANZAS: CON BOGOTA PARA FORTALECER LA PROMOCION E INTEGRACIÓN CULTURAL A NIVEL REGIONAL; CON FENALCO IDENTIFICANDO Y PROMOVIENDO INICIATIVAS TURISTICAS REGIONALES. ASÍ MISMO SE IMPLEMENTO UNA ALIANZA CON CONAF PARA RECUPERAR LA MEMORIA HISTORICA DEL DPTO MEDIANTE EL ESTABLECIMIENTO DEL SALON DE LA INDEPENDENCIA ANTONIO NARIÑO EN HOMENAJE LA BICENTANARIO DE CUNDINAMARCA, DE OTRA PARTE SE DESARROLLARON 2 ACCIONES ESPECIFICAS PARA AFIANZAR LA INSTITUCIONALIDAD REGIONAL Y SE SUSCRIBIO E IMPLEMENTO UNA ALIANZA ESTRATEGICA CON CORFERIAS Y LA CAR FORTALECIENDO LAS CADENAS PRODUCTIVAS Y LA SOSTENIBILIDAD AMBIENTAL</t>
  </si>
  <si>
    <t>SE CONTINUO CON LA IMPLEMENTACIÓN DE ALIANZAS: SE HAN DESARROLLADO ACCIONES PARA LA REALIZACION DE INTERVENCIONES A NIVEL CULTURAL Y TURISTICO, AMBIENTAL Y DE SEGURIDAD ALIMENTARIA EN LA PROVINCIAS DE ALMEIDAS, TEQUENDAMA, RIO NEGRO, BAJO MAGDALENA, SUMAPAZ Y SABANA OCCIDENTE EN EL MARCO DE LA ALIANZA ESTRATEGICA SUBREGIONAL, CON LO CUAL SE HA DESARROLLADO UN 80% DE LOS PASOS PARA SU IMPLEMENTACION</t>
  </si>
  <si>
    <t>SE COORDINO CON LA POLICIA NACIONAL EL AUMENTO DEL PIE DE FUERZA EN AL MENOS 42 MUNICIPIOS DEL DEPARTAMENTO</t>
  </si>
  <si>
    <t>FORTALECIMIENTO DE LA FUERZA PUBLICA EN DOTACION LOGISTICA Y COMUNICIACIONES CON EL FIN DE SATISFACER LA NECESIDADES DE LA CONVIVIENCIA CIUDADANA EN EL DEPARTAMENTO DE CUNDINAMARCA.</t>
  </si>
  <si>
    <t>MEJORARON 6 INSTALACIONES DE LA FUERZA PUBLICA EN DEPARTAMENTO DE CUNDINAMARCA LOGRANDO EL CUMPLIMIENTO DE LA META EN EL 2013</t>
  </si>
  <si>
    <t>CONSTRUCCION DE LA ESTACION DE POLICIA DEL MUNICIPIO DE SIBATE EN EL DEPARTAMENTO DE CUNDINAMARCA</t>
  </si>
  <si>
    <t>DESDE EL MES DE SEPTIEMBRE SE HA IMPLEMENTADO EL OBSERVATORIO DE LA DELICUENCIA DEL DELITO EN EL DEPARTAMENTO APOYO PERMANENTE DE LA FISCALIA GENERAL DE LA NACION, SIGIN, DIGIN Y COOPERACION CON LA POLICIA DEL DISTRITO DE BOGOTA CON EL FIN DE CRUZAR INFORMACION PARA BAJAR LOS INDICIDES DE DELICIENCIA, HOMICIDIOS, HURTOS, ROBOS DOMICILIARIOS Y DEMAS</t>
  </si>
  <si>
    <t>PROGRAMACION DE 16 BRIGADAS EN LOS MUNICIPIOS DE DEPARTAMENTO CON EL FIN DE ACERCA A LA COMUNIDAD LA FUERZA PUBLICA Y HAYA UNA MAYOR INTERACCION CON ELLA Y QUE ACCIONES SOCIALES CONTUNDENTES LA COMUNIDAD SE FORTALECE</t>
  </si>
  <si>
    <t>SE HA APOYODO AL REDERDOR DE 15 MUNICIPIO EN SU ACTIVACION DE LOS COMITES PARA LA PREVENCION DE LA PRODUCCION COMERCIALIZACIN Y CONSUMO DE DROGAS Y SUSTANCIAS PSICOACTIVAS EN DONDE SE PROMUEVE LA PARTICIAPACION CIUDADANA.</t>
  </si>
  <si>
    <t>LA SECRETARIA DE GOBIERNO PRESTA APOYO PERMANENTE A MEJORAR LAS CONDICIONES DE LAS INSTALACIONES DE JUSTICIA DEL DEPARTAMENTO</t>
  </si>
  <si>
    <t>CONJUNTAMENTE CON EL TRUBUNAL SUPERIOR DE CUNDINAMARCA Y LA UNIVERSIDAD DEL CUNDINAMARCA SE CAPACITARA A 400 FUNCIONARIOS EN MECANISMOS Y PROCEDIMEINTOS EFECTIVOS PARA QUE LA CIUDADANIA ACCEDA FACILMENTE A LA JUSTICIA Y LOS FUNCIONARIOS SEPAN QUE LOS PROBLEMAS QUE ATENTAN CON SU BIENETAR A NIVEL DE JUSTICIA.</t>
  </si>
  <si>
    <t>EL DEPARTAMENTO DE CUNDINAMARCA HA APOYADO DOS CENTROS PARA LA TENCION DE INFRACTOR AL MENOR EN SOACHA Y PUERTO SALGAR CON EL FIN DE DAR CUMPLIMIENTO A LA LEY DE INFRACTOR AL MENOR</t>
  </si>
  <si>
    <t>SE DOTARAN AL MENOS 5 CENTROS CARCELARIOS EN EL DEPARTAMENTO CON FRAZADAS, CONCHONES, INMOBILIARIO, INFRAESTRUCTURA Y DEMAS NECESIDADES QUE SE REQUIERE TODO ESTO SE LOGRA EN EL ULTIMO TRIMESTRE DEL DEPARTAMENTO</t>
  </si>
  <si>
    <t>ACTIVIDAD PROGRAMADA A PARTIR DEL MES DE JUNIO, SE HAN DADO REUNIONES CON DIFERENTES ALCALDES A FIN DE ESTABLECER EL INTERES SOBRE EL TEMA Y POR PARTE DE QUE MUNICIPIO SE ESTÁ EN CONDICION DE APORTAR EL PREDIO PARA DESARROLLAR EL PROYECTO</t>
  </si>
  <si>
    <t>NO TIENE AVANCE POR NO HABERSE PROGRAMADO ACTIVIDA EN EL PRIMER Y SEGUNDO TRIMESTRE</t>
  </si>
  <si>
    <t>CONJUNMENTE MUNICIPIOS SECRETARIAS DE GOBIERNO ALCALDES Y COMISION DE FAMILIA HAN CAPACITADO EN NORMAS VIGENTES EN FAMILIA Y A PARTIR DE MES NOVIEMNRE TODOS LOS COMISARIOS POR DISPOSICION DE LA SEÑORA SECRATRIA DE GOBIERNO TENDRAN UNA HERRAMIENTO (COMPUTADOR E IMPRESORA) PARA MAYOR EFECTIVIDAD EN SU GESTION MUNICIPAL</t>
  </si>
  <si>
    <t>EL 29 DE OCTUBRE DE 2013 SE CREO Y SE PUSO EN FUNCIONAMIENTO LA INSTANCIA TERROTORIAL DE DERECHOS HUMANOS Y DERECHO INTERNACIONAL HUMANITARIO EN EL DEPARTAMENTO DE CUNDINAMARCA PARA LOGRAR LA COORDINACION ARTICULACION IMPLEMENTACION Y EL SEGUIMIENTO DE LA POLITICA PUBLICA DE DERECHOS HUMANOS Y DERECHO INTERNACIONAL HUMANITARIO</t>
  </si>
  <si>
    <t>NO TIENE AVANCE POR NO HABERSE PROGRAMADO ACTIVIDADES PARA EL PRIMER Y SEGUNDO TRIMESTRE</t>
  </si>
  <si>
    <t>LAS SECRETARIA DEL DEPARTAMENTO DE CUNDINAMARCA ESTAN PRIORIZANDO LA ESTRATEGIA DE PROMOCION RESPETO Y RECONCILIZACION DEL DEPARTAMENTO DE CUNDINAMARCA CON EL FIN DE SER UN DEPARTAMENTO PIONERO EN POSCONCLICTO ESTA ARTICULACION ESTA LIDERADA POR LAS SECRETARIA DE GOBIERNO Y COOPERCION INTERNACIONAL Y TODAS LAS ENTIDADES CENTRALIZADAS Y DESCENTRALIZADAS.</t>
  </si>
  <si>
    <t>CUMPLIDO EL 100% DE LA META, LA ORGANIZACION ES PERMANENTE Y EN ESTE TRIMESTRE SE REALIZARON ESTUDIOS TENICOS PARA LA MODIFICACION DE UAN PLANTA DE EMPLEOS, CON OCASION DE DAR INICIO A LAS ACTIVIDADES DE FISCALIZACION DEVOLUCION DENTRO DEL PROCESO DE RESTRO MERCANTI LDE ACUERDO CON EL CONVENIO DE LA GOBERNACION Y LA CAMARA DE COEMRCIO DE BOGOTÁ. SE APOYO CON ASSITENCIA TECNICA LAS SIGUEINTES ENTIDADES DESCENTRALIZADASEN SUS PROCESOS DE RESTRUCTURACIÓN ADMNISTRATIVA, ( PLANTA, ORGANIZACION INTERNA Y MANUAL DE FUNCIONES) COMO FONDECUN, UNIDAD ADMNISTRATIVA DE PENSIONES, INSTITUTO DEPTAL DE ACCION COMUNAL, INSTITUTO DEPTAL DE CULTURA Y TURISMO, CORPORACION SOCIAL Y ALGUANAS ESE.</t>
  </si>
  <si>
    <t>SE HA DOCUEMTNADO DURANTE ESTE TRIMESTRE 535 DOCUMENTOS( FORMATOS, PROCEDIMEITNOS, INSTRUCTIVOS, GUIAS ENTRE OTROS)LOS CUALES SE ENCUENTRAN DISTRIBUIDOS ASI: PALNIFICACION DESARROLLO INSTITUCIONAL 23, ATENCION AL CIUDADANO 13, FORTALECIMEINTO TERRITORIAL 80, PROMOCION DE DESARROLLO EDUCATIVO 24, GESTIÓN CONTRACTUAL 22, GESTIÓN DE RECURSOS FISICOS 14, GESTION DE TALENTO HUMANO 50,GESTIÓN FINANCIERA14, GESTION DOCUEMTA 14, GESTIÓN JURIDICA14, GESTIÓN TECNOLOGICA 70, E, S Y M 33, COMUNICACIONES 12, DIRECCIONAMIENTO ESTRATEGICO 3, PROMOCIÓN DEL DESARROLLO EN SALUD 141,PROMOCION DEL DESARROLLO DEPARTAMENTAL 17. SE CARGO DOCUMENTALMENTE EL SISTEMA ISOLUCION CON 716 D/T, AJSUTE PLF. ESTRATÉGICA.</t>
  </si>
  <si>
    <t>LA ENCUESTA DE SATISFACCIÓN PARA CLIENTE INTERNO Y EXTERNO ESTABA INMERSA EN UN PROCESO ÚNICO DE CONTRATACIÓN POR CONCURSO DE MÉRITOS QUE SE DIO COMO EFECTIVO EN EL MES DE NOVIEMBRE, SITUACIÓN QUE A LA FECHA SOLO PERMITE CONTAR CON EL DISEÑO DE LA HERRAMIENTA A APLICAR Y OTRAS ACTIVIDADES COMPLEMENTARIAS DEL DIAGNÓSTICO INICAL DE ESTE COMPONENTE DENTRO DE LA CONTRATACIÓN REALIZADA.</t>
  </si>
  <si>
    <t>SE ASESORAN A 29 ESES Y 8 ENTIDADES DESCENTRALIZADAS EN MANUAL DE FUNCIOENS Y ESCALAR SALARIALES. SE DIO ASISTENCIA TECNICA EN MODIFICACION DE PLANTA, MANUAL DE FUNCIONESN Y ESCALAS SALARIALES A 38 ESES, 1 MUNICIPIO Y 9 ENTID, DESCENTRALIZADAS.</t>
  </si>
  <si>
    <t>SE CREÓ EL COMITE DE ATENCIÓN AL CIUDADANO CON LA RESOLUCIÓN NO. 636 DEL 20 DE SEPTIEMBRE DEL 2013, Y SE SOCIALIZÓ AL LOS INTEGRANTES Y AL EQUIPO DE MEJORAMIENTO DEL PROCESO. SE CONSTRUYÓ EL MAPA DE RIESGOS ESTA CARGADO EN ISOLUCIÓN. SE REALIZARON 5 JORNADAS DE CAPACITACIÓN A TRAVÉS DEL SENA, NO SE VALIDÓ EL MANUAL DE TRAMITES Y SERVICIOS NO SE VALIDA POR PARTE DEL GESTOR DEL PROCESO, NO ES POSIBLE AVANZAR EN EL PORTAFOLIO DE SERVICIOS QUEDA EN BORRADOR, EL PROTOCOLO DE ATENCIÓN NO FUE VALIDADO. LA POLITICA ESTA EN BORRADOR. SE IMPLEMENTA UNA PRUEBA PILOTO DEL PROCEDIMIENTO PQRS PARA LA SECRETARIA DE SALUD, COMPRA DEL PREDIO PARA LA IMPLEMENTACION DEL CENTRO INTEGRADO DE ATENCIÓN AL CIUD</t>
  </si>
  <si>
    <t>SE REALIZÓ ASESORÍA, ACOMPAÑAMIENTO Y SEGUIMIENTO A TODAS LAS DEPENDENCIAS DEL SECTOR CENTRAL DE LA GOBERNACIÓN, SE REALIZÓ EL SEGUIMIENTO AL PLAN DE MEJORAMIENTO ARCHIVISTICO CON LAS DEPENDENCIAS COMPROMETIDAS, SECRETARIAS GENERAL, EDUCACIÓN Y EL ICCU. SE REALIZARON CAPACITACIONES EN GESTIÓN DOCUMENTAL POR EL SENA A LOS FUNCIONARIOS DEL SECTOR CENTRAL. SE ELABORARON LOS PROYECTOS DE AJUSTES DE TABLAS DE RETENCIÓN DOCUMENTAL DEL SECTOR CENTRAL</t>
  </si>
  <si>
    <t>ACUMULADO AL 4° TRIMESTRE SE INTERVENIERON 14 BIENES: COMPRA 4: 1 MPIO DE UTICA, 2 MPIO DE SUSA, 3 MPIO DE PUERTO SALGAR , 4 SEDE ADMINISTRATIVA INT 2 OFIC 201, SEGUNDO PISO TORRE DE SALUD, ELABORACIÓN DE ESTUDIOS Y DISEÑOS: 1 PALACIO DE SAN FRANCISCO. MANTENIMIENTO Y ADECUACIÓN: 7: 1 ALMACEN DE LA SECRETARIA DE SLAUD, 2 LABORATORIO DE SALUD. 3 SALON DE CONDUCTORES, 4 EDIFICIO ASAMBLEA, 5 NOVENO PISO TORRE CENTRAL, 6 PALACIO SAN FRANCISCO, CONSTRUCCIÓN Y REMODELACIÓN 4 BIENES: 1 CERCUN , 2 OCTAVO PISO TORRE CENTRAL, 3 SEPTIMO PISO TORRE CENTRAL, 4 SEXTO PISO TORRE CENTRAL</t>
  </si>
  <si>
    <t>A) TRANSFERENCIA DE RECURSOS PARA EL SANEAMIENTO DE PASIVOS LABORALES, TRIBUNALES DE ÉTICA DEL SECTOR SALUD, PARA HOSPITALES UNIVERSITARIOS, B) TRANSFERENCIA DE RECURSOS PARA EL APALANCAMIENTO FINANCIERO A EMPRESAS SOCIALES DEL ESTADO PARA GARANTIZAR LA PRESTACIÓN DE SERVICIOS DE SALUD. C) TRANSFERENCIA DE RECURSOS PARA LA CULMINACIÓN DE ACTIVIDADES POSTERIORES E INHERENTES A LA LIQUIDACIÓN DE ESES DEPARTAMENTALES. $ 247.472.000 . APALANCAMIENTO FINANCIERO A 3 ESES (SOPÓ, VILLETA Y FACATATIVA). PROCESO DE MERITOCRACIA A CINCO ESES (TOCAIMA, PTO SALGAR, VERGARA, MEDINA Y CHOCONTÁ)</t>
  </si>
  <si>
    <t>ASIGNACIÓN DE RECURSOS PARA DOTACIÓN E INFRAESTRUCTURA DE SERVICIOS HABILITADOS CON BASE EN LOS REQUISITOS DEL SISTEMA UNICO DE HABILITACIÓN, A LAS 53 ESES DE LA RED DEPARTAMENTAL ASI: INFRAESTRUCTURA $10.380.766.399;, A LAS ESES DE ANOLAIMA, CÁQUEZA, CARUPA, CUCUNUBÁ, CHIA, CHOCONTÁ, EL COLEGIO, EL PEÑON, FACATATIVA, FUSAGASUGÁ, FÓMEQUE, FOSCA, GACHETA, GUACHETÁ, GUADUAS, GUATAVITA, JUNIN, LA MESA, LA PALMA, MEDINA, NEMOCÓN,PACHO, PUERTO SALGAR, RICAURTE, HOSPITAL UNIVERSITARIO LA SAMARITANA, SAN ANTONIO DE TEQUENDAMA, SAN FRANCISCO, SAN JUAN DE RIOSECO, SILVANIA, SASAIMA, SESQUILE, SOACHA, SOPÓ, TABIO, TAUSA, TENJO, TOCAIMA, UBATE, UNE, VERGARA, VILLETA, VIOTA Y VIANÍ;</t>
  </si>
  <si>
    <t>LAS ACTIVIDADES DE INTERVENTORÍA CONTRIBUYEN AL BUEN FUNCIONAMIENTO DEL HOSPITAL DE SOACHA, DE TERCER NIVEL, CON BENEFICIO DIRECTO A LOS PACIENTES QUE SON REMITIDOS POR LOS HOSPITALES DE LA RED DEPARTAMENTAL.-EN CUMPLIMIENTO DE LAS COMPETENCIAS, LA DIRECCIÓN DE IVC, RALIZÓ VISITAS DE VERIFICACIÓN DE LAS CONDICIONES DE HABILITACIÓNA PRIORIZANDO LAS IPS PÚBLICAS Y PRIVADAS, LOGRANDO DAR CUMPLIMIENTO AL PLAN DE MATERNIDAD SEGURA DEFINIDO EN LA CIRCULAR CONJUNTA 005 DE 2012.</t>
  </si>
  <si>
    <t>SE LLEVARON ACABO CUATRO CAPACITACIONES A FUNCONARIOS EN RELACIONES PUBLICAS Y PROTOCOLO 7 FUNCIONARIOS, JORNADA INTERNACIONAL DE DERECHO PENAL, PROCESO DE PAZ Y JUSTICIA TRANSICIONAL 40 FUNCIONARIOS, DIPLOMADO EN DERECHO PROBATORIO 40 FUNCIONARIOS, SEMINARIO GESTION DEL CAMBIO 27 FUNCIONARIOS.EL 5 PORCIENTO DE LOS FUNCIONARIOS. SE DIO CAPACITACION EN COMPETENCIAS COMPORTAMENTALES A 160 FUNC, CAPACITACION EN DERECHO TRIBURARIO PARA 37 FUNCIONARIOS. PARTICIPARON EN EL PROGRAMA DE REINDUCCION 887 FUNC, Y EN INDUCCION 196 FUNC.</t>
  </si>
  <si>
    <t>CELEBRACION DEL DIA DEL CONDUCTOR CON APORTES GESTIONADOS ANTE LA CORPORACION SOCIAL Y COLSUBSIDIO,PARTICIPARON 465 FUNCIONARIOS, PASEO A PICILAGO, CAPACITACION A PREPENSIOANDOS 40 FUNCIONARIOS, ENTREGA DE TRES INCENTIVOS,APOYO A LA IMPLEMENTACION DEL TELETRABAJO.CELEBRACIÓN DE LA NAVIDAD E LOS FUNCIONARIOS Y SU FAMILIA (DOROTHY) Y NAVIDAD DE LOS FUNCIONARIOS (SHOW DE MAGIA)COMO META DEBIAMOS LLEGAR AL 80% DE LOS FUNCIONARIOS EN LA VIGENCIA; EL RESULTADO A DICIEMBRE DE 2013 FUE DE 2.620 FUNCIONARIOS PARTICIPACIPANTES QUE REPRESENTA EL 233% DE EJECUCIÓN.</t>
  </si>
  <si>
    <t>SE HA MEJORADO LA CALIDAD DEL VIDA DE LOS AFILIADOS A LA CSC MEDIANTE LA ASIGNACIÓN DE CREDITOS ASI: 514 EN VIVIENDA, 2216 DE LIBRE INVERSIÓN Y 277 EDUCATIVOS PARA UN TOTAL DE 3009, ALCANZANDO UNA INVERSIÓN DE 68686 MILLONES DE PESOS, CON UN AVANCE PORCENTUAL SOBRE LA META PROPUESTA DEL 58%. PARA EL 2013</t>
  </si>
  <si>
    <t>EL 50 % DE LOS AFILIADOS A LA CSC HAN RECIBIDO BENEFICIOS A TRAVES DE: EVENTOS PROMOCIONALES, RECREACIÓN, CULTURA, CAPACITACIÓN Y SUBSIDIOS, DE UN TOTAL DE 14.500 AFILIADOS.</t>
  </si>
  <si>
    <t>PRACTICA DE EXAMENES MEDICOS OCUPACIONALES PARA 99 FUNCIOANRIOS, 26 EXAMENESMEDICOS DE INGRESO Y 16 DE EGRESO, SE VISITARON 25 PEUSTOS DE TRABAJO PARA IMPELEMNTAR EL PROGRAMA DE DISMINUCION DE LESIONES MUSCULARES, ESQUELETICAS- FASE DIAGNOSTICA, ENTREGA DE CHALECOS A 58 BRIGADISTAS, ANALSISI DE CAUSALIDAD DE ACCIDENTES DE TRABAJO, RECOEMNDACIOENS TECNICAS.EXAMENES MÉDICOS PERIÓDICOS OCUPACIONALES 99, LA META ERA EL 20% DE PARTICPACIONES QUE SON 274 FUNCIONARIOS; EL RESULTADO A 30 DE NOVIEMBRE DE 2013 FUE DE 1128 PARTICIPACIONES QUE ES EL 85%, LA META FUE SUPERADA EN UN 65%.</t>
  </si>
  <si>
    <t>SE REALIZÓ LA INTERVENCIÓN DEL NOVENO, OCTAVO PISO Y SEXTO PISO DE LA TORRE CENTRAL , CUMPLIENDO CON LAS RECOMENDACIONES DE LA ARL POSITIVA REMITIDAS EN EL MANUAL DE DISEÑO ERGONÓMICO, PUESTOS DE TRABAJO CON VIDEO TERMINAL, EN EL DISEÑO DE NUEVOS PROYECTOS DE REMODELACIÓN DE OFICINAS, REMITIDO A TRAVÉS DE LA SECRETARIA DE FUNCIÓN PÚBLICA, GARANTIZANDO LA SALUD DE LOS FUNCIONARIOS FRENTE A LA ERGONOMÍA DE LOS PUESTOS DE TRABAJO Y SILLAS, EVITAR LA CONTAMINACIÓN Y/O AFECTACIÓN RESPIRATORIA Y DERMATOLÓGICA POR ÁCAROS, LA ILUMINACIÓN Y LA UBICACIÓN POR TEMA HECHO QUE GARANTIZA LA INTEGRACIÓN DE LOS EQUIPOS DE TRABAJO,</t>
  </si>
  <si>
    <t>SIN AVANCE POR CUANTO ESTA META SE ENCUETRA PROGRAMADA A PARTIR DEL AÑO 2014</t>
  </si>
  <si>
    <t>ESTA META LA REPORTA SECRETAARIA DE PRENSA</t>
  </si>
  <si>
    <t>RECONOCIMIENTO POR PARTE DE LOS ACTORES INTERNOS (FUNCIONARIOS) Y EXTERNOS (FUNCIONARIOS MUNICIPALES Y COMUNIDAD) DE LA HERRAMIENTA REDPEC COMO UN MEDIO DE INTERACCIÓN PARA TENER ACCESO A INFORMACIÓN DE INTERÉS, QUE SE EVIDENCIA EN EL ÉXITO DE LAS CONVOCATORIAS REALIZADAS POR ESTE MEDIO. SE COORDINO LA ELABORACION DEL PLAN ANTICORRUPCION EL CUAL FUE CALIFICADO POR EL DNP COMO EL MEJOR PLAN A NIVEL NACIONAL, EN ESPECIAL POR SU COMPONENTE DE RENDICION DE CUENTAS.</t>
  </si>
  <si>
    <t>SE HAN REALIZADO DOS REUNIONES PROGRAMADAS POR SECRETARÍA DE LAS TIC PARA HACER LA PRESENTACIÓN DE CALL CENTER , A ENTIDADES EXPERTAS EN EL TEMA DE ATENCIÓN DEL CALL CENTER, QUIENES NOS OFRECEN SUS SERVICIOS COMO OPERADORES.</t>
  </si>
  <si>
    <t>APREHENSIÓN LICOR DE 86 MIL EN 2012 A 200 MIL EN 2013, APREHENSIÓN DE CIGARRILLOS DE 0 EN 2012 A 38.5 MIL EN 2013, ELEMENTOS SECOS DE 0 EN 2012 A 221.5 MIL EN 2013, OPERATIVOS DE 61 EN 2012 A 237 EN 2013, CAPTURADOS DE 13 EN 2012 A 134 EN 2013, AVALÚOS M/CIA BODEGA DE 1.000 MILLONES EN 2012 A 4.400 MILLONES EN 2013; LOS RECAUDOS AUMENTARON EN 70 MIL MILLONES OSEA EL 11% EN LOS ING TRIBUTARIOS DE 632 MIL MILLONES EN 2012 A 702 MIL MILLONES EN 2013, AUMENTO DE 39 MIL MILLONES, EL 14%,EN EL IMPUESTO DE REGISTRO AL PASAR DE 274 MIL MILLONES EN 2012 A 313 MIL MILLONES EN 2013, AUMENTO DE 4.700 MILLONES, EL 13% EN VEHÍCULOS DE 35.300 MILLONES EN 2012 A 39 MIL MILLONES EN 2013, 4.6% INCR CONSUMO.</t>
  </si>
  <si>
    <t>ACUERDO DE HERMANAMIENTO ENTRE LA PROVINCIA DE QINGHAI -CHINA- Y EL DEPARTAMENTO DE CUNDINAMARCA. INTERCAMBIO DE CONOCIMIENTO TÉCNICO CON LA REPÚBLICA DE GUATEMALA. CONVENIO MARCO ENTRE EL DEPARTAMENTO DE CUNDINAMARCA Y LA CRUZ ROJA COLOMBIANA SECCIONAL CUNDINAMARCA Y BOGOTÁ. CONVENIO DE COOPERACIÓN ENTRE HOSPITAL PEDRO LEÓN ALVAREZ DEL MUNICIPIO DE LA MESA Y LA CORPORACIÓN CONEXIÓN COLOMBIA. CONVENIO ENTRE LA UNIVERSIDAD DE ALICANTE (ESPAÑA) Y LA GOBERNACIÓN. MOU ENTRE LA GOBERNACIÓN, EPC Y KEITI DE COREA DEL SUR. CONVENIO ENTRE LA GOBERNACION, EPC Y CAF. CONVENIO ENTRE LA GOBERNACIÓN Y TRUST FOR THE AMERICAS AFILIADO DE LA OEA. CONVENIOS CON LA EMPRESA UNE EPM Y FUNDACIÓN ÉXITO.</t>
  </si>
  <si>
    <t>DESDE LA DIR. DE POLITICAS PUBLICAS SE TRABAJA EN LA CONSOLIDADION DE 2 MECANISMOS DE GESTION, UNO DE ORDEN LOCAL, EN LO RELACIONADO CON EL ACOMPAÑAMIENTO AL DESARROLLO DE LA INICATIVA OVOP EN EL MUNICIPIO DE SUSA.</t>
  </si>
  <si>
    <t>SE HAN CAPACITADO EN ESTOS TEMAS: (SISTEMA GENERAL DE REGALIAS - 185 PERSONAS) - (EVALUACION DEL DESEMPEÑO INTEGRAL 153) , (FUT - 232 PERSONAS), (PLAN ANTICORRUPCION - 168), (POT PROVINCIALES 1078), NUEVO CODIGO DE PROCEDIMIENTO ADMINSITRATIVO 133 PERSONAS), (SICEP COMPONENTE EFICACIA 180), (SEMINARIO GESTIÓN CONTRACTUAL -392), (9° CONGRESO DE PLANEACION PARTICIPATIVA - 154), (PRESUPUESTO VIGENCIA 2014 - MARCO FISCAL DE MEDIANO PLAZO - 140 PERSONAS) , (SEMINARIO PERSPECTIVAS DEL TERRITORIO FRENTE AL ORDENAMIENTO TERRITORIAL - 170)</t>
  </si>
  <si>
    <t>SE DEFINIÓ Y ESTRUCTURÓ UN PROGRAMA PARA APOYAR A 53 MUNICIPIOS DEL DEPARTAMENTO EN PROCESOS DE FISCALIZACIÓN Y RECUPERACIÓN DE CARTERA TRIBUTARIA.. EL PROCESO NO SE ADJUDICO</t>
  </si>
  <si>
    <t>SE INGRESO A LAS BASES DE DATOS MUNICIPALES LA INFORMACION DE LOS SECRETARIOS DE GOBIERNO, JEFES DE CONTROL INTERNO, WEB MASTER, DIRECTORES DE CASA DE CULTURA PARA UN TOTAL 500 NUEVOS USUARIOS.</t>
  </si>
  <si>
    <t>NO PRESENTA AVANCE, SE HA APOYADO LOS PROCESOS ELECTORALES ATÍPICOS EN LOS MUNICIPIOS DE COTA Y MACHETA</t>
  </si>
  <si>
    <t>SE APOYO AL MUNICIPIO DE BELTRAN; EN LA ELABORACION DE LA CONSERVACIÓN CATASTRAL, COMO ALTERNATIVA A LA BAJA DE CAPACIDAD OPERATIVA DEL IGAC.</t>
  </si>
  <si>
    <t>SE DEFINIERON LOS 4 TIPOS DE UNIDADES :</t>
  </si>
  <si>
    <t>EN EL MARCO DE LA JORNADA DE RENDICIÓN DE CUENTAS PARA ALCALDES LA CUAL SE REALIZO EN LA CIUDAD DE GIRARDOT EL 8 Y 9 DE MARZO DE 2103 SE REALIZÓ LA PRIMERA FERIA INSTITUCIONAL Y DE SERVICIOS.</t>
  </si>
  <si>
    <t>CON LA GIZ SE TRABAJO EN UNA CONSULTORIA CON PROMAC,CON EL OBJETO DE BRINDAR APOYO TÉCNICO Y COORDIACIÓN DE ACTIVIDADES EN ORDENAMIENTO TERRITORIAL EN LOS MUNICIPIOS DE SAN JUAN DE RIOSECO Y VIANÍ, SE ELABORARON LOS TERMINOS DE REFERENCIA Y SE PARTICIPÓ EN EL PROCESO DE SELECCIÓN DEL CONSULTOR. SE TRABAJO EN LOS TRES COMPONENTES DEFINIDOS: FORTALECIMIENTO INSTITUCIONAL DEL SECTOR AMBIENTAL, ORDENAMIENTO AMBIENTAL DEL TERRITORIO, INSTRUMENTOS ECONÓMICOS PARA LA CONSERVACIÓN DE LA BIODIVERSIDAD Y LOS SERVICIOS ECOSISTÉMICOS, LOS CUALES SE DESARROLLARON CON LAS ADMINISTRACIONES MUNICIPALES Y LA COMUNIDAD</t>
  </si>
  <si>
    <t>DE CONFORMIDAD CON LA META SE PROGRAMA LA DOTACION ADUCUACION, MEJAMIENTO DE LA CASAS DE GOBEIRNO DEL DEPARTAMENTO DE CUNDINAMARCA EN AL MENOS 8 MUNICIPIOS DEL DEPARTAMENTO DE CUNDINAMARCA</t>
  </si>
  <si>
    <t>SE HA DADO CUMPLIMIENTO A LO ESTABLECIDO EN LOS ARTICULOS 12 Y 35 DE LA LEY 152/94, PREESTANDO EL APOYO ADMINISTRATIVO Y LOGISTICO INDISPENSABLE APRA EL FUNCIONAMIENTO DEL CONSEJO Y ADICIONALMENTE SE REALIZÓ EL 9° CONGRESO DEPTAL DE PLANEACIÓN CON LA ASISTENCIAS DE 161 PARTICIPANTES A LOS CUALES SE LES SUMINSITRO ALIMENTACIÓN, ALOJAMIENTO, TRASPORTE Y SE REALIZÓ LA GESTION PARA CONTAR CON LA PARTICIPACION DE CONFERENCIASTAS DE RECONOCIDA TRAYECTORIA EN LOS TEMAS SELECCIONADOS POR LOS CONSEJEROS, A SABER: ESQUEMAS ASOCIATIVOS, ORDENAMIENTO TERRIOTIRAL, SGR Y PAPEL DEL CONSEJERO TERRITORIAL.</t>
  </si>
  <si>
    <t>SE SOCIALIZA Y SENSIBILZA LA IMPORTANCIA DE LA POLITICA PUBLICA COMO IMPACTO EN EL SERVIDOR PUBLICO Y LA COMUNIDAD. EN REUNIÓN REALIZADA EL 12 DE JUNIO DEL CONSEJO DEPARTAMENTAL DE POLÍTICA PÚBLICA SOCIAL CODEPS, HUBO PARTICIPACIÓN DE ADOLESCENTES VIA CHAT Y SKIPE REPRESENTANDO POR EL MUNICIPIO DE PUERTO SALGAR EN LOS TEMAS DE ABORDAJE DE LA POLÍTICA DE PREVENCIÓN DE TRABAJO INFNATIL DEL DEPARTAMENTO. DENTRO DEL MARCO DEL DIA MUNDIAL DE ERRADICACIÓN DE MALTRATO INFANTIL. DENTRO DEL MARCO DEL CONVENIO DE COMPENSAR SE ACTIVARON 35 COMPOS Y MESAS TECNICAS DE INFANCIA, EN LO REFERENTE A LOS TEMAS DE TRABAJO INFANTIL Y EMBARAZO EN ADOLESCENTES. TEMAS PRIORITARIOS DE LA INFANCIA.</t>
  </si>
  <si>
    <t>SE APOYÓ A LOS MUNICIPIOS EN LA CONFORMACIÓN DE LOS CONSEJOS CONSULTIVOS DE MUJERES MEDIANTE EL ACOMPAÑAMIENTO Y LA IMPLEMANTACION DE LA POLITICA PUBLICA DE LA MUJER.</t>
  </si>
  <si>
    <t>SE FORMENTO LA CREACION Y PUESTA DE FUNCIONAMIENTO DE LA VEEDURIAS CIUDADANAS EN LAS 15 PROVINCIAS DEL DEPARTAMENTO DE CUNDINAMARCA</t>
  </si>
  <si>
    <t>CREACION Y FORMACION DE VEEDURIAS CIUDADANAS EN LAS 15 PROVINICAS DEL DEPARTMENTO</t>
  </si>
  <si>
    <t>PARA EL CUMPLIMIENTO DE LA META SE REALIZARON VISITAS A LAS FORMAS DE PARTICIPACION SOCIAL (COPACOS, VEEDURIAS Y OFICINAS SAC)CON EL FIN DE REALIZAR EL ACOMPAÑAMIENTO, LA CAPACITACION Y HACER PARTE ACTIVA DE LA CONFORMACION Y PUESTA EN FUNCIONAMIENTO DE LAS FORMAS DE PARTICIPACION MENCIONADAS EN LOS MUNICIPIOS VISITADOS. EN LOS MUNICIPIOS EN LOS CUALES NO SE ENCUENTRAN ESTAS FORMAS DE PARTICIPACION CONFORMADAS SE DEJARON COMPROMISOS PARA REALIZAR LAS CONVOCATORIAS PARA LA CONFORMACION DE LAS MISMAS.</t>
  </si>
  <si>
    <t>EN EL AÑO 2013 SE HAN REALIZADO VISITAS DE INSPECCION, ASESORIA, ASISTENCIA TECNICA Y JURIDICA A 97 ORGANIZACIONES COMUNALES FAVORECIDAS CON OBRAS Y/O SERVICIOS SOCIOECONOMICOS DE INNOVACION PARA EL DESARROLLO COMUNITARIO Y LOCAL, LAS CUALES HAN SURTIDO LAS ETAPAS DE VIABILIZACION, DOCUMENTACION REQUERIDA, FIRMA DEL CONVENIO, LEGALIZACION DEL CONVENIO, FIRMA DEL ACTA DE INICIO. SE TERMINO LA EJECUCIÓN DE 51 OBRAS CONTRATADAS CON PRESUPUESTO AÑO 2012, DENTRO DE LAS QUE ESTAN: PLACAS DE POLIDEPORTIVOS, CANCHAS MULTIPLES, PLACAS HUELLAS, ANDENES, PLACA SENDERO Y ADECUACION SALONES COMUNALES. SE BENEFICIAN A COMUNIDADES DE 90 MUNICIPIOS. SE FIRMO CONVENIO CON FONDECUN PARA EJECUTAR PROYECTO</t>
  </si>
  <si>
    <t>EN 2013 SE ENCUENTRA DESARROLLADO EN UN 90% EL PROCESO DE LOGRAR 36 MUNICIPIOS MAS AMABLES CON TRABAJO COMUNITARIO A TRAVES DEL EMBELLECIMIENTO DE SU ENTORNO. SE CONTRATO SUMINISTRO DE PINTURAS PARA EL PROYECTO. SE HAN REALIZADO JORNADAS DE INTEGRACION, CAPACITACION, SOCIALIZACION Y TRABAJO COMUNITARIO, CON GRAN ACEPTACION Y PARTICIPACION DE LA COMUNIDAD. SE HAN ENTREGADO 32 MUNICIPIOS MAS AMABLES. SE DESARROLLARON REUNIONES DE INFORMACIÓN, PLANEACIÓN Y SEGUIMIENTO A ACTIVIDADES DE CONTRATISTAS CON EL FIN DE SUPERVISAR Y COORDINAR LOGISTICA DE EVENTOS DE SOCIALIZACIÓN CON LA COMUNIDAD. SE FIRMO CONVENIO PARA COADYUVAR EN LA EJECUCION DEL PROYECTO.</t>
  </si>
  <si>
    <t>SE HAN APOYADO ORGANIZACIONES COMUNITARIAS A TRAVES DE CAPACITACIONES EN TEMAS COMUNALES, ASISTENCIA A PLENARIAS, DILIGENCIAS DE LEGALIZACION DE COMODATOS, EVENTOS DE INTEGRACION Y VISITAS ADMINISTRATIVAS A ORGANISMOS COMUNALES EN LAS QUE SE LES BRINDÓ ASESORÍA, CAPACITACIÓN, ACOMPAÑAMIIENTO Y HERRAMIENTAS EN ADMINISTRACIÓN Y GESTIÓN COMUNAL. ADEMAS SE REALIZO LA DOTACION, A TRAVES DE COMODATOS, DE MOBILIARIO Y EQUIPOS A ORGANIZACIONES COMUNALES CON EL FIN DE BRINDAR HERRAMIENTAS QUE FACILITEN EL DESARROLLO DE LA PARTICIPACION COMUNITARIA Y CIUDADANA.</t>
  </si>
  <si>
    <t>SE HAN FORTALECIDO ORGANIZACIONES COMUNITARIAS DEL DEPARTAMENTO A TRAVES DE EVENTOS DE INTEGRACIÓN Y PARTICIPACIÓN CON DINAMCAS DE COMUNICACIÓN EN ENCUENTROS AMBIENTALES, CELEBRACION DE BICENTENARIO, FORTALECIMIENTO DE EMISORAS COMUNITARIAS, CARNETIZACION DE DIGNATARIOS COMUNALES, CAPACITACIÓN EN HERRAMIENTAS INFORMATICAS DE COMUNICACIÓN, E MAIL E INTERACCIÓN CON NUESTRA PAGINA WEB, PROMOCION DE LA PARTICIPACION EN LOS JUEGOS DEPORTIVOS Y RECREATIVOS COMUNALES.</t>
  </si>
  <si>
    <t>NO PRESENTA AVANCE A LA FECHA. SE TIENE PRECISADO CONCERTAR ACCIONES CONJUNTAS CON LA SECRETARIA DE DESARROLLO SOCIAL, CON EL FIN DE AUNAR ESFUERZOS Y DETERMINAR LA POBLACION OBJETIVO PARA FOMENTAR LA CREACION DE LAS MESAS AUTONOMAS DE GRUPOS ETNICOS.</t>
  </si>
  <si>
    <t>SE REALIZO LA CONTRATACION PARA EL DESARROLLO DE LAS DIFERENTES FASES CON EL FIN DE REALIZAR ACTIVIDADES DE SOCIALIZACION, APOYO LOGISTICO, DIDACTICO Y PUBLICITARIO , ADEMÁS DEL DESARROLLO DE LOS EVENTOS DE FORMULACION E IMPLEMENTACION DE LAS AGENDAS DE DESARROLLO LOCAL EN 10 MUNICIPIOS DE LA PROVINCIA DE ORIENTE.Y SEIS DE LA SABANA. SE COORDINO LOGISTICA Y LAS CAPACITACIONES ESTABLECIENDO LAS FECHAS A REALIZARSE EN CADA MUNICIPIO. SE CUMPLIO CON LO PROGRAMADO. SE CONTO CON GRAN ASISTENCIA DE HABITANTES DE LOS MUNICIPIOS DE ANOLAIMA Y LA CALERA, QUE PARTICIPAN ACTIVAMENTE EN EL DESARROLLO DE SU COMUNIDAD Y DE SU MUN ICIPIO A TRAVES DE LA CONSTRUCCION DE LAS AGENDAS DE DESARROLLO LOCAL.</t>
  </si>
  <si>
    <t>SE HAN SUSCRITO 3 CONVENIOS INTERADMINSITRATIVOS CON LOS MUNICIPIOS DE NEMOCÓN, SAN FRANCISCO Y FACATATIVÁ PARA LA IDENTIFICACIÓN DEL PATRIMONIO ARQUEOLOGICO EN EL DEPARTAMENTO, ESTOS PRESENTAN UN AVANCE DEL 40%.</t>
  </si>
  <si>
    <t>SE AVANZA EN EL TRAMITE Y LA SUSCRIPCIÓN DE UN CONVENIO CON LA ASOCIACIÓN DE AMIGOS DEL MUSEO NACIONAL PARA FOMENTER LA VISITA GUIADA A LOS MUSEOS Y LA PROXIMA REALIZACIÓN DE DOS ENCUENTROS DEPARTAMENTALES CON LOS DIRECTORES DE MUSEOS DE CUNDINAMRCA PARA EL FORTALECIMIENTO DE LA RED DE MUSEOS DE CUNDINAMARCA.</t>
  </si>
  <si>
    <t>SE HAN APOYADO 7 EVENTOS PROVINCIALES EN EL MARCO DE LA CONMEMORACIÓN DEL BICENTENARIO DE CUNDINAMARCA EN LOS MUNICIPIOS DE , LA MESA, FACATATIVÁ, GACHETA, FUSAGASUGÁ, CUCUNUBA, PACHO Y SAN JUAN DE RIOSECO ATRAVÉS DE CONVENIO INTERADMINISTRATIVO</t>
  </si>
  <si>
    <t>SE HAN BENEFICIADO 150 VIGIAS DEL PATRIMONIO MEDIANTE LA CONFORMACIÓN / CONSOLIDACIÓN DE 6 GRUPOS DE VIGIAS A TRAVÉS DE LOS CONVENIOS PARA LA CAPACITACIÓN DE LOS VIAGIAS DE LOS UNCIOIOS DE: TENA, JERUSALEN, ZIPACON, TABIO, TENJO Y TAUSA.</t>
  </si>
  <si>
    <t>NO OBSTANTE HABER APROBADO VIGENCIAS FUTURAS E INICIAR EL PROCESO DE LICITACIÓN, ESTE NO FUE POSIBLE CULMINARLO EN EL 2013, SE RETOMARÁ EN ENERO DE 2014: ACTUALMENTE SE CUENTA CON UN PILOTO QUE INCLUYE LOS MUNICIPIOS DE SAN JUAN DE RIOSECO, LA PEÑA Y YACOPI</t>
  </si>
  <si>
    <t>CON EL PROYECTO DE FIBRA ÓPTICA NACIONAL SE BENEFICIARON 42 DURANTE EL AÑO 2013, PARA LLEGAR A UN CUBRIMIENTO DE 101 MUNICIPIOS EN EL DEPARTAMENTO.</t>
  </si>
  <si>
    <t>SE FORTALECIÓN LA INSFRAESTRUCTURA TEÉCNOLÓGICA CON 19 SERVIDORES CORPORATIVOS, 158 CINTAS MAGÉTICAS Y 20 TB EN ALMACENAMIENTO,</t>
  </si>
  <si>
    <t>SE RENOVARON 557 EQUIPOS DE COMPUTO, ENTRE ESCRITORIO, PORTATILES, ULTRABOOK Y WORK STATION, 7 IMPRESORAS Y 3 SCANNER. ADICIONALMENTE SE HA SOPORTADO LA TOTALIDAD DE LA INFRAESTRUCTURA COMPUTACIONAL, ELÉCTRICA Y DE RED EXISTENTE MEDIANTE EL SERVICIO DE MESA DE AYUDA</t>
  </si>
  <si>
    <t>APALANCAR FINANCIERAMENTE A LA RED HOSPITALARIA PÚBLICA ADSCRITA EN MIL SEISCIENTOS CUARENTA Y NUEVE MILLONES DE PESOS ($1.649.000.000) PARA LA ADQUISIÓN DE INFRAESTRUCTURA TECNOLOGICA EN LA ESES DEL DEPARTAMENTO. ANEXAMOS LA RELACIÓN DE LOS RECURSOS ASIGNADOS POR ESE</t>
  </si>
  <si>
    <t>SE HAN ACTUALIZADO 307 LICENCIAS DE SOFTWARE OFIMATICO</t>
  </si>
  <si>
    <t>"EN LA CONVOCATORIA DE CPE PARA LA ADQUISICIÓN DE TABLETAS DIGITALES, SE LOGRÓ ADQUIRIR 7290 TABLETAS, LAS CUALES FUERON ENTREGADAS A LOS MUNICIPIOS.Y CON LOS RECURSOS COMPROMETIDOS EN EL AÑO 2012 SE COMPRARÁN EQUIPOS DE AULAS INTERACTIVAS.</t>
  </si>
  <si>
    <t>LA META ESPERADA SE HA CUMPLIDO EN EL 45% AL PASAR DE 50% EN 2012 AL 73% EN 2013. SE ACTUALIZÓ LA PLATAFORMA COMPUTACIONAL SAP; FUERON ADQUIRIDOS NUEVOS DESARROLLOS QUE PERMITE OPTIMIZAR LA OPERACIÓN Y LOS PROCESOS DE LA GESTIÓN DOCUMENTAL Y RECAUDO CON LOS BANCOS.</t>
  </si>
  <si>
    <t>A LA FECHA 1.356 INSTITUCIONES PUBLICAS CUENTAN CON SERVICIO DE INTERNET: 26 BIBLIOTECAS, 35 ESTACIONES DE POLICIA, 1101 INSTITUCIONES EDUCATIVAS, 50 INSTITUCIONES DE SALUD, 59 PORTALES INTERACTIVOS, 85 ZONAS ZONAS WIFI.</t>
  </si>
  <si>
    <t>LA META SE CUMPLIÓ EN LA VIGENCIA 2012, SIN EMBARGO PARA PRESTAR MAYOR CUBRIMIENTO A MAS MUNICIPIOS, DURANTE EL AÑO 2013 SE AVANZÓ EN EL PROCESO LICITATORIO QUE CULMINARÁ EN EL PRIMER TRIMESTRE DE 2014.</t>
  </si>
  <si>
    <t>SE CONTRATÓ LA GERENCIA DEL PROYECTO MEDIANTE UN CONVENIO CON FONDECUN. SE CULMINÓ EL PROCESO, EL DEPARTANMENTO YA CUENTA CON UN APLAN ESTRATEGICO DE SISTEMAS DE INFORMACIÓN Y DE ARQUITECTURA INSTITUCIONAL</t>
  </si>
  <si>
    <t>SE IMPLEMENTARON LOS SIGUIENTES TRÁMITES PARA EL INSTITUTO DE ACCIÓN COMUNAL: CERTIFICACIONES DE PERSONERÍA JURÍDICA, APERTURA Y REGISTRO DE LIBROS, INSCRIPCIÓN DE DIGNATARIOS, INSCRIPCIÓN O REFORMA DE ESTATUTOS Y RECONOCIMIENTO Y REGISTRO DE PERSONERÍA JURÍDICA</t>
  </si>
  <si>
    <t>SE HAN SOPORTADO LOS 32 SISTEMAS DE INFORMACIÓN Y APLICACIONES</t>
  </si>
  <si>
    <t>SE FORTALECIMIENTO DEL PORTAL WEB CORPORATIVO, DANDO AL SERVICIO UNA NUEVA PLATAFORMA ESTANDAR Y AMIGABLE QUE FACILITA LA INTERACCIÓN DE LOS CIUDADANOS CON LA ADMINISTRACIÓN DEPARTAMENTAL, CUENTA CON MANTENIMIENTO POR UN AÑO. ADICIONALMENTE SE CONTRATÓ LA PRIMETA FASE DE IMPLEMENTACIÓN DE TELETRABAJO EN EL DEPARTAMENTO</t>
  </si>
  <si>
    <t>SE IMPLEMENTÓ EL SERVICIO DE MENSAJERIA INSTANTÁNEA Y TELEFONÍA IP EN 13 MUNICIPIOS DEL DEPARTAMENTO</t>
  </si>
  <si>
    <t>DURANTE EL PERIDO 2013 SE APALANCO FINANCIERAMENTE A LA RED HOSPITALARIA PÚBLICA ADSCRITA EN TRES MIL MILLONES DE PESOS PARA LA ADQUISIÓN DE EQUIPOS PARA LA IMPLEMENTACION DE TELEMEDICINA.</t>
  </si>
  <si>
    <t>APALANCAMIENTO FINANCIERO PARA LA IMPLEMENTACIÓN, ACTUALIZACIÓN, SOPORTE Y PUESTA EN PRODUCCIÓN DE LOS SISTEMAS INTEGRADOS DE INFORMACIÓN A PARTIR DE LO CUAL A LA FECHA SE CUENTA CON 32 ESES DE LA RED PÚBLICA ADSCRITA GENERANDO LA HISTORIA CLÍNICA ELECTRÓNICA. CON RESPECTO A LA RED DESCENTRALIZADA SE APALANCO A 8 ESES PARA LA ADQUISICIÓN DE UN SISTEMA DE INFORMACIÓN QUE LES PERMITA GENERAR LA HCE DICHAS ESES SON: RICAURTE, SAN FRANCISCO DE SALES, NIMAIMA, EL PEÑON, CUCUNUBA, TAUSA, SUESCA Y JUNIN.</t>
  </si>
  <si>
    <t>SE HA CAPACITADO EN CIUDADANÍA DIGITAL, SUIT, WEB A FUNCIONARIOS MUNICIPALES Y DEPARTAMENTALES. EL SENA REGIONAL CUNDINAMARCA EN EL MARCO DEL CONVENIO 075 SE ENCUENTRA REALIZANDO PROCESOS DE FORMACIÓN EN DIFERENTES PORTALES INTERACTIVOS, PERO NO HA ENVIADO REPORTES AL DEPARTAMENTO, QUE NOS PERMITAN CONSOLIDAR EL NÚMERO DE CAPACITADOS Y LAS DIFERENTES ESPECIALIDADES. EL DEPARTAMENTO JUNTO CON LA ETB ADELANTARON Y ENTREGARON LA DOCUMENTACIÓN SOLICITADA POR MINTIC PARA DAR INICIO AL CONVENIO CUNDINAMARCA VIVE DIGITAL.</t>
  </si>
  <si>
    <t>SE FIRMÓ EL CONVENIO 026/2013, POR MEDIO DEL CUAL SE IMPLEMENTARON 5 CENTROS INTERACTIVOS EN LOS MUNICIPIOS DE LA PALMA, SAN CAYETANO, MACHETÁ, GUTIÉRREZ Y FOSCA. MINTIC DARÁ INICIO A LA IMPLEMENTACIÓN DE 25 PUNTOS VIVE DIGITAL EN DIFERENTES MUNICIPIOS DEL DEPARTAMENTO QUE DEBEN QUEDAR OPERATIVOS A EN EL PRIMER TRIMESTRE DE 2014.</t>
  </si>
  <si>
    <t>SE SUSCRIBIÓ CONVENIO CON LA EMPRESA INMOBILIARIA CUNDINAMARQUESA PARA LA ADECUACIÓN DE LA SEDE DEL CENTRO DE RECEPCIÓN DE LLAMADAS. SE REALIZARON DISEÑOS Y GESTIÓN DE LA LICENCIA DE CONSTRUCCIÓN DE LA SEDE CENTRAL DE MONITOREO, UBICADA EN LA AVENIDA DE LAS AMERICAS NO. 58 50 E INICIAMOS EL PROCESO DE CONTRATACION DE LAS OBRAS DE ADECUACION. SE ENTREGARON EQUIPOS DE COMUNICACIONES A LOS PRESIDENTES DE LAS JUNTAS DE ACCIÓN COMUNAL DE LOS 116 MUNICIPIOS DEL DEPARTAMENTO PARA EL REPORTE DE EMERGENCIAS, ORDEN PÚBLICO Y PREVENCIÓN DE DESASRES</t>
  </si>
  <si>
    <t>EN PROMEDIO SE RECIBEN 4000 LLAMADAS DIARIAS, QUE INCLUYEN (BROMAS, LLAMADAS CORTADAS, FALSAS ALARMAS, NIÑOS MOLESTANDO, LLAMADAS DE INSULTO Y LLAMADAS DE LIMITE QUE CORRESPONDEN A BOGOTÁ)</t>
  </si>
  <si>
    <t>OCHO (8) MUNCIPIOS SE ENCUENTRAN POR ENCIMA DEL 80% DEL PROMEDIO DEL INDICE GEL. SE REALIZÓ ACOMPAÑAMIENTO A PARTIR DEL MES DE OCTUBRE POR PARTE DE CINTEL DEL MINISTERIO DE LAS TIC A LA GOBERNACIÓN.SE REPLICO A LOS MUNICIPIOS LO TRABAJADO EN LA GOBERNACIÓN CON CINTEL. LA CORPORACIÓN RED JÓVENES CONSTRUCTORES DE PAZ REALIZÓ LA MEDICIÓN DEL INDICE EN EL ACOMPAÑAMIENTO A LOS MUNICIPIOS DANDO COMO PORCENTAJE DEPARTAMENTAL 60%. ASISTENCIA TECNICA PRESENCIAL EN LOS 116 MUNICIPIOS CAPACITANDO Y SENSIBILIZANDO A 1558 PERSONAS EN EL MANUAL 3.1 Y 232 EN LA HERRAMIENTA SUIT 3.0</t>
  </si>
  <si>
    <t>SE LOGRÓ LA CONTRATACIÓN DE LA CORPORACIÓN RED JÓVENES CONSTRUCTORES DE PAZ PARA EFECTUAR LA PROMOCIÓN, SEGUIMIENTO Y EVALUACIÓN DE LA ESTRATEGIA GEL EN MUNICIPIOS Y GOBERNACIÓN. DANDO COMO RESULTADO LA INSTITUCIONALIZACIÓN DE LA ESTRATEGIA MEDIANTE LOS COMITES GEL EN LOS 116 MUNICIPIOS,</t>
  </si>
  <si>
    <t>SE CUENTA CON UN BORRADOR DEL DOCUMENTO DE LINEAMIENTOS DE RESIDUOS ELECTRÓNICOS PARA EL DEPARTAMENTO DE CUNDINAMARCA Y LA IDENTIFICACIÓN DE GESTORES AMBIENTALES.</t>
  </si>
  <si>
    <t>CONTACTO CON EL IGAC PARA EL INTERCAMBIO DE CONOCIMIENTO EN EL PROCEDIMIENTO PARA ELABORAR EL MAPA DE COBERTURA VEGETAL EN EL MARCO DEL CONVENIO INTERADMINSITRATIVO NO. 06 DE 2008</t>
  </si>
  <si>
    <t>SE GENERARON 4 PUBLICACIONES:</t>
  </si>
  <si>
    <t>REUNIÓN TÉCNICA CON LA FIRMA INFORMESE (DISTRIBUIDORA DEL SOFTWARE ESTADÍSTICO SPSS) Y LA SECRETARÍA DE EDUCACIÓN PARA EVALUAR LA INTEGRACIÓN DE DATOS PROVENIENTES DE DIVERSOS APLICATIVOS DE LA SECRETARÍA Y SU POSTERIOR INCLUSIÓN EN UNA BODEGA DE DATOS.</t>
  </si>
  <si>
    <t>A LA FECHA SE HA DADO CONTINUIDAD AL MANTENIMIENTO, IMPLEMENTACION Y ACTUALIZACIÓN DEL SISTEMA DE INFOMACIÓN DE GESTIÓN EXTRAMURAL ONTRACK DE LA DIRECCIONES IVC . SE REALIZO LA ENTREGA DE EQUIPOS DE COMPUTO A LA DIRECCIÓN DE IVC Y EL LABORATORIO. E IGUALMENTE SE DOTO DE EQUIPOS MÓVILES REQUERIDOS PARA LOS PROCESOS DE CAPTURA DE CAMPO.</t>
  </si>
  <si>
    <t>DOCUMENTO DE LINEAMIENTOS PARA LA GENERACIÓN DE CARTOGRAFÍA PARA POT</t>
  </si>
  <si>
    <t>SE IDENTIFICARON NUEVOS REQUERIMIENTOS PARA COMPLEMENTAR E INCORPORAR AL SISTEMA SEGER, ACTUALMENTE EN PROCESO PRECONTRACTUAL. ASÍ MISMO DE FORMA PARALELA SE AVANZA EN EL ANALISIS DE LA MEJOR OPCIÓN PARA LOGRAR SISTEMATIZAR Y ENLAZAR AL 100% EL PROCESO DE PLANEACION Y EJECUCIÓN DEL PLAN DE DESARROLLO INCLUYENDO TODAS SUS HERRAMIENTAS, ( BANCO DE PROYECTOS, POAI, PLAN DE INDICATIVO, PLAN DE ACCIÓN, CONCEPTOS PRECONTRACTUALES, CONTRATACION . ETC)</t>
  </si>
  <si>
    <t>SE ADELANTA ACOMPAÑAMIENTO TÉCNICO A LOS 116 MUNICIPIOS EN EL USO Y ANÁLISIS DE INSTRUMENTOS DE SY E (PLAN INDICATIVO, PLAN DE ACCIÓN, POAI, SICEP) LOS CUALES PROCESAN Y REPORTAN LA INFORMACIÓN DE AVANCE ESTRATÉGICO Y FINANCIERO EN EL SICEP.</t>
  </si>
  <si>
    <t>PLAN DE MEJORAMIETO EN PLAN INDICATIVO, PLAN DE MEJORAMIENTO INFANCIA Y ADOLESCENCIA, PLAN DE MEJORAMIENTO CIERRE RENDICIÓN DE CUENTAS 2012 EN LA WEB</t>
  </si>
  <si>
    <t>SE DIO CUMPLIMIENTO A LOS 5 MOMENTOS DE LA RUTA RENDICIÓN DE CUENTAS 2012 CON LA PARTICIPACIÓN DE DIRECTIVOS Y FUNCIONARIOS EN EL DISEÑO E IMPLEMENTACIÓN. SE INSTITUCIONALIZÓ EN EL PLAN ANTICORRUPCIÓN</t>
  </si>
  <si>
    <t>SE IMPLEMENTÓ LA RUTA METODOLÓGICA Y SE PRESENTO EL AVANCE EN LA RENDICION DE CUENTAS 2012 A TODAS LAS INSTANCIAS.</t>
  </si>
  <si>
    <t>INICIO DE TODO EL PROCESO DE ALISTAMIENTO.</t>
  </si>
  <si>
    <t>SE PUBLICÓ LA RUTA, PRODUCTOS Y RESULTADOS DE LA RUTA RENDICIÓN DE CUENTAS 2012.</t>
  </si>
  <si>
    <t>4 ENCUESTAS: 3 DE PERCEPCIÓN CIUDADANA RENDICIÓN DE CUENTAS, 1 MUESTRA DE PERCEPCION GESTION</t>
  </si>
  <si>
    <t>META DE RESULTADO ASOCIADA</t>
  </si>
  <si>
    <t xml:space="preserve">RECURSOS PROGRAMADOS_META 2014 </t>
  </si>
  <si>
    <t xml:space="preserve">RECURSOS EJECUTADOS_META 2014 </t>
  </si>
  <si>
    <t>INDICADOR PRODUCTO 2015</t>
  </si>
  <si>
    <t>COMPARATIVO</t>
  </si>
  <si>
    <t>MINAS ILEGALES</t>
  </si>
  <si>
    <t>REDUCCIÓN DEL NUMERO DE MINAS ILEGALES</t>
  </si>
  <si>
    <t>NUMERO DE FAMILIAS CON AHORRO EN COSTO DEL SERVICIO DE GAS</t>
  </si>
  <si>
    <t>NUMERO DE  INSTANCIAS DE PARTICIPACIÓN CIUDADANA EN EL DESARROLLO DE PROGRAMAS Y PROYECTOS</t>
  </si>
  <si>
    <t>BENEFICENCIA.</t>
  </si>
  <si>
    <t>BOSQUES.</t>
  </si>
  <si>
    <t>CORSOCUN.</t>
  </si>
  <si>
    <t>EPC.</t>
  </si>
  <si>
    <t>ICCU.</t>
  </si>
  <si>
    <t>IDECUT.</t>
  </si>
  <si>
    <t>INDEPORTES.</t>
  </si>
  <si>
    <t>IDACO.</t>
  </si>
  <si>
    <t>VIVIENDA.</t>
  </si>
  <si>
    <t>AGRICULTURA.</t>
  </si>
  <si>
    <t>AMBIENTE.</t>
  </si>
  <si>
    <t>CIENCIA_Y_TECNOLOGIA.</t>
  </si>
  <si>
    <t>COMPETITIVIDAD.</t>
  </si>
  <si>
    <t>COOPERACION.</t>
  </si>
  <si>
    <t>DESARROLLO_SOCIAL.</t>
  </si>
  <si>
    <t>EDUCACION.</t>
  </si>
  <si>
    <t>FUNCION_PUBLICA.</t>
  </si>
  <si>
    <t>GENERAL.</t>
  </si>
  <si>
    <t>GOBIERNO.</t>
  </si>
  <si>
    <t>HACIENDA.</t>
  </si>
  <si>
    <t>INTEGRACION_REGIONAL.</t>
  </si>
  <si>
    <t>TIC.</t>
  </si>
  <si>
    <t>MINAS.</t>
  </si>
  <si>
    <t>MOVILIDAD.</t>
  </si>
  <si>
    <t>PLANEACION.</t>
  </si>
  <si>
    <t>PRENSA.</t>
  </si>
  <si>
    <t>SALUD.</t>
  </si>
  <si>
    <t>UAEPRAE.</t>
  </si>
  <si>
    <t xml:space="preserve">APOYAR EL 20%  (1.480 ) DE LOS PRODUCTORES AGROPECUARIOS QUE RESULTEN AFECTADOS POR EMERGENCIAS Y DESASTRES, DURANTE EL PERIODO GOBIERNO, PARA REACTIVAR SU ACTIVIDAD PRODUCTIVA </t>
  </si>
  <si>
    <t>Fecha de actualización: 30 de Junio de 2015</t>
  </si>
  <si>
    <t>PROGRAMACION POAI_ 2016</t>
  </si>
  <si>
    <t xml:space="preserve"> EJECUTADO META  PRODUCTO 2015_ AGOSTO 30</t>
  </si>
  <si>
    <t xml:space="preserve">Fortalecimiento de minicadenas: APICOLA :(manejo de  apiarios, procesamientos de productos  apícolas (miel, polen) montaje de colmenas. OVINO –CAPRINO (mejoramiento genético  con entrega de pie de cría). PISCICULTURA (Adquisición de maquinaria ,equipos e insumos) LEGUMINOSAS ( dotación de maquinaria  y establecimiento  de áreas (150 hectáreas) CEREALES ( establecimiento de 14 hectáreas de quinua) </t>
  </si>
  <si>
    <t>Cadena cárnica – Láctea: Mejoramiento de praderas (1618 hás ).Apoyo  a 60 centros  de  acopio (Dotación  de maquinaria, equipos e insumos para centros de acopio  de leche, tanques  para enfriamiento  y plantas eléctricas ,equipos  analizadores  de leche, básculas para  pesaje de ganado ,pica pastos , termos  de inseminación  y kits para  inseminación  artificial ,tanques de almacenamiento de agua , comederos  para bovinos, plantas de transformación  de lácteos, ecógrafos y equipos para plantas de beneficio animal entre otros,  transferencia de tecnología). Financiamiento agropecuario. Certificación  de predios libres de brúcella  y tuberculosis en el Departamento. Se apoyó la adopción de  normas  y procedimientos  que involucran la protección del medio  ambiente y las buenas practicas Ganaderas (BPG´s9, Buenas  Prácticas  de Manufactura (BPM´s)Buenas prácticas ambientales (BPA¨s), HACCP, Buenas  prácticas de Laboratorio, transporte y otros  sistemas  de gestión  de calidad.            Cadena Porcina: Montaje de 93  Biodigestores , dotación  de equipos  e implementos ( 84 neveras para almacenamiento  de semen  ) talleres de capacitación beneficiando  a 5.310 porcicultores)</t>
  </si>
  <si>
    <t xml:space="preserve">Adquisición de maquinaria  y equipos  Agropecuarios  y de uso agroindustrial ( tractores termokines, silos de secado de café, elementos y equipos  para el procesamiento de caña , picadoras de forraje  entre otros ) </t>
  </si>
  <si>
    <t>7557  créditos agropecuarios a pequeños productores  apoyados  con aval, ICRCUND  y subsidio a la tasa  estimulando el desarrollo  económico.</t>
  </si>
  <si>
    <t xml:space="preserve">Apoyo  a los programas de comercialización y mercadeo de productos  en los 116  municipios  del Departamento (apoyo  a eventos agropecuarios , participación en ferias  nacionales, dotación  de canastillas, carpas, empaques, expedición  de registros INVIMA entre otros) </t>
  </si>
  <si>
    <t xml:space="preserve">346 empresas  agropecuarias apoyadas  con dotación  de maquinaria  y equipos , capacitación , legalización  tributaria , expedición  de registros INVIMA </t>
  </si>
  <si>
    <t>Estadísticas agropecuarias impresas de  las vigencias  2011-2012-2013-2014 como herramienta  de planificación  para los  116 municipios de Departamento.</t>
  </si>
  <si>
    <t xml:space="preserve">Implementación  de 3 instrumentos  de planificación  que permite un mejor  y adecuado manejo  de programas  de fertilización , planificación  que permiten  mejorar los índices  de producción. </t>
  </si>
  <si>
    <t>Cobertura a las 116  UMATAS con la dotación  de motocicletas  como apoyo a mejorar  la prestación del servicio  de asistencia  técnica local  igualmente  se dotaron  de equipos agropecuarios</t>
  </si>
  <si>
    <t>Establecimiento de 231  modelos productivos  en las cadenas de caña panelera y frutales  a través de la metodología de escuelas de campo (ECAS)</t>
  </si>
  <si>
    <t>La secretaria  ha incorporado  a las  116 UMATAS/EPSAGROS  a programas de innovación ,ciencia y tecnología( a través de las convocatorias)</t>
  </si>
  <si>
    <t>Un sistema de información  al servicio de las 116  UMATAS, asociaciones del sector agropecuario  y7o entidad  que lo requiera  373</t>
  </si>
  <si>
    <t xml:space="preserve">Articulación  de los programas municipales  con los departamentales a través de los planes operativos anuales </t>
  </si>
  <si>
    <t xml:space="preserve">Apoyo a 90 proyectos productivos  de familias  beneficiadas  en la convocatoria de tierras </t>
  </si>
  <si>
    <t xml:space="preserve">Apoyo en la formalización de 743 predios rurales (levantamientos topográficos, estudios  de títulos etc.) </t>
  </si>
  <si>
    <t>4.569 hectáreas adecuadas, con el apoyo  de estudios  y diseños, rehabilitación  y construcción  de distritos de riego.</t>
  </si>
  <si>
    <t xml:space="preserve">Fortalecimiento  empresarial  de 20 asociaciones  agroproductivas de mujeres  rurales  con capacitación , talleres , entrega  de insumos para un total de 433 mujeres </t>
  </si>
  <si>
    <t xml:space="preserve">4291 familias  con proyecto de seguridad alimentaria  para la generación  de alimentos de autoconsumo </t>
  </si>
  <si>
    <t xml:space="preserve">Implementación  de 12 granjas  como estrategia  para la producción  de alimentos  y utilización  de los mismos en la canasta familiar </t>
  </si>
  <si>
    <t xml:space="preserve">Apoyo a 35  alianzas aprobadas  mediante convocatorias publicas </t>
  </si>
  <si>
    <t xml:space="preserve">Se fortaleció los programas de extensión  rural, con la gestión  de recursos ante el MADR lo que permitió  ampliar  cobertura, mejorar  el servicio  de asistencia técnica  en 116 municipios  del departamento , dotación  de maquinaria y equipos , Establecimiento  de la red  de asistentes  técnicos  de Cundinamarca  con CORPOICA , desde la plataforma LINKATA  </t>
  </si>
  <si>
    <t xml:space="preserve">Anualmente el Departamento y los  municipios  acceden  a las convocatorias públicas. Se realiza la promoción , socialización  y diligenciamiento  de documentación  para la presentación  a convocatorias publicas </t>
  </si>
  <si>
    <t xml:space="preserve">La secretaria  hace parte activa  del CONSEA y anualmente  rinde  informes  de avances  de los programas , proyectos  liderados por la misma </t>
  </si>
  <si>
    <t>Proyectos de mejoramiento de praderas, mejoramiento genético , implementación  de sistemas silvopastoriles, como tecnologías  que permitan la mitigación  de los efectos  negativos  del cambio  climático  de acuerdo  a los  planes operativos  anuales de las 116 Epsas implementados y operando.</t>
  </si>
  <si>
    <t xml:space="preserve">Coordinación con los municipios  la planificación  del sector  agropecuario en el marco  del plan operativo anual  de transferencia  de tecnología  y asistencia  técnica a través de los CMDR </t>
  </si>
  <si>
    <t xml:space="preserve">Implementación de  532 reservorios  de agua , para  mitigar los efectos extremos de la  variabilidad climáticas, como estrategia  de recolección  y almacenamiento  del mismo sirve  para sostenimiento  en épocas  de sequía (familiar y productivo ) y para  control  de escorrentía  en época de invierno , suministro de 283  tanques de almacenamiento  de agua  de capacidad  de  1.000 litros,  entrega de alimentos  para bovinos  afectados  por cambios climáticos </t>
  </si>
  <si>
    <t>Establecimiento  de   4107,6 hectareas en los sistemas  de frutales, cacao, caucho, armoaticas, caña panelera. Renovación de   5455 hectareas  y fertilización  de 4000 hectareas de cafe,  en el sector panelero 700 hás renovadas  .</t>
  </si>
  <si>
    <t>Generación de  ingresos a 642  familias en condición  de desplazamiento  a través de implementación  de proyectos productivos .</t>
  </si>
  <si>
    <t>Generación  de ingresos  a 181 mujeres  en condición de desplazamiento  a traves de implementacion  de proyectos productivos .</t>
  </si>
  <si>
    <t>Generación  de ingresos  a   32  familias indigenas  en condición  de desplazamiento a través  de implementación  de proyectos productivos .</t>
  </si>
  <si>
    <t>LEY 1448 DE 2011. SENTENCIA DE RESTITUCIÓN DE TIERRAS</t>
  </si>
  <si>
    <t>CONTINUACIÓN DE LOS CONVENIOS DE REGALÍAS, LOS CUALES SON BIANUALES</t>
  </si>
  <si>
    <t>RECUPERACIÓN DE AGROINDUSTRIA AFECTADA POR DESASTRES NATURALES (INCENDIOS) DURANTE EL ÚLTIMO SEMESTRE DE 2015</t>
  </si>
  <si>
    <t>CRÉDITOS E INCENTIVOS DIRIGIDOS A PRODUCTORES AFECTADOS POR DESASTRES NATURALES Y FENÓMENO DEL NIÑO</t>
  </si>
  <si>
    <t>APOYO COMERCIAL A LOS PRODUCTOS DE LAS CENTRALES DE MIELES DE UTICA Y CAPARRAPÍ</t>
  </si>
  <si>
    <t>APOYO A LA FORMALIZACIÓN DE LA PROPIEDAD RURAL, EN COORDIANCIÓN CON EL INCODER PARA ATENDER SOLICITUDES DE TITULACIÓN DE BALDÍOS</t>
  </si>
  <si>
    <t>CUMPLIMIENTO A LA POLITICA PÚBLICA DEPARTAMENTAL DE MUJER, EQUIDAD Y  GÉNERO NO. 099 DE 2011</t>
  </si>
  <si>
    <t>LEY 1448 DE 2011</t>
  </si>
  <si>
    <t>CUMPLIMIENTO A LA POLITICA PÚBLICA DEPARTAMENTAL DE SEGURIDAD ALIMENTARIA Y NUTRICIONAL ORDENANZA NO. 0261 DE 2015</t>
  </si>
  <si>
    <t>APOYO COMERCIAL A LAS ORGANIZACIONES DE PRODUCTORES DE LAS CENTRALES DE MIELES DE UTICA Y CAPARRAPÍ,</t>
  </si>
  <si>
    <t>RIO BOGOTA (SENTENCIA)(SISTEMA BOVINO LECHE, CARNICA, PORCINO)</t>
  </si>
  <si>
    <t xml:space="preserve">APOYO A PRODUCTORES Y ASOCIACIONES EN EL ESTABLECIMIENTO DE RESERVORIOS PARA  MITIGAR EFECTOS DE FENOMENOS CLIMATICOS </t>
  </si>
  <si>
    <t xml:space="preserve">ACREDITACION -SEGUIMIENTO Y EVALUACION  DEL SERVICIO DE ASITENCIA TECNICA EN LOS 116 MUNICIPIOS </t>
  </si>
  <si>
    <t xml:space="preserve">TEMAS DE ECAS  YA SUPERADO </t>
  </si>
  <si>
    <t xml:space="preserve">ARTICULAR ESFUERZOS CON EL SENA PARA LA  FORMACION DE LOS ASISTENTES TECNICOS DE LAS 116 UMATAS EN LA ESPECIALIZACION GATA GESTION DEL ASISTENTE TECNICO </t>
  </si>
  <si>
    <t>ARTICULAR  POAS  A PROYECTOS   DEL DEPARTAMENTO(META 364)  COMO ESTRATEGIA  PARA HACER SOSTENIBLES  LOS PROGRAMAS  AGROPECUARIOS MUNICIPALES (ENSILADORAS,PICADORA)</t>
  </si>
  <si>
    <t>VERIFICAR E IMPULSAR  LA UTILIZACION DE LA PLATAFORMA SIEMBRA  DE CORPOICA A TRAVES DE LA RED DE ASISTENTES TECNICOS DE CUNDINAMRCA</t>
  </si>
  <si>
    <t xml:space="preserve">PROGRAMAS DE CAPACITACION EN GESTION DEL RIESGO Y CAMBIO CLIMATICO </t>
  </si>
  <si>
    <t xml:space="preserve">SEGUIMIENTO A LA OPERATIVIDAD  Y FUNCIONAMIENTO DE LOS 116 CMDR </t>
  </si>
  <si>
    <t xml:space="preserve">POR NORMATIVIDAD (DECRETO)  SE DEBE REALIZAR UNA SESION CADA TRES MESES </t>
  </si>
  <si>
    <t>UNA PUBLICACION DE LAS ESTADISTICAS AGROPECUARIA  VOLUMEN 24</t>
  </si>
  <si>
    <t xml:space="preserve">NO SE IMPLEMENTARA INSTRUMENTOS DE PLANIFICACION </t>
  </si>
  <si>
    <t xml:space="preserve">SITUACION ACTUAL DE CAMBIOS Y AFECTACIONES AMBIENTALES  REQUIERE APOYO PARA EL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</si>
</sst>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_);_(* \(#,##0.00\);_(* &quot;-&quot;??_);_(@_)"/>
    <numFmt numFmtId="164" formatCode="_ * #,##0.00_ ;_ * \-#,##0.00_ ;_ * &quot;-&quot;??_ ;_ @_ "/>
    <numFmt numFmtId="165" formatCode="#,##0.0"/>
    <numFmt numFmtId="166" formatCode="0.0"/>
    <numFmt numFmtId="167" formatCode="_ * #,##0_ ;_ * \-#,##0_ ;_ * &quot;-&quot;??_ ;_ @_ "/>
    <numFmt numFmtId="168" formatCode="0.0%"/>
    <numFmt numFmtId="169" formatCode="0.000"/>
    <numFmt numFmtId="170" formatCode="_ * #,##0.0_ ;_ * \-#,##0.0_ ;_ * &quot;-&quot;??_ ;_ @_ "/>
    <numFmt numFmtId="171" formatCode="_ * #,##0.000_ ;_ * \-#,##0.000_ ;_ * &quot;-&quot;??_ ;_ @_ "/>
    <numFmt numFmtId="172" formatCode="[$-240A]d&quot; de &quot;mmmm&quot; de &quot;yyyy;@"/>
    <numFmt numFmtId="173" formatCode="#,##0.000"/>
    <numFmt numFmtId="174" formatCode="0_)"/>
    <numFmt numFmtId="175" formatCode="_(* #,##0_);_(* \(#,##0\);_(* &quot;-&quot;??_);_(@_)"/>
    <numFmt numFmtId="176" formatCode="0.0000"/>
    <numFmt numFmtId="177" formatCode="_(* #,##0.0_);_(* \(#,##0.0\);_(* &quot;-&quot;??_);_(@_)"/>
    <numFmt numFmtId="178" formatCode="0.0000%"/>
    <numFmt numFmtId="179" formatCode="0.000%"/>
    <numFmt numFmtId="180" formatCode="_(* #,##0_);_(* \(#,##0\);_(* &quot;-&quot;?_);_(@_)"/>
    <numFmt numFmtId="181" formatCode="_(* #,##0.000_);_(* \(#,##0.000\);_(* &quot;-&quot;??_);_(@_)"/>
    <numFmt numFmtId="182" formatCode="[$-10409]#,##0.00;\(#,##0.00\)"/>
    <numFmt numFmtId="183" formatCode="[$-10409]#,##0;\(#,##0\)"/>
    <numFmt numFmtId="184" formatCode="0.00000"/>
    <numFmt numFmtId="185" formatCode="[$-10409]#,##0.000;\(#,##0.000\)"/>
    <numFmt numFmtId="186" formatCode="[$-10409]#,##0.0000;\(#,##0.0000\)"/>
    <numFmt numFmtId="187" formatCode="[$-10409]#,##0.0;\(#,##0.0\)"/>
  </numFmts>
  <fonts count="140" x14ac:knownFonts="1">
    <font>
      <sz val="10"/>
      <name val="Arial"/>
    </font>
    <font>
      <sz val="10"/>
      <name val="Arial"/>
      <family val="2"/>
    </font>
    <font>
      <b/>
      <sz val="12"/>
      <name val="Arial Narrow"/>
      <family val="2"/>
    </font>
    <font>
      <sz val="10"/>
      <name val="Arial Narrow"/>
      <family val="2"/>
    </font>
    <font>
      <sz val="10"/>
      <name val="Arial"/>
      <family val="2"/>
    </font>
    <font>
      <sz val="9"/>
      <name val="Arial"/>
      <family val="2"/>
    </font>
    <font>
      <sz val="10"/>
      <name val="Arial Narrow"/>
      <family val="2"/>
    </font>
    <font>
      <b/>
      <sz val="11"/>
      <name val="Arial Narrow"/>
      <family val="2"/>
    </font>
    <font>
      <sz val="10.5"/>
      <name val="Arial Narrow"/>
      <family val="2"/>
    </font>
    <font>
      <sz val="11"/>
      <name val="Arial Narrow"/>
      <family val="2"/>
    </font>
    <font>
      <u/>
      <sz val="10"/>
      <color indexed="12"/>
      <name val="Arial"/>
      <family val="2"/>
    </font>
    <font>
      <i/>
      <sz val="11"/>
      <name val="Arial Narrow"/>
      <family val="2"/>
    </font>
    <font>
      <b/>
      <i/>
      <sz val="11"/>
      <name val="Arial Narrow"/>
      <family val="2"/>
    </font>
    <font>
      <sz val="5"/>
      <name val="Arial Narrow"/>
      <family val="2"/>
    </font>
    <font>
      <b/>
      <i/>
      <sz val="5"/>
      <name val="Arial Narrow"/>
      <family val="2"/>
    </font>
    <font>
      <sz val="10"/>
      <name val="Calibri"/>
      <family val="2"/>
    </font>
    <font>
      <b/>
      <sz val="10"/>
      <name val="Arial Narrow"/>
      <family val="2"/>
    </font>
    <font>
      <sz val="8"/>
      <name val="Arial"/>
      <family val="2"/>
    </font>
    <font>
      <sz val="8"/>
      <name val="Arial Narrow"/>
      <family val="2"/>
    </font>
    <font>
      <b/>
      <i/>
      <sz val="8"/>
      <color indexed="9"/>
      <name val="Calibri"/>
      <family val="2"/>
    </font>
    <font>
      <b/>
      <sz val="8"/>
      <color indexed="8"/>
      <name val="Calibri"/>
      <family val="2"/>
    </font>
    <font>
      <b/>
      <sz val="8"/>
      <color indexed="9"/>
      <name val="Calibri"/>
      <family val="2"/>
    </font>
    <font>
      <i/>
      <sz val="10"/>
      <name val="Arial Narrow"/>
      <family val="2"/>
    </font>
    <font>
      <b/>
      <i/>
      <sz val="10"/>
      <name val="Arial Narrow"/>
      <family val="2"/>
    </font>
    <font>
      <sz val="9"/>
      <name val="Arial Narrow"/>
      <family val="2"/>
    </font>
    <font>
      <b/>
      <sz val="8"/>
      <name val="Arial Narrow"/>
      <family val="2"/>
    </font>
    <font>
      <b/>
      <sz val="10.5"/>
      <name val="Arial Narrow"/>
      <family val="2"/>
    </font>
    <font>
      <i/>
      <sz val="8"/>
      <name val="Arial Narrow"/>
      <family val="2"/>
    </font>
    <font>
      <b/>
      <i/>
      <sz val="8"/>
      <name val="Arial Narrow"/>
      <family val="2"/>
    </font>
    <font>
      <sz val="12"/>
      <name val="Arial Narrow"/>
      <family val="2"/>
    </font>
    <font>
      <sz val="11"/>
      <color theme="1"/>
      <name val="Calibri"/>
      <family val="2"/>
      <scheme val="minor"/>
    </font>
    <font>
      <sz val="10"/>
      <name val="Calibri"/>
      <family val="2"/>
      <scheme val="minor"/>
    </font>
    <font>
      <sz val="8"/>
      <name val="Calibri"/>
      <family val="2"/>
      <scheme val="minor"/>
    </font>
    <font>
      <b/>
      <i/>
      <sz val="5"/>
      <color rgb="FFFF0000"/>
      <name val="Arial Narrow"/>
      <family val="2"/>
    </font>
    <font>
      <sz val="5"/>
      <color rgb="FF000000"/>
      <name val="Arial Narrow"/>
      <family val="2"/>
    </font>
    <font>
      <b/>
      <sz val="8"/>
      <name val="Calibri"/>
      <family val="2"/>
      <scheme val="minor"/>
    </font>
    <font>
      <sz val="8"/>
      <color theme="1"/>
      <name val="Calibri"/>
      <family val="2"/>
      <scheme val="minor"/>
    </font>
    <font>
      <sz val="8"/>
      <color rgb="FF000000"/>
      <name val="Calibri"/>
      <family val="2"/>
      <scheme val="minor"/>
    </font>
    <font>
      <b/>
      <sz val="8"/>
      <color rgb="FF00B050"/>
      <name val="Calibri"/>
      <family val="2"/>
      <scheme val="minor"/>
    </font>
    <font>
      <sz val="8"/>
      <color rgb="FF00B050"/>
      <name val="Calibri"/>
      <family val="2"/>
      <scheme val="minor"/>
    </font>
    <font>
      <sz val="8"/>
      <name val="Cambria"/>
      <family val="1"/>
      <scheme val="major"/>
    </font>
    <font>
      <sz val="10"/>
      <name val="Cambria"/>
      <family val="1"/>
      <scheme val="major"/>
    </font>
    <font>
      <sz val="9"/>
      <color theme="1"/>
      <name val="Calibri"/>
      <family val="2"/>
      <scheme val="minor"/>
    </font>
    <font>
      <b/>
      <sz val="14"/>
      <color rgb="FF00B050"/>
      <name val="Calibri"/>
      <family val="2"/>
      <scheme val="minor"/>
    </font>
    <font>
      <sz val="8"/>
      <color rgb="FF00B0F0"/>
      <name val="Calibri"/>
      <family val="2"/>
      <scheme val="minor"/>
    </font>
    <font>
      <sz val="8"/>
      <color theme="9" tint="-0.249977111117893"/>
      <name val="Calibri"/>
      <family val="2"/>
      <scheme val="minor"/>
    </font>
    <font>
      <b/>
      <sz val="14"/>
      <color rgb="FFFF0000"/>
      <name val="Calibri"/>
      <family val="2"/>
      <scheme val="minor"/>
    </font>
    <font>
      <b/>
      <sz val="12"/>
      <color rgb="FFFF0000"/>
      <name val="Calibri"/>
      <family val="2"/>
      <scheme val="minor"/>
    </font>
    <font>
      <b/>
      <sz val="14"/>
      <name val="Calibri"/>
      <family val="2"/>
      <scheme val="minor"/>
    </font>
    <font>
      <b/>
      <sz val="12"/>
      <color rgb="FF00B050"/>
      <name val="Calibri"/>
      <family val="2"/>
      <scheme val="minor"/>
    </font>
    <font>
      <b/>
      <sz val="16"/>
      <color theme="1"/>
      <name val="Arial Narrow"/>
      <family val="2"/>
    </font>
    <font>
      <b/>
      <sz val="12"/>
      <color theme="5" tint="-0.249977111117893"/>
      <name val="Calibri"/>
      <family val="2"/>
      <scheme val="minor"/>
    </font>
    <font>
      <b/>
      <i/>
      <sz val="14"/>
      <color rgb="FF00B0F0"/>
      <name val="Arial Narrow"/>
      <family val="2"/>
    </font>
    <font>
      <sz val="12"/>
      <name val="Calibri"/>
      <family val="2"/>
      <scheme val="minor"/>
    </font>
    <font>
      <b/>
      <sz val="12"/>
      <color theme="1" tint="4.9989318521683403E-2"/>
      <name val="Arial Narrow"/>
      <family val="2"/>
    </font>
    <font>
      <sz val="8"/>
      <color theme="0"/>
      <name val="Cambria"/>
      <family val="1"/>
      <scheme val="major"/>
    </font>
    <font>
      <sz val="9"/>
      <name val="Calibri"/>
      <family val="2"/>
      <scheme val="minor"/>
    </font>
    <font>
      <sz val="10"/>
      <color theme="0"/>
      <name val="Calibri"/>
      <family val="2"/>
      <scheme val="minor"/>
    </font>
    <font>
      <sz val="9"/>
      <color theme="0"/>
      <name val="Cambria"/>
      <family val="1"/>
      <scheme val="major"/>
    </font>
    <font>
      <sz val="11"/>
      <color theme="0"/>
      <name val="Arial Narrow"/>
      <family val="2"/>
    </font>
    <font>
      <b/>
      <sz val="11"/>
      <color theme="0"/>
      <name val="Arial Narrow"/>
      <family val="2"/>
    </font>
    <font>
      <sz val="10"/>
      <color theme="0"/>
      <name val="Arial Narrow"/>
      <family val="2"/>
    </font>
    <font>
      <b/>
      <sz val="10"/>
      <name val="Calibri"/>
      <family val="2"/>
      <scheme val="minor"/>
    </font>
    <font>
      <b/>
      <sz val="11"/>
      <name val="Calibri"/>
      <family val="2"/>
      <scheme val="minor"/>
    </font>
    <font>
      <b/>
      <sz val="9"/>
      <color rgb="FFFF0000"/>
      <name val="Calibri"/>
      <family val="2"/>
      <scheme val="minor"/>
    </font>
    <font>
      <sz val="8"/>
      <color rgb="FFFF0000"/>
      <name val="Calibri"/>
      <family val="2"/>
      <scheme val="minor"/>
    </font>
    <font>
      <b/>
      <sz val="8"/>
      <color rgb="FFFF0000"/>
      <name val="Calibri"/>
      <family val="2"/>
      <scheme val="minor"/>
    </font>
    <font>
      <b/>
      <sz val="8"/>
      <color theme="1"/>
      <name val="Calibri"/>
      <family val="2"/>
      <scheme val="minor"/>
    </font>
    <font>
      <b/>
      <sz val="8"/>
      <color rgb="FF000000"/>
      <name val="Calibri"/>
      <family val="2"/>
      <scheme val="minor"/>
    </font>
    <font>
      <sz val="9"/>
      <color rgb="FFFF0000"/>
      <name val="Calibri"/>
      <family val="2"/>
      <scheme val="minor"/>
    </font>
    <font>
      <sz val="9"/>
      <color theme="9" tint="-0.249977111117893"/>
      <name val="Calibri"/>
      <family val="2"/>
      <scheme val="minor"/>
    </font>
    <font>
      <sz val="9"/>
      <color rgb="FF00B0F0"/>
      <name val="Calibri"/>
      <family val="2"/>
      <scheme val="minor"/>
    </font>
    <font>
      <sz val="9"/>
      <name val="Cambria"/>
      <family val="1"/>
      <scheme val="major"/>
    </font>
    <font>
      <i/>
      <sz val="10"/>
      <name val="Calibri"/>
      <family val="2"/>
      <scheme val="minor"/>
    </font>
    <font>
      <sz val="8"/>
      <color theme="1"/>
      <name val="Cambria"/>
      <family val="1"/>
      <scheme val="major"/>
    </font>
    <font>
      <b/>
      <sz val="9"/>
      <name val="Cambria"/>
      <family val="1"/>
      <scheme val="major"/>
    </font>
    <font>
      <sz val="11"/>
      <name val="Calibri"/>
      <family val="2"/>
      <scheme val="minor"/>
    </font>
    <font>
      <b/>
      <sz val="10"/>
      <color rgb="FFFF0000"/>
      <name val="Cambria"/>
      <family val="1"/>
      <scheme val="major"/>
    </font>
    <font>
      <b/>
      <sz val="16"/>
      <color rgb="FFFF0000"/>
      <name val="Arial Narrow"/>
      <family val="2"/>
    </font>
    <font>
      <sz val="14"/>
      <color theme="9" tint="-0.499984740745262"/>
      <name val="Franklin Gothic Heavy"/>
      <family val="2"/>
    </font>
    <font>
      <sz val="12"/>
      <color theme="1"/>
      <name val="Franklin Gothic Heavy"/>
      <family val="2"/>
    </font>
    <font>
      <sz val="16"/>
      <color theme="1"/>
      <name val="Franklin Gothic Heavy"/>
      <family val="2"/>
    </font>
    <font>
      <sz val="12"/>
      <color theme="1"/>
      <name val="Calibri"/>
      <family val="2"/>
      <scheme val="minor"/>
    </font>
    <font>
      <sz val="7"/>
      <name val="Calibri"/>
      <family val="2"/>
      <scheme val="minor"/>
    </font>
    <font>
      <sz val="10"/>
      <color rgb="FFFF0000"/>
      <name val="Arial"/>
      <family val="2"/>
    </font>
    <font>
      <b/>
      <sz val="20"/>
      <color rgb="FFFF0000"/>
      <name val="Arial Narrow"/>
      <family val="2"/>
    </font>
    <font>
      <b/>
      <i/>
      <sz val="8"/>
      <color rgb="FFFF0000"/>
      <name val="Arial Narrow"/>
      <family val="2"/>
    </font>
    <font>
      <sz val="8"/>
      <color rgb="FF000000"/>
      <name val="Arial Narrow"/>
      <family val="2"/>
    </font>
    <font>
      <sz val="8"/>
      <color theme="1"/>
      <name val="Arial Narrow"/>
      <family val="2"/>
    </font>
    <font>
      <sz val="7"/>
      <color theme="3" tint="0.39997558519241921"/>
      <name val="Cambria"/>
      <family val="1"/>
      <scheme val="major"/>
    </font>
    <font>
      <sz val="9"/>
      <color rgb="FF000000"/>
      <name val="Calibri"/>
      <family val="2"/>
      <scheme val="minor"/>
    </font>
    <font>
      <sz val="10"/>
      <color rgb="FF000000"/>
      <name val="Arial"/>
      <family val="2"/>
    </font>
    <font>
      <sz val="9"/>
      <color rgb="FF00B050"/>
      <name val="Calibri"/>
      <family val="2"/>
      <scheme val="minor"/>
    </font>
    <font>
      <b/>
      <sz val="9"/>
      <name val="Calibri"/>
      <family val="2"/>
      <scheme val="minor"/>
    </font>
    <font>
      <b/>
      <sz val="9"/>
      <color rgb="FF00B050"/>
      <name val="Calibri"/>
      <family val="2"/>
      <scheme val="minor"/>
    </font>
    <font>
      <b/>
      <sz val="14"/>
      <color theme="1"/>
      <name val="Calibri"/>
      <family val="2"/>
      <scheme val="minor"/>
    </font>
    <font>
      <sz val="14"/>
      <color theme="1"/>
      <name val="Calibri"/>
      <family val="2"/>
      <scheme val="minor"/>
    </font>
    <font>
      <b/>
      <i/>
      <sz val="14"/>
      <color rgb="FF00B050"/>
      <name val="Arial Narrow"/>
      <family val="2"/>
    </font>
    <font>
      <sz val="11"/>
      <name val="Cambria"/>
      <family val="1"/>
      <scheme val="major"/>
    </font>
    <font>
      <sz val="20"/>
      <color theme="5" tint="-0.249977111117893"/>
      <name val="Franklin Gothic Heavy"/>
      <family val="2"/>
    </font>
    <font>
      <b/>
      <sz val="9"/>
      <color indexed="81"/>
      <name val="Tahoma"/>
      <family val="2"/>
    </font>
    <font>
      <sz val="9"/>
      <color indexed="81"/>
      <name val="Tahoma"/>
      <family val="2"/>
    </font>
    <font>
      <u/>
      <sz val="9"/>
      <name val="Calibri"/>
      <family val="2"/>
      <scheme val="minor"/>
    </font>
    <font>
      <sz val="7"/>
      <name val="Cambria"/>
      <family val="1"/>
      <scheme val="major"/>
    </font>
    <font>
      <b/>
      <sz val="14"/>
      <color rgb="FFFF0000"/>
      <name val="Cambria"/>
      <family val="2"/>
      <scheme val="major"/>
    </font>
    <font>
      <sz val="10"/>
      <color theme="1"/>
      <name val="Calibri"/>
      <family val="2"/>
      <scheme val="minor"/>
    </font>
    <font>
      <sz val="10"/>
      <color theme="1"/>
      <name val="Arial Narrow"/>
      <family val="2"/>
    </font>
    <font>
      <b/>
      <sz val="12"/>
      <color theme="0"/>
      <name val="Arial Narrow"/>
      <family val="2"/>
    </font>
    <font>
      <sz val="30"/>
      <color theme="0"/>
      <name val="Arial Narrow"/>
      <family val="2"/>
    </font>
    <font>
      <b/>
      <sz val="9.5"/>
      <name val="Arial"/>
      <family val="2"/>
    </font>
    <font>
      <sz val="9.5"/>
      <name val="Arial"/>
      <family val="2"/>
    </font>
    <font>
      <sz val="10"/>
      <color rgb="FFFF0000"/>
      <name val="Calibri"/>
      <family val="2"/>
      <scheme val="minor"/>
    </font>
    <font>
      <sz val="10"/>
      <color rgb="FF000000"/>
      <name val="Calibri"/>
      <family val="2"/>
      <scheme val="minor"/>
    </font>
    <font>
      <b/>
      <sz val="10"/>
      <name val="Arial"/>
      <family val="2"/>
    </font>
    <font>
      <b/>
      <sz val="10"/>
      <color theme="1"/>
      <name val="Calibri"/>
      <family val="2"/>
      <scheme val="minor"/>
    </font>
    <font>
      <b/>
      <sz val="10"/>
      <color rgb="FF000000"/>
      <name val="Arial"/>
      <family val="2"/>
    </font>
    <font>
      <b/>
      <sz val="10"/>
      <color indexed="8"/>
      <name val="Arial"/>
      <family val="2"/>
    </font>
    <font>
      <b/>
      <sz val="10"/>
      <color indexed="8"/>
      <name val="Calibri"/>
      <family val="2"/>
    </font>
    <font>
      <sz val="10"/>
      <color indexed="8"/>
      <name val="Calibri"/>
      <family val="2"/>
    </font>
    <font>
      <b/>
      <sz val="10"/>
      <color rgb="FF000000"/>
      <name val="Cambria"/>
      <family val="1"/>
      <scheme val="major"/>
    </font>
    <font>
      <b/>
      <sz val="10"/>
      <name val="Cambria"/>
      <family val="1"/>
      <scheme val="major"/>
    </font>
    <font>
      <b/>
      <sz val="10"/>
      <name val="Cambria"/>
      <family val="2"/>
      <scheme val="major"/>
    </font>
    <font>
      <b/>
      <sz val="20"/>
      <color rgb="FFFF0000"/>
      <name val="Calibri"/>
      <family val="2"/>
      <scheme val="minor"/>
    </font>
    <font>
      <sz val="20"/>
      <color rgb="FF92D050"/>
      <name val="Arial"/>
      <family val="2"/>
    </font>
    <font>
      <b/>
      <sz val="10"/>
      <color rgb="FFFF0000"/>
      <name val="Calibri"/>
      <family val="2"/>
      <scheme val="minor"/>
    </font>
    <font>
      <b/>
      <sz val="20"/>
      <color theme="9" tint="-0.249977111117893"/>
      <name val="Cambria"/>
      <family val="1"/>
      <scheme val="major"/>
    </font>
    <font>
      <b/>
      <sz val="20"/>
      <color theme="9" tint="-0.249977111117893"/>
      <name val="Calibri"/>
      <family val="2"/>
      <scheme val="minor"/>
    </font>
    <font>
      <b/>
      <sz val="10"/>
      <color theme="0"/>
      <name val="Arial"/>
      <family val="2"/>
    </font>
    <font>
      <sz val="10"/>
      <color theme="0"/>
      <name val="Arial"/>
      <family val="2"/>
    </font>
    <font>
      <b/>
      <sz val="10"/>
      <color theme="0"/>
      <name val="Calibri"/>
      <family val="2"/>
      <scheme val="minor"/>
    </font>
    <font>
      <b/>
      <sz val="8"/>
      <color theme="0"/>
      <name val="Arial Narrow"/>
      <family val="2"/>
    </font>
    <font>
      <b/>
      <sz val="14"/>
      <color theme="0"/>
      <name val="Cambria"/>
      <family val="1"/>
      <scheme val="major"/>
    </font>
    <font>
      <sz val="8"/>
      <color theme="0"/>
      <name val="Arial Narrow"/>
      <family val="2"/>
    </font>
    <font>
      <sz val="8"/>
      <color theme="0"/>
      <name val="Arial"/>
      <family val="2"/>
    </font>
    <font>
      <b/>
      <sz val="10.5"/>
      <color rgb="FFFF0000"/>
      <name val="Arial Narrow"/>
      <family val="2"/>
    </font>
    <font>
      <sz val="10"/>
      <color indexed="8"/>
      <name val="Arial"/>
      <family val="2"/>
    </font>
    <font>
      <sz val="8"/>
      <color theme="0" tint="-4.9989318521683403E-2"/>
      <name val="Arial"/>
      <family val="2"/>
    </font>
    <font>
      <b/>
      <sz val="16"/>
      <color theme="5" tint="-0.249977111117893"/>
      <name val="Arial Narrow"/>
      <family val="2"/>
    </font>
    <font>
      <b/>
      <sz val="8"/>
      <color theme="5" tint="-0.249977111117893"/>
      <name val="Arial Narrow"/>
      <family val="2"/>
    </font>
    <font>
      <b/>
      <sz val="14"/>
      <color theme="1" tint="4.9989318521683403E-2"/>
      <name val="Arial Narrow"/>
      <family val="2"/>
    </font>
  </fonts>
  <fills count="4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EF2E8"/>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99FF"/>
        <bgColor indexed="64"/>
      </patternFill>
    </fill>
    <fill>
      <patternFill patternType="solid">
        <fgColor rgb="FFFF0000"/>
        <bgColor indexed="64"/>
      </patternFill>
    </fill>
    <fill>
      <patternFill patternType="solid">
        <fgColor theme="9" tint="-0.249977111117893"/>
        <bgColor indexed="64"/>
      </patternFill>
    </fill>
    <fill>
      <patternFill patternType="solid">
        <fgColor rgb="FFFF00FF"/>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CCCCFF"/>
        <bgColor indexed="64"/>
      </patternFill>
    </fill>
    <fill>
      <patternFill patternType="solid">
        <fgColor rgb="FF8F9C14"/>
        <bgColor indexed="64"/>
      </patternFill>
    </fill>
    <fill>
      <patternFill patternType="solid">
        <fgColor rgb="FFCC99FF"/>
        <bgColor indexed="29"/>
      </patternFill>
    </fill>
    <fill>
      <patternFill patternType="solid">
        <fgColor rgb="FFCCCCFF"/>
        <bgColor indexed="29"/>
      </patternFill>
    </fill>
    <fill>
      <patternFill patternType="solid">
        <fgColor rgb="FF00B0F0"/>
        <bgColor indexed="29"/>
      </patternFill>
    </fill>
    <fill>
      <patternFill patternType="solid">
        <fgColor theme="5" tint="0.39997558519241921"/>
        <bgColor indexed="29"/>
      </patternFill>
    </fill>
    <fill>
      <patternFill patternType="solid">
        <fgColor theme="5" tint="0.59999389629810485"/>
        <bgColor indexed="29"/>
      </patternFill>
    </fill>
    <fill>
      <patternFill patternType="solid">
        <fgColor rgb="FFCCFF99"/>
        <bgColor indexed="29"/>
      </patternFill>
    </fill>
    <fill>
      <patternFill patternType="solid">
        <fgColor rgb="FFCCFF99"/>
        <bgColor indexed="64"/>
      </patternFill>
    </fill>
    <fill>
      <patternFill patternType="solid">
        <fgColor rgb="FF33CCFF"/>
        <bgColor indexed="64"/>
      </patternFill>
    </fill>
    <fill>
      <patternFill patternType="solid">
        <fgColor theme="3" tint="0.59999389629810485"/>
        <bgColor indexed="64"/>
      </patternFill>
    </fill>
    <fill>
      <patternFill patternType="solid">
        <fgColor rgb="FF66CCFF"/>
        <bgColor indexed="64"/>
      </patternFill>
    </fill>
    <fill>
      <patternFill patternType="solid">
        <fgColor rgb="FFFF7C80"/>
        <bgColor indexed="64"/>
      </patternFill>
    </fill>
    <fill>
      <patternFill patternType="solid">
        <fgColor theme="3"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39997558519241921"/>
        <bgColor indexed="64"/>
      </patternFill>
    </fill>
  </fills>
  <borders count="8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B0F0"/>
      </left>
      <right style="thin">
        <color indexed="64"/>
      </right>
      <top/>
      <bottom style="thin">
        <color indexed="64"/>
      </bottom>
      <diagonal/>
    </border>
    <border>
      <left style="thin">
        <color rgb="FF00B0F0"/>
      </left>
      <right/>
      <top style="thin">
        <color rgb="FF00B0F0"/>
      </top>
      <bottom style="thin">
        <color indexed="64"/>
      </bottom>
      <diagonal/>
    </border>
    <border>
      <left style="thin">
        <color rgb="FF00B0F0"/>
      </left>
      <right/>
      <top/>
      <bottom style="thin">
        <color indexed="64"/>
      </bottom>
      <diagonal/>
    </border>
    <border>
      <left style="thin">
        <color rgb="FF00B0F0"/>
      </left>
      <right style="thin">
        <color indexed="64"/>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top/>
      <bottom style="thin">
        <color rgb="FF00B0F0"/>
      </bottom>
      <diagonal/>
    </border>
    <border>
      <left style="thin">
        <color indexed="64"/>
      </left>
      <right style="thin">
        <color rgb="FF00B0F0"/>
      </right>
      <top style="thin">
        <color rgb="FF00B0F0"/>
      </top>
      <bottom style="thin">
        <color rgb="FF00B0F0"/>
      </bottom>
      <diagonal/>
    </border>
    <border>
      <left style="thin">
        <color rgb="FF00B0F0"/>
      </left>
      <right/>
      <top style="thin">
        <color rgb="FF00B0F0"/>
      </top>
      <bottom/>
      <diagonal/>
    </border>
    <border>
      <left style="thin">
        <color rgb="FF00B0F0"/>
      </left>
      <right style="thin">
        <color rgb="FF00B0F0"/>
      </right>
      <top style="thin">
        <color rgb="FF00B0F0"/>
      </top>
      <bottom/>
      <diagonal/>
    </border>
    <border>
      <left style="thin">
        <color rgb="FF00B0F0"/>
      </left>
      <right style="thin">
        <color indexed="64"/>
      </right>
      <top style="thin">
        <color rgb="FF00B0F0"/>
      </top>
      <bottom/>
      <diagonal/>
    </border>
    <border>
      <left style="thin">
        <color rgb="FF00B0F0"/>
      </left>
      <right/>
      <top/>
      <bottom/>
      <diagonal/>
    </border>
    <border>
      <left style="thin">
        <color indexed="64"/>
      </left>
      <right style="thin">
        <color rgb="FF00B0F0"/>
      </right>
      <top style="thin">
        <color rgb="FF00B0F0"/>
      </top>
      <bottom/>
      <diagonal/>
    </border>
    <border>
      <left/>
      <right style="thin">
        <color indexed="64"/>
      </right>
      <top style="thin">
        <color rgb="FF00B0F0"/>
      </top>
      <bottom/>
      <diagonal/>
    </border>
    <border>
      <left style="thin">
        <color rgb="FF00B0F0"/>
      </left>
      <right/>
      <top style="thin">
        <color rgb="FF00B0F0"/>
      </top>
      <bottom style="thin">
        <color rgb="FF00B0F0"/>
      </bottom>
      <diagonal/>
    </border>
    <border>
      <left style="thin">
        <color rgb="FF00B0F0"/>
      </left>
      <right style="thin">
        <color rgb="FF00B0F0"/>
      </right>
      <top/>
      <bottom style="thin">
        <color rgb="FF00B0F0"/>
      </bottom>
      <diagonal/>
    </border>
    <border>
      <left style="thin">
        <color theme="0"/>
      </left>
      <right style="thin">
        <color theme="0" tint="-0.499984740745262"/>
      </right>
      <top style="thin">
        <color theme="0"/>
      </top>
      <bottom style="thin">
        <color theme="0" tint="-0.499984740745262"/>
      </bottom>
      <diagonal/>
    </border>
    <border>
      <left/>
      <right style="thin">
        <color theme="0" tint="-0.499984740745262"/>
      </right>
      <top style="thin">
        <color rgb="FFFFFFFF"/>
      </top>
      <bottom style="thin">
        <color theme="0" tint="-0.499984740745262"/>
      </bottom>
      <diagonal/>
    </border>
    <border>
      <left/>
      <right/>
      <top style="thin">
        <color theme="0"/>
      </top>
      <bottom style="thin">
        <color theme="1" tint="0.499984740745262"/>
      </bottom>
      <diagonal/>
    </border>
    <border>
      <left style="thin">
        <color theme="0"/>
      </left>
      <right/>
      <top style="thin">
        <color theme="0"/>
      </top>
      <bottom style="thin">
        <color theme="1" tint="0.499984740745262"/>
      </bottom>
      <diagonal/>
    </border>
    <border>
      <left/>
      <right style="thin">
        <color theme="1" tint="0.499984740745262"/>
      </right>
      <top style="thin">
        <color theme="0"/>
      </top>
      <bottom style="thin">
        <color theme="1" tint="0.499984740745262"/>
      </bottom>
      <diagonal/>
    </border>
    <border>
      <left style="thin">
        <color rgb="FF00B0F0"/>
      </left>
      <right style="thin">
        <color rgb="FF00B0F0"/>
      </right>
      <top style="thin">
        <color indexed="64"/>
      </top>
      <bottom/>
      <diagonal/>
    </border>
    <border>
      <left style="thin">
        <color indexed="64"/>
      </left>
      <right style="thin">
        <color rgb="FF00B0F0"/>
      </right>
      <top style="thin">
        <color theme="4"/>
      </top>
      <bottom style="thin">
        <color rgb="FF00B0F0"/>
      </bottom>
      <diagonal/>
    </border>
    <border>
      <left style="thin">
        <color indexed="64"/>
      </left>
      <right style="thin">
        <color rgb="FF00B0F0"/>
      </right>
      <top style="thin">
        <color theme="4"/>
      </top>
      <bottom/>
      <diagonal/>
    </border>
    <border>
      <left style="thin">
        <color rgb="FF00B0F0"/>
      </left>
      <right style="thin">
        <color rgb="FF00B0F0"/>
      </right>
      <top style="thin">
        <color theme="4"/>
      </top>
      <bottom style="thin">
        <color rgb="FF00B0F0"/>
      </bottom>
      <diagonal/>
    </border>
    <border>
      <left style="thin">
        <color rgb="FF00B0F0"/>
      </left>
      <right style="thin">
        <color rgb="FF00B0F0"/>
      </right>
      <top style="thin">
        <color theme="4"/>
      </top>
      <bottom/>
      <diagonal/>
    </border>
    <border>
      <left style="thin">
        <color rgb="FF00B0F0"/>
      </left>
      <right style="thin">
        <color rgb="FF00B0F0"/>
      </right>
      <top style="thin">
        <color indexed="64"/>
      </top>
      <bottom style="thin">
        <color theme="4"/>
      </bottom>
      <diagonal/>
    </border>
    <border>
      <left/>
      <right style="thin">
        <color rgb="FF00B0F0"/>
      </right>
      <top style="thin">
        <color indexed="64"/>
      </top>
      <bottom/>
      <diagonal/>
    </border>
    <border>
      <left style="thin">
        <color rgb="FF00B0F0"/>
      </left>
      <right style="thin">
        <color rgb="FF00B0F0"/>
      </right>
      <top style="thin">
        <color theme="4"/>
      </top>
      <bottom style="thin">
        <color theme="4"/>
      </bottom>
      <diagonal/>
    </border>
    <border>
      <left/>
      <right style="thin">
        <color rgb="FF00B0F0"/>
      </right>
      <top/>
      <bottom style="thin">
        <color rgb="FF00B0F0"/>
      </bottom>
      <diagonal/>
    </border>
    <border>
      <left style="thin">
        <color rgb="FF00B0F0"/>
      </left>
      <right style="thin">
        <color rgb="FF00B0F0"/>
      </right>
      <top/>
      <bottom style="thin">
        <color theme="4"/>
      </bottom>
      <diagonal/>
    </border>
    <border>
      <left style="thin">
        <color rgb="FF00B0F0"/>
      </left>
      <right style="thin">
        <color indexed="64"/>
      </right>
      <top style="thin">
        <color indexed="64"/>
      </top>
      <bottom style="thin">
        <color theme="4"/>
      </bottom>
      <diagonal/>
    </border>
    <border>
      <left style="thin">
        <color rgb="FF00B0F0"/>
      </left>
      <right style="thin">
        <color indexed="64"/>
      </right>
      <top style="thin">
        <color theme="4"/>
      </top>
      <bottom style="thin">
        <color rgb="FF00B0F0"/>
      </bottom>
      <diagonal/>
    </border>
    <border>
      <left style="thin">
        <color rgb="FF00B0F0"/>
      </left>
      <right style="thin">
        <color rgb="FF00B0F0"/>
      </right>
      <top/>
      <bottom/>
      <diagonal/>
    </border>
    <border>
      <left style="thin">
        <color indexed="10"/>
      </left>
      <right style="thin">
        <color indexed="10"/>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10"/>
      </left>
      <right/>
      <top style="thin">
        <color indexed="10"/>
      </top>
      <bottom/>
      <diagonal/>
    </border>
    <border>
      <left style="thin">
        <color indexed="10"/>
      </left>
      <right/>
      <top/>
      <bottom style="thin">
        <color indexed="10"/>
      </bottom>
      <diagonal/>
    </border>
    <border>
      <left style="thin">
        <color indexed="10"/>
      </left>
      <right style="thin">
        <color indexed="10"/>
      </right>
      <top/>
      <bottom style="thin">
        <color indexed="10"/>
      </bottom>
      <diagonal/>
    </border>
    <border>
      <left/>
      <right style="thin">
        <color theme="0" tint="-0.14996795556505021"/>
      </right>
      <top/>
      <bottom/>
      <diagonal/>
    </border>
    <border>
      <left style="thin">
        <color theme="0"/>
      </left>
      <right/>
      <top style="thin">
        <color theme="0"/>
      </top>
      <bottom style="thin">
        <color theme="4" tint="0.79995117038483843"/>
      </bottom>
      <diagonal/>
    </border>
    <border>
      <left/>
      <right/>
      <top style="thin">
        <color theme="0"/>
      </top>
      <bottom style="thin">
        <color theme="4" tint="0.79995117038483843"/>
      </bottom>
      <diagonal/>
    </border>
    <border>
      <left/>
      <right style="thin">
        <color theme="3" tint="0.79998168889431442"/>
      </right>
      <top style="thin">
        <color theme="0"/>
      </top>
      <bottom style="thin">
        <color theme="3" tint="0.79998168889431442"/>
      </bottom>
      <diagonal/>
    </border>
    <border>
      <left/>
      <right/>
      <top style="thin">
        <color theme="0"/>
      </top>
      <bottom/>
      <diagonal/>
    </border>
    <border>
      <left/>
      <right style="thin">
        <color theme="4" tint="0.79995117038483843"/>
      </right>
      <top style="thin">
        <color theme="0"/>
      </top>
      <bottom/>
      <diagonal/>
    </border>
    <border>
      <left/>
      <right/>
      <top style="thin">
        <color theme="0"/>
      </top>
      <bottom style="thin">
        <color theme="3" tint="0.7999816888943144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9">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applyFont="0" applyFill="0" applyBorder="0" applyAlignment="0" applyProtection="0"/>
    <xf numFmtId="0" fontId="4" fillId="0" borderId="0"/>
    <xf numFmtId="0" fontId="1" fillId="0" borderId="0"/>
    <xf numFmtId="0" fontId="5" fillId="0" borderId="0"/>
    <xf numFmtId="0" fontId="1" fillId="0" borderId="0"/>
    <xf numFmtId="0" fontId="30" fillId="0" borderId="0"/>
    <xf numFmtId="0" fontId="30" fillId="0" borderId="0"/>
    <xf numFmtId="0" fontId="30" fillId="0" borderId="0"/>
    <xf numFmtId="0" fontId="6" fillId="0" borderId="0"/>
    <xf numFmtId="0" fontId="17" fillId="0" borderId="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91" fillId="0" borderId="0"/>
    <xf numFmtId="0" fontId="30" fillId="0" borderId="0"/>
  </cellStyleXfs>
  <cellXfs count="1162">
    <xf numFmtId="0" fontId="0" fillId="0" borderId="0" xfId="0"/>
    <xf numFmtId="0" fontId="3" fillId="2" borderId="0" xfId="0" applyFont="1" applyFill="1" applyBorder="1" applyProtection="1">
      <protection hidden="1"/>
    </xf>
    <xf numFmtId="0" fontId="3" fillId="0" borderId="0" xfId="0" applyFont="1" applyFill="1" applyBorder="1" applyProtection="1">
      <protection hidden="1"/>
    </xf>
    <xf numFmtId="0" fontId="3" fillId="2"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vertical="center"/>
      <protection hidden="1"/>
    </xf>
    <xf numFmtId="0" fontId="31" fillId="0" borderId="0" xfId="0" applyFont="1" applyFill="1" applyBorder="1" applyProtection="1">
      <protection hidden="1"/>
    </xf>
    <xf numFmtId="0" fontId="32" fillId="0" borderId="0" xfId="0" applyFont="1" applyFill="1" applyBorder="1" applyProtection="1">
      <protection hidden="1"/>
    </xf>
    <xf numFmtId="49" fontId="12" fillId="3" borderId="0" xfId="8" applyNumberFormat="1" applyFont="1" applyFill="1" applyBorder="1" applyAlignment="1">
      <alignment horizontal="left" vertical="center"/>
    </xf>
    <xf numFmtId="0" fontId="13" fillId="2" borderId="0" xfId="0" applyFont="1" applyFill="1" applyBorder="1" applyProtection="1">
      <protection hidden="1"/>
    </xf>
    <xf numFmtId="167" fontId="31" fillId="2" borderId="0" xfId="2" applyNumberFormat="1" applyFont="1" applyFill="1" applyBorder="1" applyAlignment="1" applyProtection="1">
      <alignment horizontal="center" vertical="center"/>
      <protection hidden="1"/>
    </xf>
    <xf numFmtId="168" fontId="31" fillId="2" borderId="0" xfId="13" applyNumberFormat="1" applyFont="1" applyFill="1" applyBorder="1" applyAlignment="1" applyProtection="1">
      <alignment horizontal="center" vertical="center"/>
      <protection hidden="1"/>
    </xf>
    <xf numFmtId="170" fontId="31" fillId="2" borderId="0" xfId="2" applyNumberFormat="1" applyFont="1" applyFill="1" applyBorder="1" applyAlignment="1" applyProtection="1">
      <alignment horizontal="center" vertical="center"/>
      <protection hidden="1"/>
    </xf>
    <xf numFmtId="49" fontId="9" fillId="2" borderId="0" xfId="8" applyNumberFormat="1" applyFont="1" applyFill="1" applyBorder="1" applyAlignment="1">
      <alignment vertical="center"/>
    </xf>
    <xf numFmtId="0" fontId="35" fillId="0" borderId="0" xfId="0" applyFont="1" applyFill="1" applyBorder="1" applyProtection="1">
      <protection hidden="1"/>
    </xf>
    <xf numFmtId="0" fontId="32" fillId="0" borderId="0" xfId="0" applyFont="1" applyFill="1" applyBorder="1" applyAlignment="1" applyProtection="1">
      <protection hidden="1"/>
    </xf>
    <xf numFmtId="0" fontId="36" fillId="0" borderId="0" xfId="0" applyFont="1" applyFill="1" applyBorder="1" applyAlignment="1">
      <alignment horizontal="justify" vertical="center" wrapText="1"/>
    </xf>
    <xf numFmtId="0" fontId="37" fillId="0" borderId="0" xfId="0" applyFont="1" applyFill="1" applyBorder="1" applyAlignment="1">
      <alignment horizontal="justify" vertical="center" wrapText="1"/>
    </xf>
    <xf numFmtId="0" fontId="32" fillId="0" borderId="0" xfId="0" applyFont="1" applyFill="1" applyBorder="1"/>
    <xf numFmtId="0" fontId="32" fillId="0" borderId="0" xfId="0" applyFont="1" applyFill="1" applyBorder="1" applyAlignment="1">
      <alignment horizontal="justify" vertical="center" wrapText="1"/>
    </xf>
    <xf numFmtId="0" fontId="38" fillId="0" borderId="0" xfId="0" applyFont="1" applyFill="1" applyBorder="1" applyProtection="1">
      <protection hidden="1"/>
    </xf>
    <xf numFmtId="0" fontId="39" fillId="0" borderId="0" xfId="0" applyFont="1" applyFill="1" applyBorder="1" applyProtection="1">
      <protection hidden="1"/>
    </xf>
    <xf numFmtId="0" fontId="38" fillId="0" borderId="0" xfId="0" applyFont="1" applyFill="1" applyBorder="1" applyAlignment="1" applyProtection="1">
      <alignment horizontal="center"/>
      <protection hidden="1"/>
    </xf>
    <xf numFmtId="168" fontId="31" fillId="2" borderId="0" xfId="13" applyNumberFormat="1" applyFont="1" applyFill="1" applyBorder="1" applyAlignment="1" applyProtection="1">
      <alignment vertical="center"/>
      <protection hidden="1"/>
    </xf>
    <xf numFmtId="170" fontId="31" fillId="2" borderId="0" xfId="2" applyNumberFormat="1" applyFont="1" applyFill="1" applyBorder="1" applyAlignment="1" applyProtection="1">
      <alignment vertical="center"/>
      <protection hidden="1"/>
    </xf>
    <xf numFmtId="49" fontId="7" fillId="2" borderId="0" xfId="8" applyNumberFormat="1" applyFont="1" applyFill="1" applyBorder="1" applyAlignment="1">
      <alignment horizontal="left" vertical="center"/>
    </xf>
    <xf numFmtId="3" fontId="32" fillId="0" borderId="0" xfId="0" applyNumberFormat="1" applyFont="1" applyFill="1" applyBorder="1" applyProtection="1">
      <protection hidden="1"/>
    </xf>
    <xf numFmtId="3" fontId="32" fillId="0" borderId="0" xfId="0" applyNumberFormat="1" applyFont="1" applyFill="1" applyBorder="1"/>
    <xf numFmtId="3" fontId="36" fillId="0" borderId="0"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42" fillId="0" borderId="0" xfId="0" applyFont="1" applyFill="1" applyBorder="1" applyAlignment="1">
      <alignment horizontal="justify" vertical="center" wrapText="1"/>
    </xf>
    <xf numFmtId="49" fontId="11" fillId="4" borderId="1" xfId="8" applyNumberFormat="1" applyFont="1" applyFill="1" applyBorder="1" applyAlignment="1">
      <alignment vertical="center"/>
    </xf>
    <xf numFmtId="49" fontId="11" fillId="4" borderId="2" xfId="8" applyNumberFormat="1" applyFont="1" applyFill="1" applyBorder="1" applyAlignment="1">
      <alignment vertical="center"/>
    </xf>
    <xf numFmtId="0" fontId="43" fillId="0" borderId="0" xfId="0" applyFont="1" applyFill="1" applyBorder="1" applyAlignment="1" applyProtection="1">
      <alignment horizontal="center"/>
      <protection hidden="1"/>
    </xf>
    <xf numFmtId="3" fontId="37" fillId="0" borderId="0" xfId="0" applyNumberFormat="1" applyFont="1" applyFill="1" applyBorder="1" applyAlignment="1">
      <alignment horizontal="center" vertical="center" wrapText="1"/>
    </xf>
    <xf numFmtId="3" fontId="44" fillId="0" borderId="0" xfId="0" applyNumberFormat="1" applyFont="1" applyFill="1" applyBorder="1" applyAlignment="1">
      <alignment horizontal="center" vertical="center"/>
    </xf>
    <xf numFmtId="3" fontId="37" fillId="0" borderId="0" xfId="13" applyNumberFormat="1" applyFont="1" applyFill="1" applyBorder="1" applyAlignment="1">
      <alignment horizontal="center" vertical="center" wrapText="1"/>
    </xf>
    <xf numFmtId="3" fontId="36" fillId="0" borderId="0" xfId="13" applyNumberFormat="1" applyFont="1" applyFill="1" applyBorder="1" applyAlignment="1">
      <alignment horizontal="center" vertical="center"/>
    </xf>
    <xf numFmtId="172" fontId="37" fillId="0" borderId="0" xfId="0" applyNumberFormat="1" applyFont="1" applyFill="1" applyBorder="1" applyAlignment="1">
      <alignment horizontal="center" vertical="center" wrapText="1"/>
    </xf>
    <xf numFmtId="3" fontId="32" fillId="0" borderId="0" xfId="13" applyNumberFormat="1" applyFont="1" applyFill="1" applyBorder="1" applyAlignment="1">
      <alignment horizontal="center" vertical="center"/>
    </xf>
    <xf numFmtId="3" fontId="45" fillId="0" borderId="0" xfId="13" applyNumberFormat="1" applyFont="1" applyFill="1" applyBorder="1" applyAlignment="1">
      <alignment horizontal="center" vertical="center"/>
    </xf>
    <xf numFmtId="3" fontId="44" fillId="0" borderId="0" xfId="13" applyNumberFormat="1" applyFont="1" applyFill="1" applyBorder="1" applyAlignment="1">
      <alignment horizontal="center" vertical="center"/>
    </xf>
    <xf numFmtId="0" fontId="43" fillId="0" borderId="0" xfId="0" applyFont="1" applyFill="1" applyBorder="1" applyAlignment="1" applyProtection="1">
      <alignment horizontal="center" vertical="center"/>
      <protection hidden="1"/>
    </xf>
    <xf numFmtId="0" fontId="46" fillId="0" borderId="0" xfId="0" applyFont="1" applyFill="1" applyBorder="1" applyAlignment="1">
      <alignment horizontal="center" vertical="center"/>
    </xf>
    <xf numFmtId="0" fontId="42" fillId="2" borderId="0" xfId="0" applyFont="1" applyFill="1" applyBorder="1" applyAlignment="1">
      <alignment horizontal="justify" vertical="center" wrapText="1"/>
    </xf>
    <xf numFmtId="0" fontId="36" fillId="2" borderId="0" xfId="0" applyFont="1" applyFill="1" applyBorder="1" applyAlignment="1">
      <alignment horizontal="justify" vertical="center" wrapText="1"/>
    </xf>
    <xf numFmtId="3" fontId="44" fillId="0" borderId="0" xfId="2" applyNumberFormat="1" applyFont="1" applyFill="1" applyBorder="1" applyAlignment="1">
      <alignment horizontal="center" vertical="center"/>
    </xf>
    <xf numFmtId="0" fontId="47" fillId="0" borderId="3" xfId="0" applyFont="1" applyFill="1" applyBorder="1" applyAlignment="1">
      <alignment horizontal="center" vertical="center"/>
    </xf>
    <xf numFmtId="3" fontId="37" fillId="0" borderId="0" xfId="0" applyNumberFormat="1" applyFont="1" applyFill="1" applyBorder="1" applyAlignment="1">
      <alignment horizontal="justify" vertical="center" wrapText="1"/>
    </xf>
    <xf numFmtId="172" fontId="37" fillId="0" borderId="0" xfId="0" applyNumberFormat="1" applyFont="1" applyFill="1" applyBorder="1" applyAlignment="1">
      <alignment horizontal="justify" vertical="center" wrapText="1"/>
    </xf>
    <xf numFmtId="3" fontId="36" fillId="0" borderId="0" xfId="0" applyNumberFormat="1" applyFont="1" applyFill="1" applyBorder="1" applyAlignment="1">
      <alignment horizontal="justify" vertical="center" wrapText="1"/>
    </xf>
    <xf numFmtId="0" fontId="3" fillId="0" borderId="0" xfId="0" applyFont="1" applyFill="1" applyBorder="1" applyAlignment="1" applyProtection="1">
      <alignment horizontal="center" vertical="center"/>
      <protection hidden="1"/>
    </xf>
    <xf numFmtId="170" fontId="31" fillId="2" borderId="4" xfId="2" applyNumberFormat="1" applyFont="1" applyFill="1" applyBorder="1" applyAlignment="1" applyProtection="1">
      <alignment horizontal="center" vertical="center"/>
      <protection hidden="1"/>
    </xf>
    <xf numFmtId="49" fontId="9" fillId="2" borderId="4" xfId="8" applyNumberFormat="1" applyFont="1" applyFill="1" applyBorder="1" applyAlignment="1">
      <alignment vertical="center"/>
    </xf>
    <xf numFmtId="2" fontId="42" fillId="2" borderId="0" xfId="0" applyNumberFormat="1" applyFont="1" applyFill="1" applyBorder="1" applyAlignment="1">
      <alignment horizontal="right" vertical="center" wrapText="1"/>
    </xf>
    <xf numFmtId="167" fontId="42" fillId="2" borderId="0" xfId="2" applyNumberFormat="1" applyFont="1" applyFill="1" applyBorder="1" applyAlignment="1">
      <alignment horizontal="right" vertical="center" wrapText="1"/>
    </xf>
    <xf numFmtId="2" fontId="42" fillId="2" borderId="0" xfId="0" applyNumberFormat="1" applyFont="1" applyFill="1" applyBorder="1" applyAlignment="1">
      <alignment vertical="center" wrapText="1"/>
    </xf>
    <xf numFmtId="171" fontId="42" fillId="2" borderId="0" xfId="2" applyNumberFormat="1" applyFont="1" applyFill="1" applyBorder="1" applyAlignment="1">
      <alignment horizontal="right" vertical="center" wrapText="1"/>
    </xf>
    <xf numFmtId="169" fontId="42" fillId="2" borderId="0" xfId="0" applyNumberFormat="1" applyFont="1" applyFill="1" applyBorder="1" applyAlignment="1">
      <alignment horizontal="right" vertical="center" wrapText="1"/>
    </xf>
    <xf numFmtId="0" fontId="42" fillId="11" borderId="3" xfId="0" applyFont="1" applyFill="1" applyBorder="1" applyAlignment="1">
      <alignment horizontal="center"/>
    </xf>
    <xf numFmtId="0" fontId="42" fillId="12" borderId="3" xfId="0" applyFont="1" applyFill="1" applyBorder="1"/>
    <xf numFmtId="0" fontId="42" fillId="10" borderId="3" xfId="0" applyFont="1" applyFill="1" applyBorder="1"/>
    <xf numFmtId="0" fontId="42" fillId="8" borderId="3" xfId="0" applyFont="1" applyFill="1" applyBorder="1"/>
    <xf numFmtId="0" fontId="36" fillId="0" borderId="0" xfId="0" applyFont="1" applyAlignment="1">
      <alignment horizontal="left" indent="1"/>
    </xf>
    <xf numFmtId="0" fontId="17" fillId="0" borderId="0" xfId="0" applyFont="1"/>
    <xf numFmtId="169" fontId="31" fillId="0" borderId="0" xfId="0" applyNumberFormat="1" applyFont="1" applyFill="1" applyBorder="1" applyProtection="1">
      <protection hidden="1"/>
    </xf>
    <xf numFmtId="0" fontId="56" fillId="0" borderId="3" xfId="0" applyFont="1" applyFill="1" applyBorder="1" applyProtection="1">
      <protection hidden="1"/>
    </xf>
    <xf numFmtId="0" fontId="64" fillId="0" borderId="0" xfId="0" applyFont="1" applyFill="1" applyBorder="1" applyAlignment="1">
      <alignment horizontal="center" vertical="center"/>
    </xf>
    <xf numFmtId="0" fontId="53" fillId="0" borderId="3" xfId="0" applyFont="1" applyFill="1" applyBorder="1" applyAlignment="1">
      <alignment horizontal="left" vertical="center"/>
    </xf>
    <xf numFmtId="2" fontId="36" fillId="0" borderId="0" xfId="0" applyNumberFormat="1" applyFont="1" applyBorder="1" applyAlignment="1">
      <alignment horizontal="right" vertical="center" wrapText="1"/>
    </xf>
    <xf numFmtId="0" fontId="32" fillId="0" borderId="0" xfId="0" applyFont="1" applyBorder="1" applyAlignment="1">
      <alignment horizontal="justify" vertical="center" wrapText="1"/>
    </xf>
    <xf numFmtId="3" fontId="37" fillId="0" borderId="0" xfId="13" applyNumberFormat="1" applyFont="1" applyFill="1" applyBorder="1" applyAlignment="1">
      <alignment horizontal="justify" vertical="center" wrapText="1"/>
    </xf>
    <xf numFmtId="3" fontId="32" fillId="0" borderId="0" xfId="0" applyNumberFormat="1" applyFont="1" applyFill="1" applyBorder="1" applyAlignment="1" applyProtection="1">
      <alignment horizontal="justify" vertical="center" wrapText="1"/>
      <protection hidden="1"/>
    </xf>
    <xf numFmtId="3" fontId="32" fillId="0" borderId="0" xfId="0" applyNumberFormat="1" applyFont="1" applyFill="1" applyBorder="1" applyAlignment="1" applyProtection="1">
      <alignment horizontal="center" vertical="center"/>
      <protection hidden="1"/>
    </xf>
    <xf numFmtId="0" fontId="65" fillId="0" borderId="0" xfId="0" applyFont="1" applyFill="1" applyBorder="1" applyAlignment="1">
      <alignment horizontal="center" vertical="center" wrapText="1"/>
    </xf>
    <xf numFmtId="0" fontId="36" fillId="0" borderId="0" xfId="0" applyFont="1" applyFill="1" applyBorder="1"/>
    <xf numFmtId="0" fontId="32" fillId="0" borderId="0" xfId="0" applyFont="1" applyBorder="1"/>
    <xf numFmtId="168" fontId="37" fillId="0" borderId="0" xfId="13" applyNumberFormat="1" applyFont="1" applyFill="1" applyBorder="1" applyAlignment="1">
      <alignment horizontal="justify" vertical="center" wrapText="1"/>
    </xf>
    <xf numFmtId="0" fontId="32" fillId="0" borderId="0" xfId="0" applyFont="1" applyFill="1" applyBorder="1" applyAlignment="1" applyProtection="1">
      <alignment horizontal="justify" vertical="center" wrapText="1"/>
      <protection hidden="1"/>
    </xf>
    <xf numFmtId="2" fontId="36" fillId="0" borderId="0" xfId="0" applyNumberFormat="1" applyFont="1" applyBorder="1" applyAlignment="1">
      <alignment horizontal="justify" vertical="center" wrapText="1"/>
    </xf>
    <xf numFmtId="0" fontId="66" fillId="0" borderId="0" xfId="0" applyFont="1" applyFill="1" applyBorder="1" applyAlignment="1">
      <alignment horizontal="center" vertical="center"/>
    </xf>
    <xf numFmtId="9" fontId="32" fillId="0" borderId="0" xfId="13" applyFont="1" applyFill="1" applyBorder="1" applyAlignment="1">
      <alignment horizontal="justify" vertical="center" wrapText="1"/>
    </xf>
    <xf numFmtId="0" fontId="38" fillId="0" borderId="0" xfId="0" applyFont="1" applyFill="1" applyBorder="1" applyAlignment="1" applyProtection="1">
      <alignment horizontal="center" vertical="center"/>
      <protection hidden="1"/>
    </xf>
    <xf numFmtId="0" fontId="36" fillId="0" borderId="0" xfId="0" applyFont="1" applyBorder="1"/>
    <xf numFmtId="2" fontId="36" fillId="0" borderId="0" xfId="0" applyNumberFormat="1" applyFont="1" applyBorder="1"/>
    <xf numFmtId="166" fontId="36" fillId="0" borderId="0" xfId="0" applyNumberFormat="1" applyFont="1" applyBorder="1" applyAlignment="1">
      <alignment horizontal="justify" vertical="center" wrapText="1"/>
    </xf>
    <xf numFmtId="2" fontId="36" fillId="2" borderId="0" xfId="0" applyNumberFormat="1" applyFont="1" applyFill="1" applyBorder="1" applyAlignment="1">
      <alignment horizontal="justify" vertical="center" wrapText="1"/>
    </xf>
    <xf numFmtId="2" fontId="37" fillId="0" borderId="0" xfId="0" applyNumberFormat="1" applyFont="1" applyFill="1" applyBorder="1" applyAlignment="1">
      <alignment horizontal="justify" vertical="center" wrapText="1"/>
    </xf>
    <xf numFmtId="0" fontId="67" fillId="2" borderId="3" xfId="0" applyFont="1" applyFill="1" applyBorder="1" applyAlignment="1">
      <alignment horizontal="justify" vertical="center" wrapText="1"/>
    </xf>
    <xf numFmtId="0" fontId="68" fillId="2" borderId="3" xfId="0" applyFont="1" applyFill="1" applyBorder="1" applyAlignment="1">
      <alignment horizontal="center" vertical="center" wrapText="1"/>
    </xf>
    <xf numFmtId="3" fontId="32" fillId="0" borderId="0" xfId="13" applyNumberFormat="1" applyFont="1" applyFill="1" applyBorder="1" applyAlignment="1">
      <alignment horizontal="justify" vertical="center" wrapText="1"/>
    </xf>
    <xf numFmtId="1" fontId="37" fillId="0" borderId="0" xfId="0" applyNumberFormat="1" applyFont="1" applyFill="1" applyBorder="1" applyAlignment="1">
      <alignment horizontal="justify" vertical="center" wrapText="1"/>
    </xf>
    <xf numFmtId="0" fontId="36" fillId="2" borderId="0" xfId="0" applyFont="1" applyFill="1" applyBorder="1" applyAlignment="1">
      <alignment vertical="center"/>
    </xf>
    <xf numFmtId="0" fontId="36"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9" fontId="32" fillId="0" borderId="0" xfId="13" applyFont="1" applyFill="1" applyBorder="1" applyAlignment="1">
      <alignment horizontal="center" vertical="center"/>
    </xf>
    <xf numFmtId="168" fontId="37" fillId="0" borderId="0" xfId="13" applyNumberFormat="1" applyFont="1" applyFill="1" applyBorder="1" applyAlignment="1">
      <alignment horizontal="center" vertical="center" wrapText="1"/>
    </xf>
    <xf numFmtId="0" fontId="36" fillId="0" borderId="0" xfId="0" applyFont="1" applyFill="1" applyBorder="1" applyAlignment="1">
      <alignment vertical="center"/>
    </xf>
    <xf numFmtId="0" fontId="65" fillId="0" borderId="0" xfId="0" applyFont="1" applyFill="1" applyBorder="1" applyProtection="1">
      <protection hidden="1"/>
    </xf>
    <xf numFmtId="49" fontId="37"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xf>
    <xf numFmtId="3" fontId="35" fillId="0" borderId="0" xfId="0" applyNumberFormat="1" applyFont="1" applyFill="1" applyBorder="1" applyAlignment="1">
      <alignment horizontal="center" vertical="center"/>
    </xf>
    <xf numFmtId="0" fontId="35" fillId="0" borderId="0" xfId="0" applyFont="1" applyFill="1" applyBorder="1" applyAlignment="1">
      <alignment horizontal="center"/>
    </xf>
    <xf numFmtId="0" fontId="32" fillId="2" borderId="0" xfId="0" applyFont="1" applyFill="1" applyBorder="1" applyProtection="1">
      <protection hidden="1"/>
    </xf>
    <xf numFmtId="2" fontId="42" fillId="0" borderId="0" xfId="13" applyNumberFormat="1" applyFont="1" applyFill="1" applyBorder="1"/>
    <xf numFmtId="166" fontId="42" fillId="0" borderId="0" xfId="13" applyNumberFormat="1" applyFont="1" applyFill="1" applyBorder="1"/>
    <xf numFmtId="166" fontId="69" fillId="0" borderId="0" xfId="0" applyNumberFormat="1" applyFont="1" applyFill="1"/>
    <xf numFmtId="166" fontId="70" fillId="0" borderId="0" xfId="0" applyNumberFormat="1" applyFont="1" applyFill="1"/>
    <xf numFmtId="166" fontId="71" fillId="0" borderId="0" xfId="0" applyNumberFormat="1" applyFont="1"/>
    <xf numFmtId="2" fontId="42" fillId="0" borderId="0" xfId="0" applyNumberFormat="1" applyFont="1" applyFill="1" applyBorder="1"/>
    <xf numFmtId="166" fontId="42" fillId="0" borderId="0" xfId="0" applyNumberFormat="1" applyFont="1" applyFill="1" applyBorder="1"/>
    <xf numFmtId="166" fontId="70" fillId="0" borderId="0" xfId="0" applyNumberFormat="1" applyFont="1"/>
    <xf numFmtId="2" fontId="42" fillId="0" borderId="0" xfId="0" applyNumberFormat="1" applyFont="1" applyFill="1"/>
    <xf numFmtId="166" fontId="42" fillId="0" borderId="0" xfId="0" applyNumberFormat="1" applyFont="1" applyFill="1"/>
    <xf numFmtId="0" fontId="3" fillId="2" borderId="0" xfId="7" applyFont="1" applyFill="1" applyBorder="1" applyProtection="1">
      <protection hidden="1"/>
    </xf>
    <xf numFmtId="0" fontId="13" fillId="2" borderId="0" xfId="7" applyFont="1" applyFill="1" applyBorder="1" applyProtection="1">
      <protection hidden="1"/>
    </xf>
    <xf numFmtId="0" fontId="3" fillId="0" borderId="0" xfId="7" applyFont="1" applyFill="1" applyBorder="1" applyProtection="1">
      <protection hidden="1"/>
    </xf>
    <xf numFmtId="0" fontId="31" fillId="0" borderId="0" xfId="7" applyFont="1" applyFill="1" applyBorder="1" applyProtection="1">
      <protection hidden="1"/>
    </xf>
    <xf numFmtId="0" fontId="31" fillId="0" borderId="0" xfId="7" applyFont="1" applyFill="1" applyBorder="1" applyAlignment="1" applyProtection="1">
      <alignment vertical="center"/>
      <protection hidden="1"/>
    </xf>
    <xf numFmtId="0" fontId="31" fillId="0" borderId="0" xfId="7" applyFont="1" applyFill="1" applyBorder="1" applyAlignment="1" applyProtection="1">
      <alignment horizontal="center" vertical="center"/>
      <protection hidden="1"/>
    </xf>
    <xf numFmtId="0" fontId="13" fillId="2" borderId="0" xfId="7" applyFont="1" applyFill="1" applyBorder="1" applyAlignment="1" applyProtection="1">
      <alignment vertical="top" wrapText="1"/>
      <protection hidden="1"/>
    </xf>
    <xf numFmtId="0" fontId="31" fillId="2" borderId="0" xfId="7" applyFont="1" applyFill="1" applyBorder="1" applyAlignment="1" applyProtection="1">
      <alignment vertical="center"/>
      <protection hidden="1"/>
    </xf>
    <xf numFmtId="0" fontId="3" fillId="6" borderId="9" xfId="1" applyFont="1" applyFill="1" applyBorder="1" applyAlignment="1" applyProtection="1">
      <alignment horizontal="center" vertical="center" wrapText="1"/>
    </xf>
    <xf numFmtId="0" fontId="3" fillId="6" borderId="10" xfId="1" applyFont="1" applyFill="1" applyBorder="1" applyAlignment="1" applyProtection="1">
      <alignment horizontal="center" vertical="center" wrapText="1"/>
    </xf>
    <xf numFmtId="49" fontId="7" fillId="6" borderId="10" xfId="8" applyNumberFormat="1" applyFont="1" applyFill="1" applyBorder="1" applyAlignment="1">
      <alignment horizontal="left" vertical="center"/>
    </xf>
    <xf numFmtId="0" fontId="9" fillId="6" borderId="10" xfId="7" applyFont="1" applyFill="1" applyBorder="1" applyAlignment="1">
      <alignment horizontal="left" vertical="center" wrapText="1"/>
    </xf>
    <xf numFmtId="0" fontId="72" fillId="6" borderId="10" xfId="7" applyNumberFormat="1" applyFont="1" applyFill="1" applyBorder="1" applyAlignment="1" applyProtection="1">
      <alignment vertical="center" wrapText="1"/>
      <protection hidden="1"/>
    </xf>
    <xf numFmtId="0" fontId="31" fillId="6" borderId="10" xfId="7" applyFont="1" applyFill="1" applyBorder="1" applyAlignment="1" applyProtection="1">
      <alignment horizontal="center" vertical="center"/>
      <protection hidden="1"/>
    </xf>
    <xf numFmtId="0" fontId="73" fillId="6" borderId="11" xfId="7" applyFont="1" applyFill="1" applyBorder="1" applyAlignment="1" applyProtection="1">
      <alignment horizontal="left" vertical="center"/>
      <protection hidden="1"/>
    </xf>
    <xf numFmtId="0" fontId="61" fillId="13" borderId="0" xfId="1" applyFont="1" applyFill="1" applyBorder="1" applyAlignment="1" applyProtection="1">
      <alignment horizontal="center" vertical="center" wrapText="1"/>
    </xf>
    <xf numFmtId="49" fontId="60" fillId="13" borderId="0" xfId="8" applyNumberFormat="1" applyFont="1" applyFill="1" applyBorder="1" applyAlignment="1">
      <alignment horizontal="left" vertical="center"/>
    </xf>
    <xf numFmtId="0" fontId="59" fillId="13" borderId="0" xfId="7" applyFont="1" applyFill="1" applyBorder="1" applyAlignment="1">
      <alignment horizontal="left" vertical="center" wrapText="1"/>
    </xf>
    <xf numFmtId="3" fontId="58" fillId="13" borderId="0" xfId="7" applyNumberFormat="1" applyFont="1" applyFill="1" applyBorder="1" applyAlignment="1" applyProtection="1">
      <alignment vertical="center" wrapText="1"/>
      <protection hidden="1"/>
    </xf>
    <xf numFmtId="0" fontId="58" fillId="13" borderId="0" xfId="7" applyNumberFormat="1" applyFont="1" applyFill="1" applyBorder="1" applyAlignment="1" applyProtection="1">
      <alignment vertical="center" wrapText="1"/>
      <protection hidden="1"/>
    </xf>
    <xf numFmtId="0" fontId="57" fillId="13" borderId="0" xfId="7" applyFont="1" applyFill="1" applyBorder="1" applyAlignment="1" applyProtection="1">
      <alignment vertical="center"/>
      <protection hidden="1"/>
    </xf>
    <xf numFmtId="49" fontId="7" fillId="2" borderId="12" xfId="8" applyNumberFormat="1" applyFont="1" applyFill="1" applyBorder="1" applyAlignment="1">
      <alignment horizontal="left" vertical="center"/>
    </xf>
    <xf numFmtId="49" fontId="7" fillId="2" borderId="2" xfId="8" applyNumberFormat="1" applyFont="1" applyFill="1" applyBorder="1" applyAlignment="1">
      <alignment horizontal="left" vertical="center"/>
    </xf>
    <xf numFmtId="0" fontId="9" fillId="2" borderId="2" xfId="7" applyFont="1" applyFill="1" applyBorder="1" applyAlignment="1">
      <alignment horizontal="left" vertical="center" wrapText="1"/>
    </xf>
    <xf numFmtId="167" fontId="74" fillId="6" borderId="16" xfId="2" applyNumberFormat="1" applyFont="1" applyFill="1" applyBorder="1" applyAlignment="1" applyProtection="1">
      <alignment horizontal="center" vertical="center" wrapText="1"/>
      <protection hidden="1"/>
    </xf>
    <xf numFmtId="170" fontId="74" fillId="6" borderId="17" xfId="2" applyNumberFormat="1" applyFont="1" applyFill="1" applyBorder="1" applyAlignment="1" applyProtection="1">
      <alignment horizontal="center" vertical="center" wrapText="1"/>
      <protection hidden="1"/>
    </xf>
    <xf numFmtId="170" fontId="74" fillId="6" borderId="18" xfId="2" applyNumberFormat="1" applyFont="1" applyFill="1" applyBorder="1" applyAlignment="1" applyProtection="1">
      <alignment horizontal="center" vertical="center" wrapText="1"/>
      <protection hidden="1"/>
    </xf>
    <xf numFmtId="167" fontId="74" fillId="6" borderId="1" xfId="2" applyNumberFormat="1" applyFont="1" applyFill="1" applyBorder="1" applyAlignment="1" applyProtection="1">
      <alignment horizontal="center" vertical="center" wrapText="1"/>
      <protection hidden="1"/>
    </xf>
    <xf numFmtId="0" fontId="8" fillId="2" borderId="4" xfId="7" applyNumberFormat="1" applyFont="1" applyFill="1" applyBorder="1" applyAlignment="1" applyProtection="1">
      <alignment vertical="center" wrapText="1"/>
      <protection hidden="1"/>
    </xf>
    <xf numFmtId="0" fontId="8" fillId="2" borderId="0" xfId="7" applyNumberFormat="1" applyFont="1" applyFill="1" applyBorder="1" applyAlignment="1" applyProtection="1">
      <alignment vertical="center" wrapText="1"/>
      <protection hidden="1"/>
    </xf>
    <xf numFmtId="167" fontId="74" fillId="0" borderId="19" xfId="2" applyNumberFormat="1" applyFont="1" applyFill="1" applyBorder="1" applyAlignment="1" applyProtection="1">
      <alignment horizontal="center" vertical="center" wrapText="1"/>
      <protection hidden="1"/>
    </xf>
    <xf numFmtId="170" fontId="74" fillId="0" borderId="20" xfId="2" applyNumberFormat="1" applyFont="1" applyFill="1" applyBorder="1" applyAlignment="1" applyProtection="1">
      <alignment horizontal="center" vertical="center" wrapText="1"/>
      <protection hidden="1"/>
    </xf>
    <xf numFmtId="170" fontId="74" fillId="0" borderId="21" xfId="2" applyNumberFormat="1" applyFont="1" applyFill="1" applyBorder="1" applyAlignment="1" applyProtection="1">
      <alignment horizontal="center" vertical="center" wrapText="1"/>
      <protection hidden="1"/>
    </xf>
    <xf numFmtId="167" fontId="74" fillId="0" borderId="22" xfId="2" applyNumberFormat="1" applyFont="1" applyFill="1" applyBorder="1" applyAlignment="1" applyProtection="1">
      <alignment horizontal="center" vertical="center" wrapText="1"/>
      <protection hidden="1"/>
    </xf>
    <xf numFmtId="0" fontId="9" fillId="2" borderId="0" xfId="7" applyFont="1" applyFill="1" applyBorder="1" applyAlignment="1">
      <alignment vertical="center" wrapText="1"/>
    </xf>
    <xf numFmtId="0" fontId="9" fillId="2" borderId="0" xfId="7" applyFont="1" applyFill="1" applyBorder="1" applyAlignment="1">
      <alignment horizontal="left" vertical="center" wrapText="1"/>
    </xf>
    <xf numFmtId="167" fontId="74" fillId="6" borderId="19" xfId="2" applyNumberFormat="1" applyFont="1" applyFill="1" applyBorder="1" applyAlignment="1" applyProtection="1">
      <alignment horizontal="center" vertical="center" wrapText="1"/>
      <protection hidden="1"/>
    </xf>
    <xf numFmtId="170" fontId="74" fillId="6" borderId="23" xfId="2" applyNumberFormat="1" applyFont="1" applyFill="1" applyBorder="1" applyAlignment="1" applyProtection="1">
      <alignment horizontal="center" vertical="center" wrapText="1"/>
      <protection hidden="1"/>
    </xf>
    <xf numFmtId="170" fontId="74" fillId="6" borderId="21" xfId="2" applyNumberFormat="1" applyFont="1" applyFill="1" applyBorder="1" applyAlignment="1" applyProtection="1">
      <alignment horizontal="center" vertical="center" wrapText="1"/>
      <protection hidden="1"/>
    </xf>
    <xf numFmtId="170" fontId="74" fillId="6" borderId="24" xfId="2" applyNumberFormat="1" applyFont="1" applyFill="1" applyBorder="1" applyAlignment="1" applyProtection="1">
      <alignment horizontal="center" vertical="center" wrapText="1"/>
      <protection hidden="1"/>
    </xf>
    <xf numFmtId="167" fontId="74" fillId="6" borderId="8" xfId="2" applyNumberFormat="1" applyFont="1" applyFill="1" applyBorder="1" applyAlignment="1" applyProtection="1">
      <alignment horizontal="center" vertical="center" wrapText="1"/>
      <protection hidden="1"/>
    </xf>
    <xf numFmtId="0" fontId="13" fillId="2" borderId="0" xfId="7" applyFont="1" applyFill="1" applyBorder="1" applyAlignment="1" applyProtection="1">
      <alignment vertical="center" wrapText="1"/>
      <protection hidden="1"/>
    </xf>
    <xf numFmtId="0" fontId="2" fillId="2" borderId="4" xfId="7" applyFont="1" applyFill="1" applyBorder="1" applyAlignment="1" applyProtection="1">
      <alignment horizontal="center"/>
      <protection hidden="1"/>
    </xf>
    <xf numFmtId="0" fontId="31" fillId="2" borderId="0" xfId="7" applyFont="1" applyFill="1" applyBorder="1" applyProtection="1">
      <protection hidden="1"/>
    </xf>
    <xf numFmtId="0" fontId="2" fillId="2" borderId="0" xfId="7" applyFont="1" applyFill="1" applyBorder="1" applyAlignment="1" applyProtection="1">
      <alignment horizontal="center"/>
      <protection hidden="1"/>
    </xf>
    <xf numFmtId="167" fontId="74" fillId="0" borderId="25" xfId="2" applyNumberFormat="1" applyFont="1" applyFill="1" applyBorder="1" applyAlignment="1" applyProtection="1">
      <alignment horizontal="center" vertical="center" wrapText="1"/>
      <protection hidden="1"/>
    </xf>
    <xf numFmtId="170" fontId="74" fillId="0" borderId="24" xfId="2" applyNumberFormat="1" applyFont="1" applyFill="1" applyBorder="1" applyAlignment="1" applyProtection="1">
      <alignment horizontal="center" vertical="center" wrapText="1"/>
      <protection hidden="1"/>
    </xf>
    <xf numFmtId="0" fontId="14" fillId="2" borderId="0" xfId="7" applyFont="1" applyFill="1" applyBorder="1" applyAlignment="1" applyProtection="1">
      <alignment horizontal="center"/>
      <protection hidden="1"/>
    </xf>
    <xf numFmtId="170" fontId="74" fillId="6" borderId="26" xfId="2" applyNumberFormat="1" applyFont="1" applyFill="1" applyBorder="1" applyAlignment="1" applyProtection="1">
      <alignment horizontal="center" vertical="center" wrapText="1"/>
      <protection hidden="1"/>
    </xf>
    <xf numFmtId="167" fontId="74" fillId="6" borderId="27" xfId="2" applyNumberFormat="1" applyFont="1" applyFill="1" applyBorder="1" applyAlignment="1" applyProtection="1">
      <alignment horizontal="center" vertical="center" wrapText="1"/>
      <protection hidden="1"/>
    </xf>
    <xf numFmtId="0" fontId="13" fillId="2" borderId="0" xfId="7" applyFont="1" applyFill="1" applyBorder="1" applyAlignment="1" applyProtection="1">
      <alignment horizontal="left" vertical="top" wrapText="1" readingOrder="1"/>
      <protection hidden="1"/>
    </xf>
    <xf numFmtId="168" fontId="31" fillId="2" borderId="4" xfId="13" applyNumberFormat="1" applyFont="1" applyFill="1" applyBorder="1" applyAlignment="1" applyProtection="1">
      <alignment horizontal="center" vertical="center"/>
      <protection hidden="1"/>
    </xf>
    <xf numFmtId="167" fontId="74" fillId="0" borderId="28" xfId="2" applyNumberFormat="1" applyFont="1" applyFill="1" applyBorder="1" applyAlignment="1" applyProtection="1">
      <alignment horizontal="center" vertical="center" wrapText="1"/>
      <protection hidden="1"/>
    </xf>
    <xf numFmtId="170" fontId="74" fillId="0" borderId="29" xfId="2" applyNumberFormat="1" applyFont="1" applyFill="1" applyBorder="1" applyAlignment="1" applyProtection="1">
      <alignment horizontal="center" vertical="center" wrapText="1"/>
      <protection hidden="1"/>
    </xf>
    <xf numFmtId="170" fontId="74" fillId="0" borderId="26" xfId="2" applyNumberFormat="1" applyFont="1" applyFill="1" applyBorder="1" applyAlignment="1" applyProtection="1">
      <alignment horizontal="center" vertical="center" wrapText="1"/>
      <protection hidden="1"/>
    </xf>
    <xf numFmtId="167" fontId="74" fillId="0" borderId="8" xfId="2" applyNumberFormat="1" applyFont="1" applyFill="1" applyBorder="1" applyAlignment="1" applyProtection="1">
      <alignment horizontal="center" vertical="center" wrapText="1"/>
      <protection hidden="1"/>
    </xf>
    <xf numFmtId="167" fontId="74" fillId="6" borderId="4" xfId="2" applyNumberFormat="1" applyFont="1" applyFill="1" applyBorder="1" applyAlignment="1" applyProtection="1">
      <alignment horizontal="center" vertical="center" wrapText="1"/>
      <protection hidden="1"/>
    </xf>
    <xf numFmtId="170" fontId="74" fillId="6" borderId="20" xfId="2" applyNumberFormat="1" applyFont="1" applyFill="1" applyBorder="1" applyAlignment="1" applyProtection="1">
      <alignment horizontal="center" vertical="center" wrapText="1"/>
      <protection hidden="1"/>
    </xf>
    <xf numFmtId="170" fontId="74" fillId="6" borderId="30" xfId="2" applyNumberFormat="1" applyFont="1" applyFill="1" applyBorder="1" applyAlignment="1" applyProtection="1">
      <alignment horizontal="center" vertical="center" wrapText="1"/>
      <protection hidden="1"/>
    </xf>
    <xf numFmtId="167" fontId="74" fillId="6" borderId="22" xfId="2" applyNumberFormat="1" applyFont="1" applyFill="1" applyBorder="1" applyAlignment="1" applyProtection="1">
      <alignment horizontal="center" vertical="center" wrapText="1"/>
      <protection hidden="1"/>
    </xf>
    <xf numFmtId="0" fontId="41" fillId="2" borderId="4" xfId="7" applyFont="1" applyFill="1" applyBorder="1" applyAlignment="1" applyProtection="1">
      <alignment horizontal="center" vertical="center" wrapText="1"/>
      <protection hidden="1"/>
    </xf>
    <xf numFmtId="0" fontId="41" fillId="2" borderId="0" xfId="7" applyFont="1" applyFill="1" applyBorder="1" applyAlignment="1" applyProtection="1">
      <alignment horizontal="center" vertical="center" wrapText="1"/>
      <protection hidden="1"/>
    </xf>
    <xf numFmtId="0" fontId="40" fillId="2" borderId="0" xfId="7" applyFont="1" applyFill="1" applyBorder="1" applyAlignment="1" applyProtection="1">
      <alignment vertical="center" wrapText="1"/>
      <protection hidden="1"/>
    </xf>
    <xf numFmtId="0" fontId="55" fillId="2" borderId="8" xfId="7" applyNumberFormat="1" applyFont="1" applyFill="1" applyBorder="1" applyAlignment="1" applyProtection="1">
      <alignment vertical="center" wrapText="1"/>
      <protection hidden="1"/>
    </xf>
    <xf numFmtId="0" fontId="75" fillId="5" borderId="11" xfId="7" applyFont="1" applyFill="1" applyBorder="1" applyAlignment="1" applyProtection="1">
      <alignment horizontal="center" vertical="center" wrapText="1"/>
      <protection hidden="1"/>
    </xf>
    <xf numFmtId="0" fontId="75" fillId="5" borderId="13" xfId="7" applyFont="1" applyFill="1" applyBorder="1" applyAlignment="1" applyProtection="1">
      <alignment horizontal="center" vertical="center" wrapText="1"/>
      <protection hidden="1"/>
    </xf>
    <xf numFmtId="49" fontId="11" fillId="4" borderId="12" xfId="8" applyNumberFormat="1" applyFont="1" applyFill="1" applyBorder="1" applyAlignment="1">
      <alignment vertical="center"/>
    </xf>
    <xf numFmtId="49" fontId="11" fillId="14" borderId="7" xfId="8" applyNumberFormat="1" applyFont="1" applyFill="1" applyBorder="1" applyAlignment="1">
      <alignment vertical="center"/>
    </xf>
    <xf numFmtId="49" fontId="8" fillId="14" borderId="3" xfId="8" applyNumberFormat="1" applyFont="1" applyFill="1" applyBorder="1" applyAlignment="1">
      <alignment horizontal="left" vertical="center"/>
    </xf>
    <xf numFmtId="49" fontId="9" fillId="14" borderId="5" xfId="8" applyNumberFormat="1" applyFont="1" applyFill="1" applyBorder="1" applyAlignment="1">
      <alignment vertical="center"/>
    </xf>
    <xf numFmtId="0" fontId="31" fillId="14" borderId="0" xfId="7" applyFont="1" applyFill="1" applyBorder="1" applyProtection="1">
      <protection hidden="1"/>
    </xf>
    <xf numFmtId="49" fontId="8" fillId="14" borderId="5" xfId="8" applyNumberFormat="1" applyFont="1" applyFill="1" applyBorder="1" applyAlignment="1">
      <alignment vertical="center"/>
    </xf>
    <xf numFmtId="3" fontId="76" fillId="2" borderId="6" xfId="2" applyNumberFormat="1" applyFont="1" applyFill="1" applyBorder="1" applyAlignment="1" applyProtection="1">
      <alignment vertical="center" wrapText="1"/>
      <protection hidden="1"/>
    </xf>
    <xf numFmtId="167" fontId="8" fillId="14" borderId="3" xfId="2" applyNumberFormat="1" applyFont="1" applyFill="1" applyBorder="1" applyAlignment="1" applyProtection="1">
      <protection hidden="1"/>
    </xf>
    <xf numFmtId="49" fontId="9" fillId="14" borderId="3" xfId="8" applyNumberFormat="1" applyFont="1" applyFill="1" applyBorder="1" applyAlignment="1">
      <alignment vertical="center"/>
    </xf>
    <xf numFmtId="49" fontId="8" fillId="14" borderId="3" xfId="8" applyNumberFormat="1" applyFont="1" applyFill="1" applyBorder="1" applyAlignment="1">
      <alignment vertical="center"/>
    </xf>
    <xf numFmtId="0" fontId="32" fillId="2" borderId="3" xfId="7" applyNumberFormat="1" applyFont="1" applyFill="1" applyBorder="1" applyAlignment="1" applyProtection="1">
      <alignment horizontal="center" vertical="center"/>
      <protection hidden="1"/>
    </xf>
    <xf numFmtId="0" fontId="8" fillId="14" borderId="3" xfId="7" applyNumberFormat="1" applyFont="1" applyFill="1" applyBorder="1" applyAlignment="1" applyProtection="1">
      <alignment horizontal="center" vertical="center"/>
      <protection hidden="1"/>
    </xf>
    <xf numFmtId="0" fontId="32" fillId="2" borderId="3" xfId="7" applyNumberFormat="1" applyFont="1" applyFill="1" applyBorder="1" applyAlignment="1" applyProtection="1">
      <alignment horizontal="center" vertical="center" wrapText="1"/>
      <protection hidden="1"/>
    </xf>
    <xf numFmtId="49" fontId="9" fillId="14" borderId="3" xfId="8" applyNumberFormat="1" applyFont="1" applyFill="1" applyBorder="1" applyAlignment="1">
      <alignment horizontal="left" vertical="center"/>
    </xf>
    <xf numFmtId="0" fontId="34" fillId="2" borderId="0" xfId="7" applyFont="1" applyFill="1" applyBorder="1" applyAlignment="1" applyProtection="1">
      <alignment horizontal="left" vertical="top" wrapText="1" readingOrder="1"/>
      <protection hidden="1"/>
    </xf>
    <xf numFmtId="167" fontId="77" fillId="0" borderId="7" xfId="2" applyNumberFormat="1" applyFont="1" applyFill="1" applyBorder="1" applyAlignment="1" applyProtection="1">
      <alignment vertical="center" wrapText="1"/>
      <protection hidden="1"/>
    </xf>
    <xf numFmtId="167" fontId="77" fillId="0" borderId="6" xfId="2" applyNumberFormat="1" applyFont="1" applyFill="1" applyBorder="1" applyAlignment="1" applyProtection="1">
      <alignment vertical="center" wrapText="1"/>
      <protection hidden="1"/>
    </xf>
    <xf numFmtId="167" fontId="77" fillId="0" borderId="5" xfId="2" applyNumberFormat="1" applyFont="1" applyFill="1" applyBorder="1" applyAlignment="1" applyProtection="1">
      <alignment vertical="center" wrapText="1"/>
      <protection hidden="1"/>
    </xf>
    <xf numFmtId="49" fontId="22" fillId="14" borderId="14" xfId="8" applyNumberFormat="1" applyFont="1" applyFill="1" applyBorder="1" applyAlignment="1">
      <alignment vertical="center"/>
    </xf>
    <xf numFmtId="49" fontId="22" fillId="14" borderId="3" xfId="8" applyNumberFormat="1" applyFont="1" applyFill="1" applyBorder="1" applyAlignment="1">
      <alignment vertical="center"/>
    </xf>
    <xf numFmtId="0" fontId="3" fillId="2" borderId="0" xfId="7" applyFont="1" applyFill="1" applyBorder="1" applyAlignment="1" applyProtection="1">
      <alignment horizontal="center" vertical="center"/>
      <protection hidden="1"/>
    </xf>
    <xf numFmtId="0" fontId="33" fillId="2" borderId="0" xfId="7" applyFont="1" applyFill="1" applyBorder="1" applyAlignment="1" applyProtection="1">
      <alignment horizontal="center" vertical="center"/>
      <protection hidden="1"/>
    </xf>
    <xf numFmtId="49" fontId="3" fillId="14" borderId="3" xfId="8" applyNumberFormat="1" applyFont="1" applyFill="1" applyBorder="1" applyAlignment="1">
      <alignment horizontal="left" vertical="center"/>
    </xf>
    <xf numFmtId="0" fontId="3" fillId="14" borderId="3" xfId="7" applyNumberFormat="1" applyFont="1" applyFill="1" applyBorder="1" applyAlignment="1" applyProtection="1">
      <alignment horizontal="center" vertical="center"/>
      <protection hidden="1"/>
    </xf>
    <xf numFmtId="0" fontId="78" fillId="9" borderId="3" xfId="7" applyNumberFormat="1" applyFont="1" applyFill="1" applyBorder="1" applyAlignment="1" applyProtection="1">
      <alignment horizontal="center" vertical="center"/>
      <protection hidden="1"/>
    </xf>
    <xf numFmtId="0" fontId="13" fillId="2" borderId="0" xfId="7" applyNumberFormat="1" applyFont="1" applyFill="1" applyBorder="1" applyAlignment="1" applyProtection="1">
      <alignment vertical="center"/>
      <protection hidden="1"/>
    </xf>
    <xf numFmtId="0" fontId="9" fillId="3" borderId="0" xfId="7" applyNumberFormat="1" applyFont="1" applyFill="1" applyBorder="1" applyAlignment="1" applyProtection="1">
      <alignment vertical="center"/>
      <protection hidden="1"/>
    </xf>
    <xf numFmtId="0" fontId="52" fillId="3" borderId="2" xfId="7" applyNumberFormat="1" applyFont="1" applyFill="1" applyBorder="1" applyAlignment="1" applyProtection="1">
      <alignment horizontal="center" vertical="center"/>
      <protection hidden="1"/>
    </xf>
    <xf numFmtId="0" fontId="9" fillId="6" borderId="7" xfId="7" applyNumberFormat="1" applyFont="1" applyFill="1" applyBorder="1" applyAlignment="1" applyProtection="1">
      <alignment vertical="center"/>
      <protection hidden="1"/>
    </xf>
    <xf numFmtId="0" fontId="9" fillId="6" borderId="6" xfId="7" applyNumberFormat="1" applyFont="1" applyFill="1" applyBorder="1" applyAlignment="1" applyProtection="1">
      <alignment vertical="center"/>
      <protection hidden="1"/>
    </xf>
    <xf numFmtId="49" fontId="12" fillId="6" borderId="6" xfId="8" applyNumberFormat="1" applyFont="1" applyFill="1" applyBorder="1" applyAlignment="1">
      <alignment horizontal="left" vertical="center"/>
    </xf>
    <xf numFmtId="49" fontId="12" fillId="6" borderId="5" xfId="8" applyNumberFormat="1" applyFont="1" applyFill="1" applyBorder="1" applyAlignment="1">
      <alignment horizontal="left" vertical="center"/>
    </xf>
    <xf numFmtId="0" fontId="3" fillId="3" borderId="0" xfId="7" applyFont="1" applyFill="1" applyBorder="1" applyProtection="1">
      <protection hidden="1"/>
    </xf>
    <xf numFmtId="0" fontId="79" fillId="3" borderId="0" xfId="7" applyFont="1" applyFill="1" applyBorder="1" applyAlignment="1" applyProtection="1">
      <alignment vertical="center" shrinkToFit="1"/>
      <protection locked="0" hidden="1"/>
    </xf>
    <xf numFmtId="0" fontId="48" fillId="3" borderId="0" xfId="7" applyFont="1" applyFill="1" applyBorder="1" applyAlignment="1" applyProtection="1">
      <protection hidden="1"/>
    </xf>
    <xf numFmtId="0" fontId="80" fillId="13" borderId="0" xfId="7" applyFont="1" applyFill="1" applyBorder="1" applyAlignment="1" applyProtection="1">
      <alignment horizontal="center" vertical="center" shrinkToFit="1"/>
      <protection locked="0"/>
    </xf>
    <xf numFmtId="0" fontId="51" fillId="13" borderId="0" xfId="7" applyFont="1" applyFill="1" applyBorder="1" applyAlignment="1" applyProtection="1">
      <alignment horizontal="right" vertical="center"/>
      <protection hidden="1"/>
    </xf>
    <xf numFmtId="0" fontId="48" fillId="13" borderId="0" xfId="7" applyFont="1" applyFill="1" applyBorder="1" applyAlignment="1" applyProtection="1">
      <alignment vertical="center"/>
      <protection hidden="1"/>
    </xf>
    <xf numFmtId="0" fontId="3" fillId="13" borderId="0" xfId="7" applyFont="1" applyFill="1" applyBorder="1" applyProtection="1">
      <protection hidden="1"/>
    </xf>
    <xf numFmtId="0" fontId="81" fillId="13" borderId="31" xfId="7" applyFont="1" applyFill="1" applyBorder="1" applyAlignment="1" applyProtection="1">
      <alignment horizontal="center" vertical="center" shrinkToFit="1"/>
      <protection locked="0"/>
    </xf>
    <xf numFmtId="0" fontId="50" fillId="13" borderId="4" xfId="7" applyFont="1" applyFill="1" applyBorder="1" applyAlignment="1" applyProtection="1">
      <alignment horizontal="right"/>
      <protection locked="0" hidden="1"/>
    </xf>
    <xf numFmtId="0" fontId="50" fillId="13" borderId="0" xfId="7" applyFont="1" applyFill="1" applyBorder="1" applyAlignment="1" applyProtection="1">
      <alignment horizontal="right"/>
      <protection locked="0" hidden="1"/>
    </xf>
    <xf numFmtId="0" fontId="49" fillId="13" borderId="0" xfId="7" applyFont="1" applyFill="1" applyBorder="1" applyAlignment="1" applyProtection="1">
      <alignment horizontal="right" vertical="center"/>
      <protection hidden="1"/>
    </xf>
    <xf numFmtId="0" fontId="10" fillId="6" borderId="32" xfId="1" applyFill="1" applyBorder="1" applyAlignment="1" applyProtection="1">
      <alignment horizontal="center" vertical="center"/>
      <protection locked="0"/>
    </xf>
    <xf numFmtId="167" fontId="0" fillId="0" borderId="0" xfId="2" applyNumberFormat="1" applyFont="1"/>
    <xf numFmtId="164" fontId="42" fillId="2" borderId="0" xfId="2" applyFont="1" applyFill="1" applyBorder="1" applyAlignment="1">
      <alignment horizontal="right" vertical="center" wrapText="1"/>
    </xf>
    <xf numFmtId="167" fontId="42" fillId="2" borderId="0" xfId="2" applyNumberFormat="1" applyFont="1" applyFill="1" applyBorder="1" applyAlignment="1">
      <alignment horizontal="justify" vertical="center" wrapText="1"/>
    </xf>
    <xf numFmtId="0" fontId="25" fillId="2" borderId="0" xfId="0" applyFont="1" applyFill="1" applyBorder="1" applyProtection="1">
      <protection hidden="1"/>
    </xf>
    <xf numFmtId="0" fontId="25" fillId="0" borderId="0" xfId="0" applyFont="1" applyFill="1" applyBorder="1" applyProtection="1">
      <protection hidden="1"/>
    </xf>
    <xf numFmtId="0" fontId="18" fillId="0" borderId="0" xfId="0" applyFont="1" applyFill="1" applyBorder="1" applyAlignment="1" applyProtection="1">
      <protection hidden="1"/>
    </xf>
    <xf numFmtId="0" fontId="18" fillId="0" borderId="0" xfId="0" applyFont="1" applyFill="1" applyBorder="1" applyProtection="1">
      <protection hidden="1"/>
    </xf>
    <xf numFmtId="0" fontId="40" fillId="0" borderId="0" xfId="0" applyFont="1" applyFill="1" applyBorder="1" applyProtection="1">
      <protection hidden="1"/>
    </xf>
    <xf numFmtId="0" fontId="17" fillId="0" borderId="0" xfId="0" applyFont="1" applyFill="1"/>
    <xf numFmtId="174" fontId="15" fillId="0" borderId="0" xfId="0" applyNumberFormat="1" applyFont="1" applyFill="1" applyBorder="1" applyAlignment="1" applyProtection="1">
      <alignment horizontal="center"/>
    </xf>
    <xf numFmtId="0" fontId="9" fillId="6" borderId="0" xfId="0" applyNumberFormat="1" applyFont="1" applyFill="1" applyBorder="1" applyAlignment="1" applyProtection="1">
      <alignment vertical="center"/>
      <protection hidden="1"/>
    </xf>
    <xf numFmtId="0" fontId="18" fillId="0" borderId="0" xfId="0" applyFont="1" applyFill="1" applyBorder="1" applyAlignment="1" applyProtection="1">
      <alignment horizontal="center"/>
      <protection hidden="1"/>
    </xf>
    <xf numFmtId="0" fontId="18" fillId="0" borderId="0" xfId="0" applyFont="1" applyFill="1" applyBorder="1" applyAlignment="1" applyProtection="1">
      <alignment horizontal="center" vertical="center"/>
      <protection hidden="1"/>
    </xf>
    <xf numFmtId="175" fontId="32" fillId="0" borderId="0" xfId="2"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7" fillId="0" borderId="0" xfId="0" applyFont="1" applyFill="1" applyBorder="1" applyProtection="1">
      <protection hidden="1"/>
    </xf>
    <xf numFmtId="175" fontId="18" fillId="0" borderId="0" xfId="0" applyNumberFormat="1" applyFont="1" applyFill="1" applyBorder="1" applyProtection="1">
      <protection hidden="1"/>
    </xf>
    <xf numFmtId="168" fontId="31" fillId="0" borderId="0" xfId="13" applyNumberFormat="1" applyFont="1" applyFill="1" applyBorder="1" applyAlignment="1" applyProtection="1">
      <alignment horizontal="center" vertical="center"/>
      <protection hidden="1"/>
    </xf>
    <xf numFmtId="175" fontId="88" fillId="0" borderId="0" xfId="2" applyNumberFormat="1" applyFont="1" applyFill="1" applyBorder="1" applyProtection="1">
      <protection hidden="1"/>
    </xf>
    <xf numFmtId="0" fontId="18" fillId="0" borderId="0" xfId="5" applyFont="1" applyFill="1" applyBorder="1" applyAlignment="1">
      <alignment horizontal="right"/>
    </xf>
    <xf numFmtId="43" fontId="88" fillId="0" borderId="0" xfId="2" applyNumberFormat="1" applyFont="1" applyFill="1" applyBorder="1" applyProtection="1">
      <protection hidden="1"/>
    </xf>
    <xf numFmtId="49" fontId="7" fillId="6" borderId="0" xfId="10" applyNumberFormat="1" applyFont="1" applyFill="1" applyBorder="1" applyAlignment="1">
      <alignment horizontal="left" vertical="center"/>
    </xf>
    <xf numFmtId="0" fontId="3" fillId="6" borderId="0" xfId="1" applyFont="1" applyFill="1" applyBorder="1" applyAlignment="1" applyProtection="1">
      <alignment horizontal="center" vertical="center" wrapText="1"/>
    </xf>
    <xf numFmtId="0" fontId="9" fillId="6" borderId="0" xfId="0" applyFont="1" applyFill="1" applyBorder="1" applyAlignment="1">
      <alignment horizontal="left" vertical="center" wrapText="1"/>
    </xf>
    <xf numFmtId="3" fontId="17" fillId="0" borderId="0" xfId="12" quotePrefix="1" applyNumberFormat="1" applyFont="1" applyFill="1" applyBorder="1" applyProtection="1">
      <protection hidden="1"/>
    </xf>
    <xf numFmtId="0" fontId="7" fillId="6" borderId="0" xfId="0" applyFont="1" applyFill="1" applyBorder="1" applyAlignment="1">
      <alignment horizontal="center" vertical="center" wrapText="1"/>
    </xf>
    <xf numFmtId="0" fontId="63" fillId="6" borderId="0" xfId="0" applyFont="1" applyFill="1" applyBorder="1" applyAlignment="1">
      <alignment horizontal="center"/>
    </xf>
    <xf numFmtId="0" fontId="9" fillId="6" borderId="0" xfId="0" applyFont="1" applyFill="1" applyBorder="1" applyAlignment="1">
      <alignment horizontal="center" vertical="center" wrapText="1"/>
    </xf>
    <xf numFmtId="168" fontId="18" fillId="0" borderId="0" xfId="13" applyNumberFormat="1" applyFont="1" applyFill="1" applyBorder="1" applyProtection="1">
      <protection hidden="1"/>
    </xf>
    <xf numFmtId="0" fontId="9" fillId="6" borderId="0" xfId="0" applyFont="1" applyFill="1" applyBorder="1" applyAlignment="1">
      <alignment horizontal="justify" vertical="center" wrapText="1"/>
    </xf>
    <xf numFmtId="3" fontId="18" fillId="0" borderId="0" xfId="12" quotePrefix="1" applyNumberFormat="1" applyFont="1" applyFill="1" applyBorder="1" applyProtection="1">
      <protection hidden="1"/>
    </xf>
    <xf numFmtId="3" fontId="18" fillId="0" borderId="0" xfId="5" applyNumberFormat="1" applyFont="1" applyFill="1" applyBorder="1" applyAlignment="1" applyProtection="1">
      <alignment horizontal="right"/>
      <protection hidden="1"/>
    </xf>
    <xf numFmtId="3" fontId="25" fillId="0" borderId="3" xfId="0" applyNumberFormat="1" applyFont="1" applyFill="1" applyBorder="1" applyAlignment="1">
      <alignment horizontal="center" vertical="center" wrapText="1"/>
    </xf>
    <xf numFmtId="0" fontId="29" fillId="0" borderId="3" xfId="0" applyFont="1" applyFill="1" applyBorder="1" applyAlignment="1" applyProtection="1">
      <alignment horizontal="center" vertical="center"/>
      <protection hidden="1"/>
    </xf>
    <xf numFmtId="0" fontId="56" fillId="0" borderId="5" xfId="0" applyNumberFormat="1" applyFont="1" applyFill="1" applyBorder="1" applyAlignment="1" applyProtection="1">
      <alignment horizontal="justify" vertical="center" wrapText="1"/>
      <protection hidden="1"/>
    </xf>
    <xf numFmtId="0" fontId="17" fillId="0" borderId="0" xfId="0" applyFont="1" applyFill="1" applyBorder="1"/>
    <xf numFmtId="165" fontId="89" fillId="13" borderId="0" xfId="7" applyNumberFormat="1" applyFont="1" applyFill="1" applyBorder="1" applyAlignment="1" applyProtection="1">
      <alignment vertical="center" wrapText="1"/>
      <protection hidden="1"/>
    </xf>
    <xf numFmtId="0" fontId="1" fillId="0" borderId="0" xfId="0" applyFont="1"/>
    <xf numFmtId="0" fontId="42" fillId="0" borderId="0" xfId="0" applyFont="1" applyBorder="1" applyAlignment="1">
      <alignment horizontal="justify" vertical="center" wrapText="1"/>
    </xf>
    <xf numFmtId="0" fontId="92" fillId="0" borderId="0" xfId="0" applyFont="1" applyFill="1" applyBorder="1" applyAlignment="1" applyProtection="1">
      <alignment horizontal="center" vertical="center"/>
      <protection hidden="1"/>
    </xf>
    <xf numFmtId="0" fontId="42" fillId="22" borderId="0" xfId="0" applyFont="1" applyFill="1" applyBorder="1" applyAlignment="1">
      <alignment horizontal="center"/>
    </xf>
    <xf numFmtId="0" fontId="56" fillId="0" borderId="0" xfId="0" applyFont="1" applyAlignment="1">
      <alignment horizontal="justify" vertical="center" wrapText="1"/>
    </xf>
    <xf numFmtId="0" fontId="42" fillId="11" borderId="0" xfId="0" applyFont="1" applyFill="1" applyBorder="1" applyAlignment="1">
      <alignment horizontal="center"/>
    </xf>
    <xf numFmtId="0" fontId="42" fillId="12" borderId="0" xfId="0" applyFont="1" applyFill="1" applyBorder="1"/>
    <xf numFmtId="0" fontId="42" fillId="10" borderId="0" xfId="0" applyFont="1" applyFill="1" applyBorder="1"/>
    <xf numFmtId="0" fontId="42" fillId="8" borderId="0" xfId="0" applyFont="1" applyFill="1" applyBorder="1"/>
    <xf numFmtId="0" fontId="56" fillId="0" borderId="0" xfId="0" applyNumberFormat="1" applyFont="1" applyFill="1" applyBorder="1" applyAlignment="1">
      <alignment horizontal="center" vertical="center" wrapText="1"/>
    </xf>
    <xf numFmtId="3" fontId="93" fillId="0" borderId="0" xfId="0" applyNumberFormat="1" applyFont="1" applyFill="1" applyBorder="1" applyAlignment="1">
      <alignment horizontal="center" vertical="center" wrapText="1"/>
    </xf>
    <xf numFmtId="0" fontId="93" fillId="0" borderId="0" xfId="0" applyNumberFormat="1" applyFont="1" applyFill="1" applyBorder="1" applyAlignment="1">
      <alignment horizontal="center" vertical="center" wrapText="1"/>
    </xf>
    <xf numFmtId="0" fontId="56" fillId="0" borderId="0" xfId="0" applyFont="1" applyFill="1" applyBorder="1" applyAlignment="1" applyProtection="1">
      <alignment horizontal="center" vertical="center"/>
      <protection hidden="1"/>
    </xf>
    <xf numFmtId="0" fontId="56" fillId="0" borderId="0" xfId="0" applyFont="1" applyFill="1" applyBorder="1" applyProtection="1">
      <protection hidden="1"/>
    </xf>
    <xf numFmtId="0" fontId="94" fillId="0" borderId="0" xfId="0" applyFont="1" applyFill="1" applyBorder="1" applyAlignment="1" applyProtection="1">
      <alignment horizontal="justify" vertical="center" wrapText="1"/>
      <protection hidden="1"/>
    </xf>
    <xf numFmtId="2" fontId="42" fillId="0" borderId="0" xfId="0" applyNumberFormat="1" applyFont="1" applyBorder="1" applyAlignment="1">
      <alignment horizontal="right" vertical="center" wrapText="1"/>
    </xf>
    <xf numFmtId="0" fontId="64" fillId="0" borderId="3" xfId="0" applyFont="1" applyFill="1" applyBorder="1" applyAlignment="1">
      <alignment horizontal="center" vertical="center"/>
    </xf>
    <xf numFmtId="167" fontId="42" fillId="0" borderId="0" xfId="2" applyNumberFormat="1" applyFont="1" applyBorder="1" applyAlignment="1">
      <alignment horizontal="right" vertical="center" wrapText="1"/>
    </xf>
    <xf numFmtId="2" fontId="42" fillId="0" borderId="0" xfId="13" applyNumberFormat="1" applyFont="1" applyFill="1" applyBorder="1" applyAlignment="1">
      <alignment horizontal="right" vertical="center" wrapText="1"/>
    </xf>
    <xf numFmtId="2" fontId="56" fillId="0" borderId="0" xfId="0" applyNumberFormat="1" applyFont="1" applyAlignment="1">
      <alignment horizontal="right" vertical="center" wrapText="1"/>
    </xf>
    <xf numFmtId="166" fontId="42" fillId="0" borderId="0" xfId="13" applyNumberFormat="1" applyFont="1" applyFill="1" applyBorder="1" applyAlignment="1">
      <alignment horizontal="justify" vertical="center" wrapText="1"/>
    </xf>
    <xf numFmtId="166" fontId="42" fillId="0" borderId="0" xfId="0" applyNumberFormat="1" applyFont="1" applyFill="1" applyBorder="1" applyAlignment="1">
      <alignment horizontal="justify" vertical="center" wrapText="1"/>
    </xf>
    <xf numFmtId="0" fontId="56" fillId="0" borderId="0" xfId="0" applyFont="1" applyBorder="1" applyAlignment="1">
      <alignment horizontal="justify" vertical="center" wrapText="1"/>
    </xf>
    <xf numFmtId="3" fontId="90" fillId="0" borderId="0" xfId="13" applyNumberFormat="1" applyFont="1" applyFill="1" applyBorder="1" applyAlignment="1">
      <alignment horizontal="justify" vertical="center" wrapText="1"/>
    </xf>
    <xf numFmtId="3" fontId="90" fillId="0" borderId="0" xfId="0" applyNumberFormat="1" applyFont="1" applyFill="1" applyBorder="1" applyAlignment="1">
      <alignment horizontal="justify" vertical="center" wrapText="1"/>
    </xf>
    <xf numFmtId="3" fontId="56" fillId="0" borderId="0" xfId="0" applyNumberFormat="1" applyFont="1" applyFill="1" applyBorder="1" applyAlignment="1" applyProtection="1">
      <alignment horizontal="justify" vertical="center" wrapText="1"/>
      <protection hidden="1"/>
    </xf>
    <xf numFmtId="3" fontId="90" fillId="0" borderId="0" xfId="0" applyNumberFormat="1" applyFont="1" applyFill="1" applyBorder="1" applyAlignment="1">
      <alignment horizontal="center" vertical="center" wrapText="1"/>
    </xf>
    <xf numFmtId="3" fontId="71" fillId="0" borderId="0" xfId="0" applyNumberFormat="1" applyFont="1" applyFill="1" applyBorder="1" applyAlignment="1">
      <alignment horizontal="center" vertical="center"/>
    </xf>
    <xf numFmtId="3" fontId="90" fillId="0" borderId="0" xfId="13" applyNumberFormat="1" applyFont="1" applyFill="1" applyBorder="1" applyAlignment="1">
      <alignment horizontal="center" vertical="center" wrapText="1"/>
    </xf>
    <xf numFmtId="3" fontId="42" fillId="0" borderId="0" xfId="13" applyNumberFormat="1" applyFont="1" applyFill="1" applyBorder="1" applyAlignment="1">
      <alignment horizontal="center" vertical="center"/>
    </xf>
    <xf numFmtId="3" fontId="42" fillId="0" borderId="0" xfId="0" applyNumberFormat="1" applyFont="1" applyFill="1" applyBorder="1" applyAlignment="1">
      <alignment horizontal="center" vertical="center" wrapText="1"/>
    </xf>
    <xf numFmtId="3" fontId="42" fillId="0" borderId="0" xfId="0" applyNumberFormat="1" applyFont="1" applyFill="1" applyBorder="1" applyAlignment="1">
      <alignment horizontal="justify" vertical="center" wrapText="1"/>
    </xf>
    <xf numFmtId="3" fontId="56" fillId="0" borderId="0" xfId="0" applyNumberFormat="1" applyFont="1" applyFill="1" applyBorder="1" applyAlignment="1" applyProtection="1">
      <alignment horizontal="center" vertical="center"/>
      <protection hidden="1"/>
    </xf>
    <xf numFmtId="3" fontId="56" fillId="0" borderId="0" xfId="0" applyNumberFormat="1" applyFont="1" applyFill="1" applyBorder="1" applyProtection="1">
      <protection hidden="1"/>
    </xf>
    <xf numFmtId="0" fontId="69" fillId="0" borderId="0" xfId="0" applyFont="1" applyFill="1" applyBorder="1" applyAlignment="1">
      <alignment horizontal="center" vertical="center" wrapText="1"/>
    </xf>
    <xf numFmtId="0" fontId="42" fillId="0" borderId="0" xfId="0" applyFont="1" applyFill="1" applyBorder="1"/>
    <xf numFmtId="0" fontId="56" fillId="0" borderId="0" xfId="0" applyFont="1" applyFill="1" applyBorder="1"/>
    <xf numFmtId="0" fontId="56" fillId="0" borderId="0" xfId="0" applyFont="1" applyBorder="1"/>
    <xf numFmtId="168" fontId="90" fillId="0" borderId="0" xfId="13" applyNumberFormat="1" applyFont="1" applyFill="1" applyBorder="1" applyAlignment="1">
      <alignment horizontal="justify" vertical="center" wrapText="1"/>
    </xf>
    <xf numFmtId="172" fontId="90" fillId="0" borderId="0" xfId="0" applyNumberFormat="1" applyFont="1" applyFill="1" applyBorder="1" applyAlignment="1">
      <alignment horizontal="justify" vertical="center" wrapText="1"/>
    </xf>
    <xf numFmtId="0" fontId="56" fillId="0" borderId="0" xfId="0" applyFont="1" applyFill="1" applyBorder="1" applyAlignment="1" applyProtection="1">
      <alignment horizontal="justify" vertical="center" wrapText="1"/>
      <protection hidden="1"/>
    </xf>
    <xf numFmtId="3" fontId="56" fillId="0" borderId="0" xfId="13" applyNumberFormat="1" applyFont="1" applyFill="1" applyBorder="1" applyAlignment="1">
      <alignment horizontal="center" vertical="center"/>
    </xf>
    <xf numFmtId="3" fontId="70" fillId="0" borderId="0" xfId="13" applyNumberFormat="1" applyFont="1" applyFill="1" applyBorder="1" applyAlignment="1">
      <alignment horizontal="center" vertical="center"/>
    </xf>
    <xf numFmtId="0" fontId="92" fillId="0" borderId="0" xfId="0" applyFont="1" applyFill="1" applyBorder="1" applyAlignment="1" applyProtection="1">
      <alignment horizontal="justify" vertical="center" wrapText="1"/>
      <protection hidden="1"/>
    </xf>
    <xf numFmtId="0" fontId="90" fillId="0" borderId="0" xfId="0" applyFont="1" applyFill="1" applyBorder="1" applyAlignment="1">
      <alignment horizontal="justify" vertical="center" wrapText="1"/>
    </xf>
    <xf numFmtId="3" fontId="92" fillId="0" borderId="0" xfId="13" applyNumberFormat="1" applyFont="1" applyFill="1" applyBorder="1" applyAlignment="1">
      <alignment horizontal="center" vertical="center"/>
    </xf>
    <xf numFmtId="2" fontId="42" fillId="0" borderId="0" xfId="0" applyNumberFormat="1" applyFont="1" applyBorder="1" applyAlignment="1">
      <alignment horizontal="justify" vertical="center" wrapText="1"/>
    </xf>
    <xf numFmtId="166" fontId="69" fillId="0" borderId="0" xfId="0" applyNumberFormat="1" applyFont="1" applyFill="1" applyBorder="1" applyAlignment="1">
      <alignment horizontal="justify" vertical="center" wrapText="1"/>
    </xf>
    <xf numFmtId="0" fontId="56" fillId="0" borderId="3" xfId="0" applyFont="1" applyBorder="1" applyAlignment="1">
      <alignment horizontal="justify" vertical="center" wrapText="1"/>
    </xf>
    <xf numFmtId="2" fontId="56" fillId="0" borderId="0" xfId="0" applyNumberFormat="1" applyFont="1"/>
    <xf numFmtId="0" fontId="56" fillId="0" borderId="0" xfId="0" applyFont="1"/>
    <xf numFmtId="166" fontId="70" fillId="0" borderId="0" xfId="0" applyNumberFormat="1" applyFont="1" applyFill="1" applyBorder="1" applyAlignment="1">
      <alignment horizontal="justify" vertical="center" wrapText="1"/>
    </xf>
    <xf numFmtId="166" fontId="70" fillId="0" borderId="0" xfId="0" applyNumberFormat="1" applyFont="1" applyBorder="1" applyAlignment="1">
      <alignment horizontal="justify" vertical="center" wrapText="1"/>
    </xf>
    <xf numFmtId="9" fontId="56" fillId="0" borderId="0" xfId="13" applyFont="1" applyFill="1" applyBorder="1" applyAlignment="1">
      <alignment horizontal="justify" vertical="center" wrapText="1"/>
    </xf>
    <xf numFmtId="166" fontId="71" fillId="0" borderId="0" xfId="0" applyNumberFormat="1" applyFont="1" applyBorder="1" applyAlignment="1">
      <alignment horizontal="justify" vertical="center" wrapText="1"/>
    </xf>
    <xf numFmtId="0" fontId="82" fillId="22" borderId="0" xfId="0" applyFont="1" applyFill="1" applyBorder="1" applyAlignment="1">
      <alignment horizontal="center"/>
    </xf>
    <xf numFmtId="0" fontId="83" fillId="0" borderId="0" xfId="0" applyFont="1" applyAlignment="1">
      <alignment horizontal="justify" vertical="center" wrapText="1"/>
    </xf>
    <xf numFmtId="0" fontId="36" fillId="0" borderId="3" xfId="0" applyFont="1" applyFill="1" applyBorder="1" applyAlignment="1">
      <alignment horizontal="justify" vertical="center" wrapText="1"/>
    </xf>
    <xf numFmtId="2" fontId="42" fillId="6" borderId="0" xfId="0" applyNumberFormat="1" applyFont="1" applyFill="1" applyBorder="1" applyAlignment="1">
      <alignment horizontal="right" vertical="center" wrapText="1"/>
    </xf>
    <xf numFmtId="167" fontId="42" fillId="6" borderId="0" xfId="2" applyNumberFormat="1" applyFont="1" applyFill="1" applyBorder="1" applyAlignment="1">
      <alignment horizontal="right" vertical="center" wrapText="1"/>
    </xf>
    <xf numFmtId="166" fontId="42" fillId="2" borderId="0" xfId="0" applyNumberFormat="1" applyFont="1" applyFill="1" applyBorder="1" applyAlignment="1">
      <alignment horizontal="right" vertical="center" wrapText="1"/>
    </xf>
    <xf numFmtId="166" fontId="42" fillId="0" borderId="0" xfId="0" applyNumberFormat="1" applyFont="1"/>
    <xf numFmtId="2" fontId="42" fillId="0" borderId="0" xfId="0" applyNumberFormat="1" applyFont="1"/>
    <xf numFmtId="0" fontId="47" fillId="2" borderId="3" xfId="7" applyNumberFormat="1" applyFont="1" applyFill="1" applyBorder="1" applyAlignment="1" applyProtection="1">
      <alignment horizontal="center" vertical="center"/>
      <protection hidden="1"/>
    </xf>
    <xf numFmtId="49" fontId="3" fillId="14" borderId="3" xfId="8" applyNumberFormat="1" applyFont="1" applyFill="1" applyBorder="1" applyAlignment="1">
      <alignment vertical="center"/>
    </xf>
    <xf numFmtId="0" fontId="51" fillId="13" borderId="0" xfId="7" applyFont="1" applyFill="1" applyBorder="1" applyAlignment="1" applyProtection="1">
      <alignment vertical="center"/>
      <protection hidden="1"/>
    </xf>
    <xf numFmtId="0" fontId="56" fillId="0" borderId="3" xfId="0" applyFont="1" applyFill="1" applyBorder="1" applyAlignment="1">
      <alignment horizontal="justify" vertical="center" wrapText="1"/>
    </xf>
    <xf numFmtId="0" fontId="0" fillId="0" borderId="3" xfId="0" applyFill="1" applyBorder="1" applyAlignment="1">
      <alignment vertical="center" wrapText="1"/>
    </xf>
    <xf numFmtId="0" fontId="32" fillId="0" borderId="0" xfId="7" applyFont="1" applyFill="1" applyBorder="1" applyProtection="1">
      <protection hidden="1"/>
    </xf>
    <xf numFmtId="0" fontId="32" fillId="0" borderId="0" xfId="7" applyFont="1" applyFill="1" applyBorder="1"/>
    <xf numFmtId="0" fontId="32" fillId="0" borderId="0" xfId="7" applyFont="1" applyFill="1" applyBorder="1" applyAlignment="1" applyProtection="1">
      <protection hidden="1"/>
    </xf>
    <xf numFmtId="0" fontId="35" fillId="0" borderId="0" xfId="7" applyFont="1" applyFill="1" applyBorder="1" applyProtection="1">
      <protection hidden="1"/>
    </xf>
    <xf numFmtId="0" fontId="48" fillId="0" borderId="0" xfId="7" applyFont="1" applyFill="1" applyBorder="1" applyAlignment="1">
      <alignment horizontal="center" vertical="center"/>
    </xf>
    <xf numFmtId="0" fontId="32" fillId="0" borderId="0" xfId="7" applyFont="1" applyFill="1" applyBorder="1" applyAlignment="1">
      <alignment horizontal="justify" vertical="center" wrapText="1"/>
    </xf>
    <xf numFmtId="3" fontId="48" fillId="0" borderId="3" xfId="7" applyNumberFormat="1" applyFont="1" applyFill="1" applyBorder="1" applyAlignment="1">
      <alignment horizontal="center" vertical="center"/>
    </xf>
    <xf numFmtId="0" fontId="48" fillId="0" borderId="3" xfId="7" applyFont="1" applyFill="1" applyBorder="1" applyAlignment="1">
      <alignment horizontal="center" vertical="center"/>
    </xf>
    <xf numFmtId="0" fontId="48" fillId="0" borderId="0" xfId="7" applyFont="1" applyFill="1" applyBorder="1" applyAlignment="1">
      <alignment horizontal="center"/>
    </xf>
    <xf numFmtId="0" fontId="31" fillId="0" borderId="0" xfId="7" applyFont="1"/>
    <xf numFmtId="3" fontId="31" fillId="0" borderId="0" xfId="7" applyNumberFormat="1" applyFont="1" applyFill="1" applyBorder="1" applyProtection="1">
      <protection hidden="1"/>
    </xf>
    <xf numFmtId="3" fontId="32" fillId="0" borderId="0" xfId="7" applyNumberFormat="1" applyFont="1" applyFill="1" applyBorder="1" applyAlignment="1">
      <alignment horizontal="center" vertical="center" wrapText="1"/>
    </xf>
    <xf numFmtId="3" fontId="32" fillId="0" borderId="0" xfId="7" applyNumberFormat="1" applyFont="1" applyFill="1" applyBorder="1" applyProtection="1">
      <protection hidden="1"/>
    </xf>
    <xf numFmtId="3" fontId="32" fillId="0" borderId="0" xfId="7" applyNumberFormat="1" applyFont="1" applyFill="1" applyBorder="1"/>
    <xf numFmtId="3" fontId="32" fillId="0" borderId="0" xfId="7" applyNumberFormat="1" applyFont="1" applyFill="1"/>
    <xf numFmtId="0" fontId="72" fillId="0" borderId="0" xfId="7" applyFont="1" applyFill="1" applyBorder="1" applyProtection="1">
      <protection hidden="1"/>
    </xf>
    <xf numFmtId="3" fontId="56" fillId="0" borderId="3" xfId="7" applyNumberFormat="1" applyFont="1" applyFill="1" applyBorder="1" applyAlignment="1" applyProtection="1">
      <alignment horizontal="justify" vertical="center" wrapText="1"/>
      <protection hidden="1"/>
    </xf>
    <xf numFmtId="0" fontId="31" fillId="0" borderId="3" xfId="7" applyFont="1" applyFill="1" applyBorder="1" applyAlignment="1" applyProtection="1">
      <alignment horizontal="center" vertical="center"/>
      <protection hidden="1"/>
    </xf>
    <xf numFmtId="0" fontId="35" fillId="16" borderId="3" xfId="7" applyNumberFormat="1" applyFont="1" applyFill="1" applyBorder="1" applyAlignment="1">
      <alignment horizontal="center" vertical="center" wrapText="1"/>
    </xf>
    <xf numFmtId="3" fontId="35" fillId="16" borderId="3" xfId="7" applyNumberFormat="1" applyFont="1" applyFill="1" applyBorder="1" applyAlignment="1">
      <alignment horizontal="center" vertical="center" wrapText="1"/>
    </xf>
    <xf numFmtId="0" fontId="35" fillId="0" borderId="3" xfId="7" applyNumberFormat="1" applyFont="1" applyFill="1" applyBorder="1" applyAlignment="1">
      <alignment horizontal="center" vertical="center" wrapText="1"/>
    </xf>
    <xf numFmtId="9" fontId="41" fillId="0" borderId="0" xfId="13" applyFont="1" applyFill="1" applyBorder="1" applyAlignment="1">
      <alignment horizontal="center" vertical="center"/>
    </xf>
    <xf numFmtId="0" fontId="56" fillId="0" borderId="0" xfId="7" applyFont="1" applyFill="1" applyBorder="1" applyAlignment="1" applyProtection="1">
      <alignment vertical="center" wrapText="1"/>
      <protection hidden="1"/>
    </xf>
    <xf numFmtId="0" fontId="56" fillId="0" borderId="3" xfId="7" applyFont="1" applyBorder="1"/>
    <xf numFmtId="0" fontId="56" fillId="0" borderId="0" xfId="7" applyFont="1"/>
    <xf numFmtId="3" fontId="56" fillId="15" borderId="3" xfId="7" applyNumberFormat="1" applyFont="1" applyFill="1" applyBorder="1" applyProtection="1">
      <protection hidden="1"/>
    </xf>
    <xf numFmtId="3" fontId="56" fillId="0" borderId="3" xfId="7" applyNumberFormat="1" applyFont="1" applyFill="1" applyBorder="1" applyAlignment="1" applyProtection="1">
      <alignment horizontal="center" vertical="center"/>
      <protection hidden="1"/>
    </xf>
    <xf numFmtId="3" fontId="56" fillId="0" borderId="3" xfId="7" applyNumberFormat="1" applyFont="1" applyFill="1" applyBorder="1" applyProtection="1">
      <protection hidden="1"/>
    </xf>
    <xf numFmtId="3" fontId="56" fillId="0" borderId="3" xfId="13" applyNumberFormat="1" applyFont="1" applyFill="1" applyBorder="1" applyAlignment="1">
      <alignment horizontal="center" vertical="center"/>
    </xf>
    <xf numFmtId="0" fontId="56" fillId="0" borderId="3" xfId="7" applyFont="1" applyFill="1" applyBorder="1" applyAlignment="1" applyProtection="1">
      <alignment horizontal="justify" vertical="center" wrapText="1"/>
      <protection hidden="1"/>
    </xf>
    <xf numFmtId="3" fontId="56" fillId="0" borderId="3" xfId="7" applyNumberFormat="1" applyFont="1" applyFill="1" applyBorder="1" applyAlignment="1">
      <alignment horizontal="center" vertical="center" wrapText="1"/>
    </xf>
    <xf numFmtId="3" fontId="56" fillId="0" borderId="3" xfId="7" applyNumberFormat="1" applyFont="1" applyFill="1" applyBorder="1" applyAlignment="1">
      <alignment horizontal="center" vertical="center"/>
    </xf>
    <xf numFmtId="3" fontId="56" fillId="0" borderId="3" xfId="13" applyNumberFormat="1" applyFont="1" applyFill="1" applyBorder="1" applyAlignment="1">
      <alignment horizontal="center" vertical="center" wrapText="1"/>
    </xf>
    <xf numFmtId="3" fontId="56" fillId="0" borderId="0" xfId="7" applyNumberFormat="1" applyFont="1" applyFill="1" applyBorder="1" applyProtection="1">
      <protection hidden="1"/>
    </xf>
    <xf numFmtId="3" fontId="56" fillId="0" borderId="0" xfId="7" applyNumberFormat="1" applyFont="1" applyFill="1"/>
    <xf numFmtId="0" fontId="56" fillId="0" borderId="0" xfId="7" applyFont="1" applyFill="1" applyBorder="1" applyProtection="1">
      <protection hidden="1"/>
    </xf>
    <xf numFmtId="0" fontId="56" fillId="0" borderId="0" xfId="7" applyFont="1" applyFill="1" applyBorder="1" applyAlignment="1" applyProtection="1">
      <protection hidden="1"/>
    </xf>
    <xf numFmtId="0" fontId="56" fillId="0" borderId="0" xfId="7" applyFont="1" applyFill="1" applyBorder="1" applyAlignment="1" applyProtection="1">
      <alignment horizontal="justify" vertical="center" wrapText="1"/>
      <protection hidden="1"/>
    </xf>
    <xf numFmtId="0" fontId="56" fillId="0" borderId="3" xfId="7" applyFont="1" applyFill="1" applyBorder="1" applyAlignment="1" applyProtection="1">
      <protection hidden="1"/>
    </xf>
    <xf numFmtId="9" fontId="56" fillId="0" borderId="3" xfId="13" applyFont="1" applyFill="1" applyBorder="1" applyAlignment="1">
      <alignment horizontal="center" vertical="center"/>
    </xf>
    <xf numFmtId="0" fontId="56" fillId="2" borderId="3" xfId="7" applyFont="1" applyFill="1" applyBorder="1"/>
    <xf numFmtId="0" fontId="55" fillId="2" borderId="0" xfId="7" applyFont="1" applyFill="1" applyBorder="1" applyAlignment="1" applyProtection="1">
      <alignment horizontal="center" vertical="center" wrapText="1"/>
      <protection hidden="1"/>
    </xf>
    <xf numFmtId="0" fontId="55" fillId="2" borderId="0" xfId="7" applyFont="1" applyFill="1" applyBorder="1" applyAlignment="1" applyProtection="1">
      <alignment horizontal="center" vertical="center" wrapText="1"/>
      <protection hidden="1"/>
    </xf>
    <xf numFmtId="0" fontId="35" fillId="0" borderId="0" xfId="7" applyFont="1" applyFill="1" applyBorder="1" applyAlignment="1" applyProtection="1">
      <alignment horizontal="center"/>
      <protection hidden="1"/>
    </xf>
    <xf numFmtId="0" fontId="48" fillId="0" borderId="3" xfId="7" applyFont="1" applyFill="1" applyBorder="1" applyAlignment="1" applyProtection="1">
      <alignment horizontal="center" vertical="center"/>
      <protection hidden="1"/>
    </xf>
    <xf numFmtId="0" fontId="35" fillId="0" borderId="3" xfId="7" applyFont="1" applyFill="1" applyBorder="1" applyAlignment="1">
      <alignment horizontal="justify" vertical="center" wrapText="1"/>
    </xf>
    <xf numFmtId="0" fontId="56" fillId="0" borderId="3" xfId="7" applyFont="1" applyFill="1" applyBorder="1" applyAlignment="1" applyProtection="1">
      <alignment horizontal="center"/>
      <protection hidden="1"/>
    </xf>
    <xf numFmtId="0" fontId="56" fillId="0" borderId="3" xfId="7" applyFont="1" applyFill="1" applyBorder="1" applyAlignment="1">
      <alignment horizontal="center" vertical="center"/>
    </xf>
    <xf numFmtId="0" fontId="56" fillId="0" borderId="3" xfId="7" applyFont="1" applyFill="1" applyBorder="1" applyAlignment="1">
      <alignment horizontal="justify" vertical="center" wrapText="1"/>
    </xf>
    <xf numFmtId="0" fontId="56" fillId="0" borderId="3" xfId="7" applyFont="1" applyFill="1" applyBorder="1" applyAlignment="1">
      <alignment horizontal="center" vertical="center" wrapText="1"/>
    </xf>
    <xf numFmtId="2" fontId="56" fillId="0" borderId="3" xfId="7" applyNumberFormat="1" applyFont="1" applyFill="1" applyBorder="1" applyAlignment="1">
      <alignment horizontal="center" vertical="center" wrapText="1"/>
    </xf>
    <xf numFmtId="168" fontId="56" fillId="0" borderId="3" xfId="13" applyNumberFormat="1" applyFont="1" applyFill="1" applyBorder="1" applyAlignment="1">
      <alignment horizontal="center" vertical="center" wrapText="1"/>
    </xf>
    <xf numFmtId="172" fontId="56" fillId="0" borderId="3" xfId="7" applyNumberFormat="1" applyFont="1" applyFill="1" applyBorder="1" applyAlignment="1">
      <alignment horizontal="center" vertical="center" wrapText="1"/>
    </xf>
    <xf numFmtId="3" fontId="56" fillId="0" borderId="3" xfId="7" applyNumberFormat="1" applyFont="1" applyFill="1" applyBorder="1" applyAlignment="1">
      <alignment horizontal="justify" vertical="center" wrapText="1"/>
    </xf>
    <xf numFmtId="0" fontId="56" fillId="0" borderId="3" xfId="7" applyFont="1" applyFill="1" applyBorder="1" applyAlignment="1" applyProtection="1">
      <alignment horizontal="center" vertical="center"/>
      <protection hidden="1"/>
    </xf>
    <xf numFmtId="0" fontId="56" fillId="2" borderId="3" xfId="7" applyFont="1" applyFill="1" applyBorder="1" applyAlignment="1">
      <alignment horizontal="justify" vertical="center" wrapText="1"/>
    </xf>
    <xf numFmtId="0" fontId="56" fillId="2" borderId="3" xfId="7" applyFont="1" applyFill="1" applyBorder="1" applyAlignment="1">
      <alignment horizontal="center" vertical="center" wrapText="1"/>
    </xf>
    <xf numFmtId="166" fontId="56" fillId="0" borderId="3" xfId="7" applyNumberFormat="1" applyFont="1" applyFill="1" applyBorder="1" applyAlignment="1">
      <alignment horizontal="center" vertical="center" wrapText="1"/>
    </xf>
    <xf numFmtId="0" fontId="56" fillId="0" borderId="3" xfId="13" applyNumberFormat="1" applyFont="1" applyFill="1" applyBorder="1" applyAlignment="1">
      <alignment horizontal="center" vertical="center" wrapText="1"/>
    </xf>
    <xf numFmtId="3" fontId="56" fillId="0" borderId="3" xfId="7" applyNumberFormat="1" applyFont="1" applyFill="1" applyBorder="1" applyAlignment="1">
      <alignment horizontal="justify" vertical="top" wrapText="1"/>
    </xf>
    <xf numFmtId="4" fontId="56" fillId="0" borderId="3" xfId="7" applyNumberFormat="1" applyFont="1" applyFill="1" applyBorder="1" applyAlignment="1">
      <alignment horizontal="center" vertical="center" wrapText="1"/>
    </xf>
    <xf numFmtId="4" fontId="56" fillId="0" borderId="3" xfId="13" applyNumberFormat="1" applyFont="1" applyFill="1" applyBorder="1" applyAlignment="1">
      <alignment horizontal="center" vertical="center"/>
    </xf>
    <xf numFmtId="4" fontId="56" fillId="0" borderId="3" xfId="7" applyNumberFormat="1" applyFont="1" applyFill="1" applyBorder="1" applyAlignment="1">
      <alignment horizontal="justify" vertical="center" wrapText="1"/>
    </xf>
    <xf numFmtId="3" fontId="56" fillId="0" borderId="3" xfId="7" applyNumberFormat="1" applyFont="1" applyFill="1" applyBorder="1" applyAlignment="1" applyProtection="1">
      <alignment horizontal="center" vertical="center" wrapText="1"/>
      <protection hidden="1"/>
    </xf>
    <xf numFmtId="4" fontId="56" fillId="0" borderId="3" xfId="7" applyNumberFormat="1" applyFont="1" applyFill="1" applyBorder="1" applyAlignment="1" applyProtection="1">
      <alignment horizontal="center" vertical="center" wrapText="1"/>
      <protection hidden="1"/>
    </xf>
    <xf numFmtId="2" fontId="56" fillId="2" borderId="3" xfId="7" applyNumberFormat="1" applyFont="1" applyFill="1" applyBorder="1" applyAlignment="1">
      <alignment horizontal="center" vertical="center" wrapText="1"/>
    </xf>
    <xf numFmtId="165" fontId="56" fillId="0" borderId="3" xfId="7" applyNumberFormat="1" applyFont="1" applyFill="1" applyBorder="1" applyAlignment="1">
      <alignment horizontal="center" vertical="center"/>
    </xf>
    <xf numFmtId="3" fontId="56" fillId="2" borderId="3" xfId="7" applyNumberFormat="1" applyFont="1" applyFill="1" applyBorder="1" applyAlignment="1">
      <alignment horizontal="center" vertical="center" wrapText="1"/>
    </xf>
    <xf numFmtId="0" fontId="56" fillId="0" borderId="3" xfId="7" applyFont="1" applyFill="1" applyBorder="1" applyAlignment="1">
      <alignment vertical="center" wrapText="1"/>
    </xf>
    <xf numFmtId="4" fontId="56" fillId="2" borderId="3" xfId="7" applyNumberFormat="1" applyFont="1" applyFill="1" applyBorder="1" applyAlignment="1">
      <alignment horizontal="center" vertical="center" wrapText="1"/>
    </xf>
    <xf numFmtId="4" fontId="56" fillId="0" borderId="3" xfId="7" applyNumberFormat="1" applyFont="1" applyFill="1" applyBorder="1" applyAlignment="1" applyProtection="1">
      <alignment horizontal="center" vertical="center"/>
      <protection hidden="1"/>
    </xf>
    <xf numFmtId="4" fontId="56" fillId="0" borderId="3" xfId="7" applyNumberFormat="1" applyFont="1" applyFill="1" applyBorder="1" applyAlignment="1" applyProtection="1">
      <alignment horizontal="justify" vertical="center" wrapText="1"/>
      <protection hidden="1"/>
    </xf>
    <xf numFmtId="0" fontId="56" fillId="0" borderId="3" xfId="0" applyFont="1" applyFill="1" applyBorder="1" applyAlignment="1">
      <alignment horizontal="center" vertical="center"/>
    </xf>
    <xf numFmtId="9" fontId="56" fillId="0" borderId="3" xfId="13" applyNumberFormat="1" applyFont="1" applyFill="1" applyBorder="1" applyAlignment="1">
      <alignment horizontal="center" vertical="center"/>
    </xf>
    <xf numFmtId="168" fontId="56" fillId="0" borderId="3" xfId="13" applyNumberFormat="1" applyFont="1" applyFill="1" applyBorder="1" applyAlignment="1">
      <alignment horizontal="justify" vertical="center" wrapText="1"/>
    </xf>
    <xf numFmtId="172" fontId="56" fillId="0" borderId="3" xfId="0" applyNumberFormat="1" applyFont="1" applyFill="1" applyBorder="1" applyAlignment="1">
      <alignment horizontal="center" vertical="center" wrapText="1"/>
    </xf>
    <xf numFmtId="3" fontId="56" fillId="0" borderId="3" xfId="0" applyNumberFormat="1" applyFont="1" applyFill="1" applyBorder="1" applyAlignment="1">
      <alignment horizontal="left" vertical="center" wrapText="1"/>
    </xf>
    <xf numFmtId="0" fontId="56" fillId="0" borderId="3" xfId="0" applyFont="1" applyFill="1" applyBorder="1" applyAlignment="1" applyProtection="1">
      <alignment horizontal="justify" vertical="center" wrapText="1"/>
      <protection hidden="1"/>
    </xf>
    <xf numFmtId="2" fontId="56" fillId="0" borderId="3" xfId="0" applyNumberFormat="1" applyFont="1" applyFill="1" applyBorder="1" applyAlignment="1">
      <alignment horizontal="center" vertical="center" wrapText="1"/>
    </xf>
    <xf numFmtId="0" fontId="56" fillId="0" borderId="3" xfId="0" applyFont="1" applyFill="1" applyBorder="1" applyAlignment="1">
      <alignment horizontal="center" vertical="center" wrapText="1"/>
    </xf>
    <xf numFmtId="0" fontId="102" fillId="2" borderId="3" xfId="1" applyFont="1" applyFill="1" applyBorder="1" applyAlignment="1" applyProtection="1">
      <alignment horizontal="justify" vertical="center" wrapText="1"/>
    </xf>
    <xf numFmtId="0" fontId="56" fillId="0" borderId="3" xfId="7" applyFont="1" applyFill="1" applyBorder="1" applyAlignment="1">
      <alignment horizontal="left" vertical="center" wrapText="1"/>
    </xf>
    <xf numFmtId="3" fontId="56" fillId="0" borderId="3" xfId="7" applyNumberFormat="1" applyFont="1" applyFill="1" applyBorder="1" applyAlignment="1">
      <alignment horizontal="left" vertical="center" wrapText="1"/>
    </xf>
    <xf numFmtId="0" fontId="56" fillId="0" borderId="3" xfId="0" applyNumberFormat="1" applyFont="1" applyFill="1" applyBorder="1" applyAlignment="1">
      <alignment horizontal="center" vertical="center"/>
    </xf>
    <xf numFmtId="0" fontId="56" fillId="0" borderId="3" xfId="0" applyNumberFormat="1" applyFont="1" applyFill="1" applyBorder="1" applyAlignment="1">
      <alignment horizontal="center" vertical="center" wrapText="1"/>
    </xf>
    <xf numFmtId="3" fontId="56" fillId="2" borderId="3" xfId="0" applyNumberFormat="1" applyFont="1" applyFill="1" applyBorder="1" applyAlignment="1">
      <alignment horizontal="left" vertical="center" wrapText="1"/>
    </xf>
    <xf numFmtId="0" fontId="56" fillId="13" borderId="3" xfId="0" applyFont="1" applyFill="1" applyBorder="1" applyAlignment="1" applyProtection="1">
      <alignment horizontal="justify" vertical="center" wrapText="1"/>
      <protection hidden="1"/>
    </xf>
    <xf numFmtId="0" fontId="56" fillId="2" borderId="3" xfId="7" applyFont="1" applyFill="1" applyBorder="1" applyAlignment="1">
      <alignment vertical="center" wrapText="1"/>
    </xf>
    <xf numFmtId="172" fontId="56" fillId="0" borderId="3" xfId="7" applyNumberFormat="1" applyFont="1" applyFill="1" applyBorder="1" applyAlignment="1">
      <alignment horizontal="justify" vertical="center" wrapText="1"/>
    </xf>
    <xf numFmtId="4" fontId="56" fillId="0" borderId="3" xfId="13" applyNumberFormat="1" applyFont="1" applyFill="1" applyBorder="1" applyAlignment="1">
      <alignment horizontal="center" vertical="center" wrapText="1"/>
    </xf>
    <xf numFmtId="3" fontId="56" fillId="0" borderId="3" xfId="13" applyNumberFormat="1" applyFont="1" applyFill="1" applyBorder="1" applyAlignment="1">
      <alignment horizontal="justify" vertical="center" wrapText="1"/>
    </xf>
    <xf numFmtId="167" fontId="56" fillId="2" borderId="3" xfId="2" applyNumberFormat="1" applyFont="1" applyFill="1" applyBorder="1" applyAlignment="1">
      <alignment horizontal="center" vertical="center" wrapText="1"/>
    </xf>
    <xf numFmtId="167" fontId="56" fillId="0" borderId="3" xfId="2" applyNumberFormat="1" applyFont="1" applyFill="1" applyBorder="1" applyAlignment="1">
      <alignment vertical="center"/>
    </xf>
    <xf numFmtId="167" fontId="56" fillId="0" borderId="3" xfId="2" applyNumberFormat="1" applyFont="1" applyFill="1" applyBorder="1" applyAlignment="1">
      <alignment vertical="center" wrapText="1"/>
    </xf>
    <xf numFmtId="167" fontId="56" fillId="0" borderId="3" xfId="2" applyNumberFormat="1" applyFont="1" applyFill="1" applyBorder="1" applyAlignment="1">
      <alignment horizontal="center" vertical="center"/>
    </xf>
    <xf numFmtId="0" fontId="56" fillId="2" borderId="3" xfId="0" applyFont="1" applyFill="1" applyBorder="1" applyAlignment="1" applyProtection="1">
      <alignment horizontal="justify" vertical="center" wrapText="1"/>
      <protection hidden="1"/>
    </xf>
    <xf numFmtId="1" fontId="56" fillId="0" borderId="3" xfId="0" applyNumberFormat="1" applyFont="1" applyFill="1" applyBorder="1" applyAlignment="1">
      <alignment horizontal="center" vertical="center" wrapText="1"/>
    </xf>
    <xf numFmtId="3" fontId="56" fillId="0" borderId="3" xfId="7" applyNumberFormat="1" applyFont="1" applyFill="1" applyBorder="1" applyAlignment="1" applyProtection="1">
      <alignment horizontal="center"/>
      <protection hidden="1"/>
    </xf>
    <xf numFmtId="0" fontId="56" fillId="0" borderId="3" xfId="7" applyFont="1" applyFill="1" applyBorder="1" applyProtection="1">
      <protection hidden="1"/>
    </xf>
    <xf numFmtId="0" fontId="56" fillId="0" borderId="3" xfId="0" applyFont="1" applyFill="1" applyBorder="1" applyAlignment="1" applyProtection="1">
      <alignment horizontal="center" vertical="center"/>
      <protection hidden="1"/>
    </xf>
    <xf numFmtId="0" fontId="56" fillId="0" borderId="3" xfId="0" applyFont="1" applyFill="1" applyBorder="1" applyAlignment="1" applyProtection="1">
      <alignment vertical="center" wrapText="1"/>
      <protection hidden="1"/>
    </xf>
    <xf numFmtId="0" fontId="56" fillId="13" borderId="3" xfId="0" applyFont="1" applyFill="1" applyBorder="1" applyAlignment="1" applyProtection="1">
      <alignment wrapText="1"/>
      <protection hidden="1"/>
    </xf>
    <xf numFmtId="0" fontId="56" fillId="13" borderId="3" xfId="0" applyFont="1" applyFill="1" applyBorder="1" applyAlignment="1" applyProtection="1">
      <alignment vertical="center" wrapText="1"/>
      <protection hidden="1"/>
    </xf>
    <xf numFmtId="1" fontId="56" fillId="0" borderId="3" xfId="7" applyNumberFormat="1" applyFont="1" applyFill="1" applyBorder="1" applyAlignment="1">
      <alignment horizontal="center" vertical="center" wrapText="1"/>
    </xf>
    <xf numFmtId="1" fontId="56" fillId="0" borderId="3" xfId="13" applyNumberFormat="1" applyFont="1" applyFill="1" applyBorder="1" applyAlignment="1">
      <alignment horizontal="center" vertical="center" wrapText="1"/>
    </xf>
    <xf numFmtId="167" fontId="56" fillId="0" borderId="3" xfId="7" applyNumberFormat="1" applyFont="1" applyFill="1" applyBorder="1" applyAlignment="1">
      <alignment horizontal="center" vertical="center"/>
    </xf>
    <xf numFmtId="167" fontId="56" fillId="0" borderId="3" xfId="7" applyNumberFormat="1" applyFont="1" applyFill="1" applyBorder="1" applyAlignment="1">
      <alignment horizontal="center" vertical="center" wrapText="1"/>
    </xf>
    <xf numFmtId="167" fontId="56" fillId="0" borderId="3" xfId="2" applyNumberFormat="1" applyFont="1" applyFill="1" applyBorder="1" applyAlignment="1">
      <alignment horizontal="center" vertical="center" wrapText="1"/>
    </xf>
    <xf numFmtId="0" fontId="56" fillId="0" borderId="3" xfId="7" applyNumberFormat="1" applyFont="1" applyFill="1" applyBorder="1" applyAlignment="1">
      <alignment horizontal="center" vertical="center"/>
    </xf>
    <xf numFmtId="0" fontId="56" fillId="0" borderId="3" xfId="7" applyNumberFormat="1" applyFont="1" applyFill="1" applyBorder="1" applyAlignment="1">
      <alignment horizontal="center" vertical="center" wrapText="1"/>
    </xf>
    <xf numFmtId="3" fontId="56" fillId="0" borderId="3" xfId="7" applyNumberFormat="1" applyFont="1" applyBorder="1" applyAlignment="1">
      <alignment horizontal="center" vertical="center"/>
    </xf>
    <xf numFmtId="3" fontId="56" fillId="0" borderId="6" xfId="7" applyNumberFormat="1" applyFont="1" applyBorder="1" applyAlignment="1">
      <alignment horizontal="center" vertical="center"/>
    </xf>
    <xf numFmtId="167" fontId="56" fillId="2" borderId="3" xfId="2" applyNumberFormat="1" applyFont="1" applyFill="1" applyBorder="1" applyAlignment="1">
      <alignment vertical="center" wrapText="1"/>
    </xf>
    <xf numFmtId="3" fontId="56" fillId="0" borderId="3" xfId="2" applyNumberFormat="1" applyFont="1" applyFill="1" applyBorder="1" applyAlignment="1">
      <alignment horizontal="center" vertical="center"/>
    </xf>
    <xf numFmtId="0" fontId="56" fillId="0" borderId="3" xfId="13" applyNumberFormat="1" applyFont="1" applyFill="1" applyBorder="1" applyAlignment="1">
      <alignment horizontal="center" vertical="center"/>
    </xf>
    <xf numFmtId="3" fontId="56" fillId="0" borderId="3" xfId="7" applyNumberFormat="1" applyFont="1" applyFill="1" applyBorder="1" applyAlignment="1">
      <alignment vertical="center" wrapText="1"/>
    </xf>
    <xf numFmtId="164" fontId="56" fillId="0" borderId="3" xfId="2" applyFont="1" applyFill="1" applyBorder="1" applyAlignment="1">
      <alignment horizontal="center" vertical="center"/>
    </xf>
    <xf numFmtId="165" fontId="56" fillId="0" borderId="3" xfId="13" applyNumberFormat="1" applyFont="1" applyFill="1" applyBorder="1" applyAlignment="1">
      <alignment horizontal="center" vertical="center"/>
    </xf>
    <xf numFmtId="165" fontId="56" fillId="0" borderId="3" xfId="7" applyNumberFormat="1" applyFont="1" applyFill="1" applyBorder="1" applyAlignment="1">
      <alignment horizontal="center" vertical="center" wrapText="1"/>
    </xf>
    <xf numFmtId="165" fontId="56" fillId="0" borderId="3" xfId="7" applyNumberFormat="1" applyFont="1" applyFill="1" applyBorder="1" applyAlignment="1">
      <alignment horizontal="justify" vertical="center" wrapText="1"/>
    </xf>
    <xf numFmtId="165" fontId="56" fillId="0" borderId="3" xfId="7" applyNumberFormat="1" applyFont="1" applyFill="1" applyBorder="1" applyAlignment="1" applyProtection="1">
      <alignment horizontal="center" vertical="center"/>
      <protection hidden="1"/>
    </xf>
    <xf numFmtId="165" fontId="56" fillId="0" borderId="3" xfId="7" applyNumberFormat="1" applyFont="1" applyFill="1" applyBorder="1" applyAlignment="1" applyProtection="1">
      <alignment horizontal="justify" vertical="center" wrapText="1"/>
      <protection hidden="1"/>
    </xf>
    <xf numFmtId="165" fontId="56" fillId="0" borderId="3" xfId="7" applyNumberFormat="1" applyFont="1" applyFill="1" applyBorder="1" applyProtection="1">
      <protection hidden="1"/>
    </xf>
    <xf numFmtId="0" fontId="56" fillId="2" borderId="3" xfId="7" applyFont="1" applyFill="1" applyBorder="1" applyAlignment="1">
      <alignment vertical="center"/>
    </xf>
    <xf numFmtId="0" fontId="56" fillId="2" borderId="3" xfId="7" applyFont="1" applyFill="1" applyBorder="1" applyAlignment="1">
      <alignment horizontal="justify"/>
    </xf>
    <xf numFmtId="0" fontId="56" fillId="2" borderId="3" xfId="7" applyFont="1" applyFill="1" applyBorder="1" applyAlignment="1">
      <alignment horizontal="justify" vertical="center"/>
    </xf>
    <xf numFmtId="0" fontId="56" fillId="2" borderId="3" xfId="7" applyFont="1" applyFill="1" applyBorder="1" applyAlignment="1">
      <alignment wrapText="1"/>
    </xf>
    <xf numFmtId="0" fontId="56" fillId="2" borderId="3" xfId="7" applyFont="1" applyFill="1" applyBorder="1" applyAlignment="1">
      <alignment horizontal="justify" wrapText="1"/>
    </xf>
    <xf numFmtId="0" fontId="56" fillId="0" borderId="0" xfId="7" applyFont="1" applyFill="1" applyBorder="1" applyAlignment="1" applyProtection="1">
      <alignment horizontal="justify" wrapText="1"/>
      <protection hidden="1"/>
    </xf>
    <xf numFmtId="0" fontId="56" fillId="0" borderId="13" xfId="7" applyFont="1" applyFill="1" applyBorder="1" applyAlignment="1">
      <alignment horizontal="center" vertical="center"/>
    </xf>
    <xf numFmtId="0" fontId="56" fillId="0" borderId="13" xfId="7" applyFont="1" applyFill="1" applyBorder="1" applyAlignment="1">
      <alignment horizontal="justify" vertical="center" wrapText="1"/>
    </xf>
    <xf numFmtId="0" fontId="56" fillId="2" borderId="13" xfId="7" applyFont="1" applyFill="1" applyBorder="1" applyAlignment="1">
      <alignment horizontal="justify" vertical="center" wrapText="1"/>
    </xf>
    <xf numFmtId="0" fontId="56" fillId="2" borderId="13" xfId="7" applyFont="1" applyFill="1" applyBorder="1" applyAlignment="1">
      <alignment vertical="center"/>
    </xf>
    <xf numFmtId="0" fontId="56" fillId="2" borderId="13" xfId="7" applyFont="1" applyFill="1" applyBorder="1" applyAlignment="1">
      <alignment horizontal="center" vertical="center" wrapText="1"/>
    </xf>
    <xf numFmtId="165" fontId="56" fillId="0" borderId="13" xfId="7" applyNumberFormat="1" applyFont="1" applyFill="1" applyBorder="1" applyAlignment="1">
      <alignment horizontal="center" vertical="center" wrapText="1"/>
    </xf>
    <xf numFmtId="0" fontId="56" fillId="0" borderId="0" xfId="7" applyFont="1" applyFill="1" applyBorder="1" applyAlignment="1">
      <alignment horizontal="justify" vertical="center" wrapText="1"/>
    </xf>
    <xf numFmtId="0" fontId="41" fillId="0" borderId="0" xfId="7" applyFont="1" applyFill="1" applyBorder="1" applyAlignment="1">
      <alignment horizontal="center" vertical="center"/>
    </xf>
    <xf numFmtId="1" fontId="41" fillId="0" borderId="0" xfId="7" applyNumberFormat="1" applyFont="1" applyFill="1" applyBorder="1" applyAlignment="1">
      <alignment horizontal="center" vertical="center" wrapText="1"/>
    </xf>
    <xf numFmtId="0" fontId="35" fillId="0" borderId="0" xfId="7" applyFont="1" applyFill="1" applyBorder="1" applyAlignment="1">
      <alignment horizontal="center" vertical="center" wrapText="1"/>
    </xf>
    <xf numFmtId="168" fontId="35" fillId="0" borderId="0" xfId="13" applyNumberFormat="1" applyFont="1" applyFill="1" applyBorder="1" applyAlignment="1">
      <alignment horizontal="center" vertical="center" wrapText="1"/>
    </xf>
    <xf numFmtId="172" fontId="32" fillId="0" borderId="0" xfId="7" applyNumberFormat="1" applyFont="1" applyFill="1" applyBorder="1" applyAlignment="1">
      <alignment horizontal="center" vertical="center" wrapText="1"/>
    </xf>
    <xf numFmtId="167" fontId="41" fillId="0" borderId="0" xfId="2" applyNumberFormat="1" applyFont="1" applyFill="1" applyBorder="1" applyAlignment="1">
      <alignment vertical="center" wrapText="1"/>
    </xf>
    <xf numFmtId="164" fontId="41" fillId="0" borderId="0" xfId="2" applyFont="1" applyFill="1" applyBorder="1" applyAlignment="1">
      <alignment horizontal="center" vertical="center"/>
    </xf>
    <xf numFmtId="3" fontId="31" fillId="0" borderId="0" xfId="7" applyNumberFormat="1" applyFont="1" applyFill="1" applyBorder="1" applyAlignment="1">
      <alignment horizontal="justify" vertical="center" wrapText="1"/>
    </xf>
    <xf numFmtId="49" fontId="31" fillId="0" borderId="3" xfId="7" applyNumberFormat="1" applyFont="1" applyFill="1" applyBorder="1" applyAlignment="1">
      <alignment horizontal="center" vertical="center" wrapText="1"/>
    </xf>
    <xf numFmtId="0" fontId="31" fillId="2" borderId="3" xfId="7" applyFont="1" applyFill="1" applyBorder="1" applyAlignment="1">
      <alignment horizontal="center" vertical="center" wrapText="1"/>
    </xf>
    <xf numFmtId="3" fontId="31" fillId="2" borderId="3" xfId="7" applyNumberFormat="1" applyFont="1" applyFill="1" applyBorder="1" applyAlignment="1">
      <alignment horizontal="center" vertical="center" wrapText="1"/>
    </xf>
    <xf numFmtId="3" fontId="103" fillId="0" borderId="0" xfId="7" applyNumberFormat="1" applyFont="1" applyFill="1" applyBorder="1" applyAlignment="1">
      <alignment horizontal="center" vertical="center" wrapText="1"/>
    </xf>
    <xf numFmtId="0" fontId="55" fillId="2" borderId="0" xfId="7" applyNumberFormat="1" applyFont="1" applyFill="1" applyBorder="1" applyAlignment="1" applyProtection="1">
      <alignment vertical="center" wrapText="1"/>
      <protection hidden="1"/>
    </xf>
    <xf numFmtId="164" fontId="56" fillId="0" borderId="3" xfId="2" applyFont="1" applyFill="1" applyBorder="1" applyAlignment="1">
      <alignment horizontal="center" vertical="center" wrapText="1"/>
    </xf>
    <xf numFmtId="1" fontId="56" fillId="0" borderId="3" xfId="7" applyNumberFormat="1" applyFont="1" applyFill="1" applyBorder="1" applyAlignment="1">
      <alignment horizontal="center" vertical="center"/>
    </xf>
    <xf numFmtId="0" fontId="56" fillId="0" borderId="3" xfId="0" applyFont="1" applyFill="1" applyBorder="1" applyAlignment="1">
      <alignment horizontal="left" vertical="center" wrapText="1"/>
    </xf>
    <xf numFmtId="0" fontId="104" fillId="0" borderId="3" xfId="0" applyFont="1" applyFill="1" applyBorder="1" applyAlignment="1">
      <alignment horizontal="center" vertical="center"/>
    </xf>
    <xf numFmtId="0" fontId="104" fillId="0" borderId="3" xfId="0" applyFont="1" applyFill="1" applyBorder="1" applyAlignment="1">
      <alignment horizontal="center" vertical="center" wrapText="1"/>
    </xf>
    <xf numFmtId="0" fontId="104" fillId="0" borderId="0" xfId="0" applyFont="1" applyFill="1" applyBorder="1" applyAlignment="1">
      <alignment horizontal="center" vertical="center"/>
    </xf>
    <xf numFmtId="0" fontId="56" fillId="0" borderId="3" xfId="0" applyFont="1" applyFill="1" applyBorder="1" applyAlignment="1">
      <alignment vertical="center"/>
    </xf>
    <xf numFmtId="1" fontId="56" fillId="0" borderId="3" xfId="0" applyNumberFormat="1" applyFont="1" applyFill="1" applyBorder="1" applyAlignment="1">
      <alignment vertical="center"/>
    </xf>
    <xf numFmtId="177" fontId="56" fillId="0" borderId="3" xfId="2" applyNumberFormat="1" applyFont="1" applyFill="1" applyBorder="1" applyAlignment="1">
      <alignment vertical="center"/>
    </xf>
    <xf numFmtId="168" fontId="56" fillId="0" borderId="3" xfId="13" applyNumberFormat="1" applyFont="1" applyFill="1" applyBorder="1" applyAlignment="1">
      <alignment vertical="center"/>
    </xf>
    <xf numFmtId="9" fontId="56" fillId="0" borderId="3" xfId="13" applyFont="1" applyFill="1" applyBorder="1" applyAlignment="1">
      <alignment vertical="center"/>
    </xf>
    <xf numFmtId="10" fontId="56" fillId="0" borderId="3" xfId="13" applyNumberFormat="1" applyFont="1" applyFill="1" applyBorder="1" applyAlignment="1">
      <alignment vertical="center"/>
    </xf>
    <xf numFmtId="166" fontId="56" fillId="0" borderId="3" xfId="0" applyNumberFormat="1" applyFont="1" applyFill="1" applyBorder="1" applyAlignment="1">
      <alignment vertical="center"/>
    </xf>
    <xf numFmtId="178" fontId="56" fillId="0" borderId="3" xfId="13" applyNumberFormat="1" applyFont="1" applyFill="1" applyBorder="1" applyAlignment="1">
      <alignment vertical="center"/>
    </xf>
    <xf numFmtId="179" fontId="56" fillId="0" borderId="3" xfId="13" applyNumberFormat="1" applyFont="1" applyFill="1" applyBorder="1" applyAlignment="1">
      <alignment vertical="center"/>
    </xf>
    <xf numFmtId="10" fontId="56" fillId="0" borderId="3" xfId="0" applyNumberFormat="1" applyFont="1" applyFill="1" applyBorder="1" applyAlignment="1">
      <alignment vertical="center"/>
    </xf>
    <xf numFmtId="9" fontId="56" fillId="0" borderId="3" xfId="0" applyNumberFormat="1" applyFont="1" applyFill="1" applyBorder="1" applyAlignment="1">
      <alignment vertical="center"/>
    </xf>
    <xf numFmtId="0" fontId="0" fillId="0" borderId="3" xfId="0" applyFill="1" applyBorder="1" applyAlignment="1">
      <alignment wrapText="1"/>
    </xf>
    <xf numFmtId="3" fontId="56" fillId="0" borderId="3" xfId="0" applyNumberFormat="1" applyFont="1" applyFill="1" applyBorder="1" applyAlignment="1">
      <alignment vertical="center"/>
    </xf>
    <xf numFmtId="0" fontId="0" fillId="0" borderId="3" xfId="0" applyFont="1" applyFill="1" applyBorder="1" applyAlignment="1">
      <alignment wrapText="1"/>
    </xf>
    <xf numFmtId="175" fontId="56" fillId="0" borderId="3" xfId="2" applyNumberFormat="1" applyFont="1" applyFill="1" applyBorder="1" applyAlignment="1">
      <alignment vertical="center"/>
    </xf>
    <xf numFmtId="164" fontId="0" fillId="0" borderId="3" xfId="2" applyFont="1" applyFill="1" applyBorder="1" applyAlignment="1">
      <alignment wrapText="1"/>
    </xf>
    <xf numFmtId="9" fontId="0" fillId="0" borderId="3" xfId="13" applyFont="1" applyFill="1" applyBorder="1" applyAlignment="1">
      <alignment wrapText="1"/>
    </xf>
    <xf numFmtId="175" fontId="0" fillId="0" borderId="3" xfId="2" applyNumberFormat="1" applyFont="1" applyFill="1" applyBorder="1" applyAlignment="1">
      <alignment wrapText="1"/>
    </xf>
    <xf numFmtId="0" fontId="0" fillId="0" borderId="3" xfId="0" applyFill="1" applyBorder="1" applyAlignment="1">
      <alignment vertical="center"/>
    </xf>
    <xf numFmtId="175" fontId="0" fillId="0" borderId="3" xfId="2" applyNumberFormat="1" applyFont="1" applyFill="1" applyBorder="1" applyAlignment="1">
      <alignment vertical="center"/>
    </xf>
    <xf numFmtId="175" fontId="0" fillId="0" borderId="3" xfId="0" applyNumberFormat="1" applyFill="1" applyBorder="1" applyAlignment="1">
      <alignment vertical="center"/>
    </xf>
    <xf numFmtId="177" fontId="0" fillId="0" borderId="3" xfId="2" applyNumberFormat="1" applyFont="1" applyFill="1" applyBorder="1" applyAlignment="1">
      <alignment vertical="center"/>
    </xf>
    <xf numFmtId="180" fontId="0" fillId="0" borderId="3" xfId="0" applyNumberFormat="1" applyFill="1" applyBorder="1" applyAlignment="1">
      <alignment vertical="center"/>
    </xf>
    <xf numFmtId="175" fontId="56" fillId="0" borderId="3" xfId="2" applyNumberFormat="1" applyFont="1" applyFill="1" applyBorder="1" applyAlignment="1">
      <alignment horizontal="center" vertical="center" wrapText="1"/>
    </xf>
    <xf numFmtId="9" fontId="0" fillId="0" borderId="3" xfId="13" applyFont="1" applyFill="1" applyBorder="1" applyAlignment="1">
      <alignment vertical="center"/>
    </xf>
    <xf numFmtId="9" fontId="56" fillId="0" borderId="3" xfId="13" applyFont="1" applyFill="1" applyBorder="1" applyAlignment="1">
      <alignment horizontal="center" vertical="center" wrapText="1"/>
    </xf>
    <xf numFmtId="3" fontId="74" fillId="0" borderId="11" xfId="2" applyNumberFormat="1" applyFont="1" applyFill="1" applyBorder="1" applyAlignment="1" applyProtection="1">
      <alignment horizontal="center" vertical="center" wrapText="1"/>
      <protection hidden="1"/>
    </xf>
    <xf numFmtId="3" fontId="74" fillId="0" borderId="38" xfId="2" applyNumberFormat="1" applyFont="1" applyFill="1" applyBorder="1" applyAlignment="1" applyProtection="1">
      <alignment horizontal="center" vertical="center" wrapText="1"/>
      <protection hidden="1"/>
    </xf>
    <xf numFmtId="3" fontId="74" fillId="0" borderId="40" xfId="2" applyNumberFormat="1" applyFont="1" applyFill="1" applyBorder="1" applyAlignment="1" applyProtection="1">
      <alignment horizontal="center" vertical="center" wrapText="1"/>
      <protection hidden="1"/>
    </xf>
    <xf numFmtId="3" fontId="74" fillId="0" borderId="43" xfId="2" applyNumberFormat="1" applyFont="1" applyFill="1" applyBorder="1" applyAlignment="1" applyProtection="1">
      <alignment horizontal="center" vertical="center" wrapText="1"/>
      <protection hidden="1"/>
    </xf>
    <xf numFmtId="3" fontId="74" fillId="0" borderId="45" xfId="2" applyNumberFormat="1" applyFont="1" applyFill="1" applyBorder="1" applyAlignment="1" applyProtection="1">
      <alignment horizontal="center" vertical="center" wrapText="1"/>
      <protection hidden="1"/>
    </xf>
    <xf numFmtId="3" fontId="74" fillId="0" borderId="46" xfId="2" applyNumberFormat="1" applyFont="1" applyFill="1" applyBorder="1" applyAlignment="1" applyProtection="1">
      <alignment horizontal="center" vertical="center" wrapText="1"/>
      <protection hidden="1"/>
    </xf>
    <xf numFmtId="167" fontId="74" fillId="0" borderId="47" xfId="2" applyNumberFormat="1" applyFont="1" applyFill="1" applyBorder="1" applyAlignment="1" applyProtection="1">
      <alignment horizontal="center" vertical="center" wrapText="1"/>
      <protection hidden="1"/>
    </xf>
    <xf numFmtId="0" fontId="75" fillId="5" borderId="3" xfId="7" applyFont="1" applyFill="1" applyBorder="1" applyAlignment="1" applyProtection="1">
      <alignment horizontal="center" vertical="center" wrapText="1"/>
      <protection hidden="1"/>
    </xf>
    <xf numFmtId="0" fontId="32" fillId="0" borderId="3" xfId="7" applyFont="1" applyFill="1" applyBorder="1" applyAlignment="1">
      <alignment horizontal="justify" vertical="center" wrapText="1"/>
    </xf>
    <xf numFmtId="0" fontId="32" fillId="2" borderId="3" xfId="7" applyFont="1" applyFill="1" applyBorder="1" applyAlignment="1">
      <alignment horizontal="justify" vertical="center" wrapText="1"/>
    </xf>
    <xf numFmtId="2" fontId="36" fillId="15" borderId="0" xfId="0" applyNumberFormat="1" applyFont="1" applyFill="1" applyBorder="1" applyAlignment="1">
      <alignment horizontal="right" vertical="center" wrapText="1"/>
    </xf>
    <xf numFmtId="169" fontId="42" fillId="0" borderId="0" xfId="13" applyNumberFormat="1" applyFont="1" applyFill="1" applyBorder="1"/>
    <xf numFmtId="2" fontId="17" fillId="0" borderId="0" xfId="0" applyNumberFormat="1" applyFont="1"/>
    <xf numFmtId="166" fontId="17" fillId="0" borderId="0" xfId="0" applyNumberFormat="1" applyFont="1"/>
    <xf numFmtId="165" fontId="74" fillId="0" borderId="36" xfId="2" applyNumberFormat="1" applyFont="1" applyFill="1" applyBorder="1" applyAlignment="1" applyProtection="1">
      <alignment horizontal="center" vertical="center" wrapText="1"/>
      <protection hidden="1"/>
    </xf>
    <xf numFmtId="165" fontId="74" fillId="0" borderId="41" xfId="2" applyNumberFormat="1" applyFont="1" applyFill="1" applyBorder="1" applyAlignment="1" applyProtection="1">
      <alignment horizontal="center" vertical="center" wrapText="1"/>
      <protection hidden="1"/>
    </xf>
    <xf numFmtId="165" fontId="74" fillId="0" borderId="42" xfId="2" applyNumberFormat="1"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protection hidden="1"/>
    </xf>
    <xf numFmtId="168" fontId="3" fillId="2" borderId="0" xfId="13" applyNumberFormat="1" applyFont="1" applyFill="1" applyBorder="1" applyProtection="1">
      <protection hidden="1"/>
    </xf>
    <xf numFmtId="3" fontId="41" fillId="0" borderId="0" xfId="7" applyNumberFormat="1" applyFont="1" applyFill="1" applyBorder="1" applyAlignment="1">
      <alignment horizontal="center" vertical="center" wrapText="1"/>
    </xf>
    <xf numFmtId="0" fontId="31" fillId="0" borderId="0" xfId="8" applyFont="1" applyFill="1" applyBorder="1"/>
    <xf numFmtId="2" fontId="115" fillId="27" borderId="12" xfId="15" applyNumberFormat="1" applyFont="1" applyFill="1" applyBorder="1" applyAlignment="1">
      <alignment vertical="center" wrapText="1"/>
    </xf>
    <xf numFmtId="0" fontId="105" fillId="0" borderId="0" xfId="8" applyFont="1" applyFill="1"/>
    <xf numFmtId="2" fontId="105" fillId="0" borderId="0" xfId="8" applyNumberFormat="1" applyFont="1" applyFill="1"/>
    <xf numFmtId="176" fontId="91" fillId="0" borderId="13" xfId="8" applyNumberFormat="1" applyFont="1" applyFill="1" applyBorder="1" applyAlignment="1">
      <alignment horizontal="center" vertical="center"/>
    </xf>
    <xf numFmtId="9" fontId="91" fillId="0" borderId="13" xfId="8" applyNumberFormat="1" applyFont="1" applyFill="1" applyBorder="1" applyAlignment="1">
      <alignment horizontal="center" vertical="center"/>
    </xf>
    <xf numFmtId="169" fontId="91" fillId="28" borderId="3" xfId="17" applyNumberFormat="1" applyFont="1" applyFill="1" applyBorder="1"/>
    <xf numFmtId="169" fontId="115" fillId="0" borderId="13" xfId="8" applyNumberFormat="1" applyFont="1" applyFill="1" applyBorder="1" applyAlignment="1">
      <alignment horizontal="center" vertical="center" wrapText="1"/>
    </xf>
    <xf numFmtId="169" fontId="115" fillId="0" borderId="12" xfId="15" applyNumberFormat="1" applyFont="1" applyFill="1" applyBorder="1" applyAlignment="1">
      <alignment vertical="center" wrapText="1"/>
    </xf>
    <xf numFmtId="2" fontId="115" fillId="0" borderId="13" xfId="8" applyNumberFormat="1" applyFont="1" applyFill="1" applyBorder="1" applyAlignment="1">
      <alignment horizontal="center" vertical="center" wrapText="1"/>
    </xf>
    <xf numFmtId="2" fontId="115" fillId="0" borderId="14" xfId="8" applyNumberFormat="1" applyFont="1" applyFill="1" applyBorder="1" applyAlignment="1">
      <alignment horizontal="center" vertical="center" wrapText="1"/>
    </xf>
    <xf numFmtId="169" fontId="115" fillId="0" borderId="12" xfId="8" applyNumberFormat="1" applyFont="1" applyFill="1" applyBorder="1" applyAlignment="1">
      <alignment horizontal="center" vertical="center" wrapText="1"/>
    </xf>
    <xf numFmtId="2" fontId="115" fillId="0" borderId="12" xfId="8" applyNumberFormat="1" applyFont="1" applyFill="1" applyBorder="1" applyAlignment="1">
      <alignment horizontal="center" vertical="center" wrapText="1"/>
    </xf>
    <xf numFmtId="0" fontId="105" fillId="0" borderId="13" xfId="8" applyFont="1" applyBorder="1"/>
    <xf numFmtId="3" fontId="91" fillId="0" borderId="3" xfId="8" applyNumberFormat="1" applyFont="1" applyFill="1" applyBorder="1" applyAlignment="1">
      <alignment horizontal="center" vertical="center" wrapText="1"/>
    </xf>
    <xf numFmtId="3" fontId="105" fillId="0" borderId="3" xfId="8" applyNumberFormat="1" applyFont="1" applyBorder="1"/>
    <xf numFmtId="0" fontId="105" fillId="0" borderId="3" xfId="8" applyFont="1" applyBorder="1"/>
    <xf numFmtId="2" fontId="115" fillId="0" borderId="12" xfId="15" applyNumberFormat="1" applyFont="1" applyFill="1" applyBorder="1" applyAlignment="1">
      <alignment vertical="center" wrapText="1"/>
    </xf>
    <xf numFmtId="2" fontId="115" fillId="0" borderId="3" xfId="15" applyNumberFormat="1" applyFont="1" applyFill="1" applyBorder="1" applyAlignment="1">
      <alignment vertical="center" wrapText="1"/>
    </xf>
    <xf numFmtId="9" fontId="105" fillId="27" borderId="3" xfId="14" applyFont="1" applyFill="1" applyBorder="1" applyAlignment="1">
      <alignment horizontal="center" vertical="center"/>
    </xf>
    <xf numFmtId="3" fontId="91" fillId="27" borderId="3" xfId="8" applyNumberFormat="1" applyFont="1" applyFill="1" applyBorder="1" applyAlignment="1">
      <alignment horizontal="center" vertical="center" wrapText="1"/>
    </xf>
    <xf numFmtId="4" fontId="91" fillId="2" borderId="3" xfId="8" applyNumberFormat="1" applyFont="1" applyFill="1" applyBorder="1" applyAlignment="1">
      <alignment horizontal="center" vertical="center" wrapText="1"/>
    </xf>
    <xf numFmtId="181" fontId="115" fillId="2" borderId="9" xfId="15" applyNumberFormat="1" applyFont="1" applyFill="1" applyBorder="1" applyAlignment="1">
      <alignment vertical="center" wrapText="1"/>
    </xf>
    <xf numFmtId="177" fontId="115" fillId="2" borderId="9" xfId="15" applyNumberFormat="1" applyFont="1" applyFill="1" applyBorder="1" applyAlignment="1">
      <alignment vertical="center" wrapText="1"/>
    </xf>
    <xf numFmtId="175" fontId="115" fillId="2" borderId="9" xfId="15" applyNumberFormat="1" applyFont="1" applyFill="1" applyBorder="1" applyAlignment="1">
      <alignment vertical="center" wrapText="1"/>
    </xf>
    <xf numFmtId="175" fontId="115" fillId="2" borderId="12" xfId="15" applyNumberFormat="1" applyFont="1" applyFill="1" applyBorder="1" applyAlignment="1">
      <alignment vertical="center" wrapText="1"/>
    </xf>
    <xf numFmtId="0" fontId="105" fillId="2" borderId="13" xfId="8" applyFont="1" applyFill="1" applyBorder="1"/>
    <xf numFmtId="9" fontId="105" fillId="2" borderId="13" xfId="14" applyFont="1" applyFill="1" applyBorder="1" applyAlignment="1">
      <alignment horizontal="center" vertical="center"/>
    </xf>
    <xf numFmtId="2" fontId="91" fillId="2" borderId="13" xfId="8" applyNumberFormat="1" applyFont="1" applyFill="1" applyBorder="1" applyAlignment="1">
      <alignment horizontal="center" vertical="center" wrapText="1"/>
    </xf>
    <xf numFmtId="0" fontId="105" fillId="2" borderId="3" xfId="8" applyFont="1" applyFill="1" applyBorder="1"/>
    <xf numFmtId="9" fontId="31" fillId="0" borderId="13" xfId="14" applyFont="1" applyFill="1" applyBorder="1" applyAlignment="1">
      <alignment horizontal="center" vertical="center"/>
    </xf>
    <xf numFmtId="0" fontId="105" fillId="0" borderId="13" xfId="8" applyFont="1" applyFill="1" applyBorder="1"/>
    <xf numFmtId="169" fontId="91" fillId="0" borderId="13" xfId="8" applyNumberFormat="1" applyFont="1" applyFill="1" applyBorder="1" applyAlignment="1">
      <alignment horizontal="center" vertical="center" wrapText="1"/>
    </xf>
    <xf numFmtId="0" fontId="105" fillId="0" borderId="13" xfId="8" applyFont="1" applyFill="1" applyBorder="1" applyAlignment="1">
      <alignment vertical="center" wrapText="1"/>
    </xf>
    <xf numFmtId="0" fontId="105" fillId="0" borderId="13" xfId="8" applyFont="1" applyFill="1" applyBorder="1" applyAlignment="1">
      <alignment horizontal="center" vertical="center" wrapText="1"/>
    </xf>
    <xf numFmtId="2" fontId="91" fillId="0" borderId="13" xfId="8" applyNumberFormat="1" applyFont="1" applyFill="1" applyBorder="1" applyAlignment="1">
      <alignment horizontal="center" vertical="center" wrapText="1"/>
    </xf>
    <xf numFmtId="169" fontId="31" fillId="0" borderId="15" xfId="8" applyNumberFormat="1" applyFont="1" applyFill="1" applyBorder="1" applyAlignment="1">
      <alignment horizontal="center" vertical="center" wrapText="1"/>
    </xf>
    <xf numFmtId="0" fontId="115" fillId="0" borderId="3" xfId="8" applyFont="1" applyFill="1" applyBorder="1" applyAlignment="1">
      <alignment horizontal="center" vertical="center" wrapText="1"/>
    </xf>
    <xf numFmtId="0" fontId="91" fillId="0" borderId="3" xfId="8" applyFont="1" applyFill="1" applyBorder="1" applyAlignment="1">
      <alignment horizontal="center" vertical="center" wrapText="1"/>
    </xf>
    <xf numFmtId="0" fontId="105" fillId="0" borderId="3" xfId="8" applyFont="1" applyFill="1" applyBorder="1" applyAlignment="1">
      <alignment horizontal="center" vertical="center" wrapText="1"/>
    </xf>
    <xf numFmtId="0" fontId="112" fillId="13" borderId="13" xfId="8" applyFont="1" applyFill="1" applyBorder="1" applyAlignment="1">
      <alignment horizontal="justify" vertical="center" wrapText="1"/>
    </xf>
    <xf numFmtId="0" fontId="112" fillId="0" borderId="3" xfId="8" applyFont="1" applyFill="1" applyBorder="1" applyAlignment="1">
      <alignment horizontal="justify" vertical="center" wrapText="1"/>
    </xf>
    <xf numFmtId="0" fontId="31" fillId="0" borderId="3" xfId="8" applyFont="1" applyFill="1" applyBorder="1" applyAlignment="1">
      <alignment horizontal="justify" vertical="center" wrapText="1"/>
    </xf>
    <xf numFmtId="0" fontId="105" fillId="0" borderId="3" xfId="8" applyFont="1" applyFill="1" applyBorder="1" applyAlignment="1">
      <alignment vertical="center" wrapText="1"/>
    </xf>
    <xf numFmtId="0" fontId="31" fillId="0" borderId="13" xfId="8" applyFont="1" applyFill="1" applyBorder="1" applyAlignment="1">
      <alignment horizontal="justify" vertical="center" wrapText="1"/>
    </xf>
    <xf numFmtId="0" fontId="91" fillId="0" borderId="13" xfId="8" applyFont="1" applyFill="1" applyBorder="1" applyAlignment="1">
      <alignment horizontal="center" vertical="center" wrapText="1"/>
    </xf>
    <xf numFmtId="0" fontId="105" fillId="0" borderId="3" xfId="8" applyFont="1" applyFill="1" applyBorder="1"/>
    <xf numFmtId="0" fontId="105" fillId="0" borderId="11" xfId="8" applyFont="1" applyFill="1" applyBorder="1" applyAlignment="1">
      <alignment horizontal="center" vertical="center" wrapText="1"/>
    </xf>
    <xf numFmtId="2" fontId="91" fillId="0" borderId="3" xfId="8" applyNumberFormat="1" applyFont="1" applyFill="1" applyBorder="1" applyAlignment="1">
      <alignment horizontal="center" vertical="center" wrapText="1"/>
    </xf>
    <xf numFmtId="169" fontId="31" fillId="0" borderId="14" xfId="8" applyNumberFormat="1" applyFont="1" applyFill="1" applyBorder="1" applyAlignment="1">
      <alignment horizontal="center" vertical="center" wrapText="1"/>
    </xf>
    <xf numFmtId="0" fontId="112" fillId="13" borderId="3" xfId="8" applyFont="1" applyFill="1" applyBorder="1" applyAlignment="1">
      <alignment horizontal="justify" vertical="center" wrapText="1"/>
    </xf>
    <xf numFmtId="0" fontId="105" fillId="27" borderId="3" xfId="8" applyFont="1" applyFill="1" applyBorder="1"/>
    <xf numFmtId="175" fontId="105" fillId="2" borderId="3" xfId="15" applyNumberFormat="1" applyFont="1" applyFill="1" applyBorder="1"/>
    <xf numFmtId="181" fontId="115" fillId="0" borderId="3" xfId="15" applyNumberFormat="1" applyFont="1" applyFill="1" applyBorder="1" applyAlignment="1">
      <alignment vertical="center" wrapText="1"/>
    </xf>
    <xf numFmtId="182" fontId="116" fillId="2" borderId="5" xfId="8" applyNumberFormat="1" applyFont="1" applyFill="1" applyBorder="1" applyAlignment="1" applyProtection="1">
      <alignment horizontal="center" wrapText="1"/>
      <protection locked="0"/>
    </xf>
    <xf numFmtId="182" fontId="116" fillId="2" borderId="3" xfId="8" applyNumberFormat="1" applyFont="1" applyFill="1" applyBorder="1" applyAlignment="1" applyProtection="1">
      <alignment vertical="center" wrapText="1" readingOrder="1"/>
      <protection locked="0"/>
    </xf>
    <xf numFmtId="2" fontId="91" fillId="2" borderId="3" xfId="8" applyNumberFormat="1" applyFont="1" applyFill="1" applyBorder="1" applyAlignment="1">
      <alignment horizontal="center" vertical="center" wrapText="1"/>
    </xf>
    <xf numFmtId="175" fontId="91" fillId="2" borderId="3" xfId="15" applyNumberFormat="1" applyFont="1" applyFill="1" applyBorder="1" applyAlignment="1">
      <alignment horizontal="center" vertical="center" wrapText="1"/>
    </xf>
    <xf numFmtId="175" fontId="105" fillId="2" borderId="3" xfId="15" applyNumberFormat="1" applyFont="1" applyFill="1" applyBorder="1" applyAlignment="1">
      <alignment horizontal="right" vertical="center" wrapText="1"/>
    </xf>
    <xf numFmtId="3" fontId="91" fillId="2" borderId="3" xfId="8" applyNumberFormat="1" applyFont="1" applyFill="1" applyBorder="1" applyAlignment="1">
      <alignment horizontal="center" vertical="center" wrapText="1"/>
    </xf>
    <xf numFmtId="2" fontId="115" fillId="2" borderId="3" xfId="8" applyNumberFormat="1" applyFont="1" applyFill="1" applyBorder="1" applyAlignment="1">
      <alignment horizontal="center" vertical="center" wrapText="1"/>
    </xf>
    <xf numFmtId="3" fontId="105" fillId="0" borderId="3" xfId="8" applyNumberFormat="1" applyFont="1" applyFill="1" applyBorder="1" applyAlignment="1">
      <alignment horizontal="center" vertical="center" wrapText="1"/>
    </xf>
    <xf numFmtId="2" fontId="115" fillId="0" borderId="3" xfId="8" applyNumberFormat="1" applyFont="1" applyFill="1" applyBorder="1" applyAlignment="1">
      <alignment horizontal="center" vertical="center" wrapText="1"/>
    </xf>
    <xf numFmtId="0" fontId="105" fillId="0" borderId="14" xfId="8" applyFont="1" applyFill="1" applyBorder="1" applyAlignment="1">
      <alignment horizontal="center" vertical="center"/>
    </xf>
    <xf numFmtId="0" fontId="31" fillId="24" borderId="3" xfId="8" applyFont="1" applyFill="1" applyBorder="1" applyAlignment="1">
      <alignment horizontal="center" vertical="center" wrapText="1"/>
    </xf>
    <xf numFmtId="169" fontId="115" fillId="0" borderId="3" xfId="8" applyNumberFormat="1" applyFont="1" applyFill="1" applyBorder="1" applyAlignment="1">
      <alignment horizontal="center" vertical="center" wrapText="1"/>
    </xf>
    <xf numFmtId="181" fontId="115" fillId="0" borderId="9" xfId="15" applyNumberFormat="1" applyFont="1" applyFill="1" applyBorder="1" applyAlignment="1">
      <alignment vertical="center" wrapText="1"/>
    </xf>
    <xf numFmtId="3" fontId="91" fillId="0" borderId="13" xfId="8" applyNumberFormat="1" applyFont="1" applyFill="1" applyBorder="1" applyAlignment="1">
      <alignment horizontal="center" vertical="center" wrapText="1"/>
    </xf>
    <xf numFmtId="2" fontId="115" fillId="0" borderId="9" xfId="15" applyNumberFormat="1" applyFont="1" applyFill="1" applyBorder="1" applyAlignment="1">
      <alignment vertical="center" wrapText="1"/>
    </xf>
    <xf numFmtId="9" fontId="105" fillId="27" borderId="13" xfId="14" applyFont="1" applyFill="1" applyBorder="1" applyAlignment="1">
      <alignment horizontal="center" vertical="center"/>
    </xf>
    <xf numFmtId="3" fontId="91" fillId="27" borderId="13" xfId="8" applyNumberFormat="1" applyFont="1" applyFill="1" applyBorder="1" applyAlignment="1">
      <alignment horizontal="center" vertical="center" wrapText="1"/>
    </xf>
    <xf numFmtId="4" fontId="91" fillId="2" borderId="13" xfId="8" applyNumberFormat="1" applyFont="1" applyFill="1" applyBorder="1" applyAlignment="1">
      <alignment horizontal="center" vertical="center" wrapText="1"/>
    </xf>
    <xf numFmtId="2" fontId="115" fillId="2" borderId="7" xfId="8" applyNumberFormat="1" applyFont="1" applyFill="1" applyBorder="1" applyAlignment="1">
      <alignment horizontal="center" vertical="center" wrapText="1"/>
    </xf>
    <xf numFmtId="177" fontId="115" fillId="2" borderId="7" xfId="15" applyNumberFormat="1" applyFont="1" applyFill="1" applyBorder="1" applyAlignment="1">
      <alignment vertical="center" wrapText="1"/>
    </xf>
    <xf numFmtId="182" fontId="116" fillId="2" borderId="51" xfId="8" applyNumberFormat="1" applyFont="1" applyFill="1" applyBorder="1" applyAlignment="1" applyProtection="1">
      <alignment horizontal="center" wrapText="1"/>
      <protection locked="0"/>
    </xf>
    <xf numFmtId="182" fontId="116" fillId="2" borderId="50" xfId="8" applyNumberFormat="1" applyFont="1" applyFill="1" applyBorder="1" applyAlignment="1" applyProtection="1">
      <alignment vertical="center" wrapText="1" readingOrder="1"/>
      <protection locked="0"/>
    </xf>
    <xf numFmtId="175" fontId="91" fillId="2" borderId="13" xfId="15" applyNumberFormat="1" applyFont="1" applyFill="1" applyBorder="1" applyAlignment="1">
      <alignment horizontal="center" vertical="center" wrapText="1"/>
    </xf>
    <xf numFmtId="175" fontId="105" fillId="2" borderId="11" xfId="15" applyNumberFormat="1" applyFont="1" applyFill="1" applyBorder="1" applyAlignment="1">
      <alignment horizontal="right" vertical="center" wrapText="1"/>
    </xf>
    <xf numFmtId="3" fontId="91" fillId="2" borderId="13" xfId="8" applyNumberFormat="1" applyFont="1" applyFill="1" applyBorder="1" applyAlignment="1">
      <alignment horizontal="center" vertical="center" wrapText="1"/>
    </xf>
    <xf numFmtId="2" fontId="115" fillId="2" borderId="13" xfId="8" applyNumberFormat="1" applyFont="1" applyFill="1" applyBorder="1" applyAlignment="1">
      <alignment horizontal="center" vertical="center" wrapText="1"/>
    </xf>
    <xf numFmtId="2" fontId="115" fillId="2" borderId="9" xfId="8" applyNumberFormat="1" applyFont="1" applyFill="1" applyBorder="1" applyAlignment="1">
      <alignment horizontal="center" vertical="center" wrapText="1"/>
    </xf>
    <xf numFmtId="3" fontId="105" fillId="0" borderId="13" xfId="8" applyNumberFormat="1" applyFont="1" applyFill="1" applyBorder="1" applyAlignment="1">
      <alignment horizontal="center" vertical="center" wrapText="1"/>
    </xf>
    <xf numFmtId="0" fontId="115" fillId="0" borderId="9" xfId="8" applyFont="1" applyFill="1" applyBorder="1" applyAlignment="1">
      <alignment horizontal="center" vertical="center" wrapText="1"/>
    </xf>
    <xf numFmtId="0" fontId="105" fillId="0" borderId="13" xfId="8" applyFont="1" applyFill="1" applyBorder="1" applyAlignment="1">
      <alignment horizontal="center" vertical="center"/>
    </xf>
    <xf numFmtId="176" fontId="91" fillId="0" borderId="3" xfId="8" applyNumberFormat="1" applyFont="1" applyFill="1" applyBorder="1" applyAlignment="1">
      <alignment horizontal="center" vertical="center"/>
    </xf>
    <xf numFmtId="9" fontId="91" fillId="0" borderId="3" xfId="8" applyNumberFormat="1" applyFont="1" applyFill="1" applyBorder="1" applyAlignment="1">
      <alignment horizontal="center" vertical="center"/>
    </xf>
    <xf numFmtId="181" fontId="115" fillId="0" borderId="7" xfId="15" applyNumberFormat="1" applyFont="1" applyFill="1" applyBorder="1" applyAlignment="1">
      <alignment vertical="center" wrapText="1"/>
    </xf>
    <xf numFmtId="2" fontId="115" fillId="0" borderId="7" xfId="15" applyNumberFormat="1" applyFont="1" applyFill="1" applyBorder="1" applyAlignment="1">
      <alignment vertical="center" wrapText="1"/>
    </xf>
    <xf numFmtId="181" fontId="115" fillId="2" borderId="3" xfId="15" applyNumberFormat="1" applyFont="1" applyFill="1" applyBorder="1" applyAlignment="1">
      <alignment vertical="center" wrapText="1"/>
    </xf>
    <xf numFmtId="181" fontId="115" fillId="2" borderId="7" xfId="15" applyNumberFormat="1" applyFont="1" applyFill="1" applyBorder="1" applyAlignment="1">
      <alignment vertical="center" wrapText="1"/>
    </xf>
    <xf numFmtId="175" fontId="115" fillId="2" borderId="7" xfId="15" applyNumberFormat="1" applyFont="1" applyFill="1" applyBorder="1" applyAlignment="1">
      <alignment vertical="center" wrapText="1"/>
    </xf>
    <xf numFmtId="9" fontId="105" fillId="2" borderId="3" xfId="14" applyFont="1" applyFill="1" applyBorder="1" applyAlignment="1">
      <alignment horizontal="center" vertical="center"/>
    </xf>
    <xf numFmtId="175" fontId="105" fillId="2" borderId="5" xfId="15" applyNumberFormat="1" applyFont="1" applyFill="1" applyBorder="1" applyAlignment="1">
      <alignment horizontal="right" vertical="center" wrapText="1"/>
    </xf>
    <xf numFmtId="9" fontId="31" fillId="0" borderId="3" xfId="14" applyFont="1" applyFill="1" applyBorder="1" applyAlignment="1">
      <alignment horizontal="center" vertical="center"/>
    </xf>
    <xf numFmtId="0" fontId="115" fillId="0" borderId="7" xfId="8" applyFont="1" applyFill="1" applyBorder="1" applyAlignment="1">
      <alignment horizontal="center" vertical="center" wrapText="1"/>
    </xf>
    <xf numFmtId="0" fontId="105" fillId="0" borderId="5" xfId="8" applyFont="1" applyFill="1" applyBorder="1" applyAlignment="1">
      <alignment horizontal="center" vertical="center" wrapText="1"/>
    </xf>
    <xf numFmtId="0" fontId="105" fillId="0" borderId="3" xfId="8" applyFont="1" applyFill="1" applyBorder="1" applyAlignment="1">
      <alignment horizontal="center" vertical="center"/>
    </xf>
    <xf numFmtId="182" fontId="116" fillId="2" borderId="51" xfId="8" applyNumberFormat="1" applyFont="1" applyFill="1" applyBorder="1" applyAlignment="1" applyProtection="1">
      <alignment vertical="center" wrapText="1" readingOrder="1"/>
      <protection locked="0"/>
    </xf>
    <xf numFmtId="169" fontId="91" fillId="0" borderId="3" xfId="8" applyNumberFormat="1" applyFont="1" applyFill="1" applyBorder="1" applyAlignment="1">
      <alignment horizontal="center" vertical="center" wrapText="1"/>
    </xf>
    <xf numFmtId="0" fontId="31" fillId="0" borderId="3" xfId="8" applyFont="1" applyFill="1" applyBorder="1" applyAlignment="1">
      <alignment horizontal="center" vertical="center" wrapText="1"/>
    </xf>
    <xf numFmtId="0" fontId="114" fillId="2" borderId="51" xfId="8" applyFont="1" applyFill="1" applyBorder="1" applyAlignment="1">
      <alignment horizontal="center"/>
    </xf>
    <xf numFmtId="0" fontId="114" fillId="2" borderId="50" xfId="8" applyFont="1" applyFill="1" applyBorder="1" applyAlignment="1">
      <alignment horizontal="center" vertical="center"/>
    </xf>
    <xf numFmtId="4" fontId="91" fillId="27" borderId="3" xfId="8" applyNumberFormat="1" applyFont="1" applyFill="1" applyBorder="1" applyAlignment="1">
      <alignment horizontal="center" vertical="center" wrapText="1"/>
    </xf>
    <xf numFmtId="182" fontId="116" fillId="2" borderId="52" xfId="8" applyNumberFormat="1" applyFont="1" applyFill="1" applyBorder="1" applyAlignment="1" applyProtection="1">
      <alignment vertical="center" wrapText="1" readingOrder="1"/>
      <protection locked="0"/>
    </xf>
    <xf numFmtId="182" fontId="116" fillId="2" borderId="53" xfId="8" applyNumberFormat="1" applyFont="1" applyFill="1" applyBorder="1" applyAlignment="1" applyProtection="1">
      <alignment vertical="center" wrapText="1" readingOrder="1"/>
      <protection locked="0"/>
    </xf>
    <xf numFmtId="0" fontId="116" fillId="2" borderId="3" xfId="8" applyFont="1" applyFill="1" applyBorder="1" applyAlignment="1" applyProtection="1">
      <alignment vertical="center" wrapText="1" readingOrder="1"/>
      <protection locked="0"/>
    </xf>
    <xf numFmtId="0" fontId="116" fillId="2" borderId="51" xfId="8" applyFont="1" applyFill="1" applyBorder="1" applyAlignment="1" applyProtection="1">
      <alignment vertical="center" wrapText="1" readingOrder="1"/>
      <protection locked="0"/>
    </xf>
    <xf numFmtId="0" fontId="116" fillId="2" borderId="50" xfId="8" applyFont="1" applyFill="1" applyBorder="1" applyAlignment="1" applyProtection="1">
      <alignment vertical="center" wrapText="1" readingOrder="1"/>
      <protection locked="0"/>
    </xf>
    <xf numFmtId="0" fontId="114" fillId="2" borderId="3" xfId="8" applyFont="1" applyFill="1" applyBorder="1" applyAlignment="1">
      <alignment horizontal="center" vertical="center"/>
    </xf>
    <xf numFmtId="0" fontId="114" fillId="2" borderId="51" xfId="8" applyFont="1" applyFill="1" applyBorder="1" applyAlignment="1">
      <alignment horizontal="center" vertical="center"/>
    </xf>
    <xf numFmtId="9" fontId="105" fillId="0" borderId="3" xfId="14" applyFont="1" applyFill="1" applyBorder="1" applyAlignment="1">
      <alignment vertical="center" wrapText="1"/>
    </xf>
    <xf numFmtId="2" fontId="105" fillId="0" borderId="3" xfId="8" applyNumberFormat="1" applyFont="1" applyFill="1" applyBorder="1" applyAlignment="1">
      <alignment vertical="center" wrapText="1"/>
    </xf>
    <xf numFmtId="0" fontId="116" fillId="2" borderId="5" xfId="8" applyFont="1" applyFill="1" applyBorder="1" applyAlignment="1" applyProtection="1">
      <alignment vertical="center" wrapText="1" readingOrder="1"/>
      <protection locked="0"/>
    </xf>
    <xf numFmtId="182" fontId="116" fillId="2" borderId="5" xfId="8" applyNumberFormat="1" applyFont="1" applyFill="1" applyBorder="1" applyAlignment="1" applyProtection="1">
      <alignment vertical="center" wrapText="1" readingOrder="1"/>
      <protection locked="0"/>
    </xf>
    <xf numFmtId="0" fontId="114" fillId="2" borderId="5" xfId="8" applyFont="1" applyFill="1" applyBorder="1" applyAlignment="1">
      <alignment horizontal="center"/>
    </xf>
    <xf numFmtId="0" fontId="31" fillId="17" borderId="3" xfId="8" applyFont="1" applyFill="1" applyBorder="1" applyAlignment="1">
      <alignment horizontal="center" vertical="center" wrapText="1"/>
    </xf>
    <xf numFmtId="9" fontId="31" fillId="27" borderId="3" xfId="14" applyFont="1" applyFill="1" applyBorder="1" applyAlignment="1">
      <alignment horizontal="center" vertical="center"/>
    </xf>
    <xf numFmtId="0" fontId="115" fillId="2" borderId="7" xfId="8" applyFont="1" applyFill="1" applyBorder="1" applyAlignment="1">
      <alignment horizontal="center" vertical="center" wrapText="1"/>
    </xf>
    <xf numFmtId="9" fontId="31" fillId="2" borderId="3" xfId="14" applyFont="1" applyFill="1" applyBorder="1" applyAlignment="1">
      <alignment horizontal="center" vertical="center"/>
    </xf>
    <xf numFmtId="1" fontId="91" fillId="2" borderId="3" xfId="8" applyNumberFormat="1" applyFont="1" applyFill="1" applyBorder="1" applyAlignment="1">
      <alignment horizontal="center" vertical="center" wrapText="1"/>
    </xf>
    <xf numFmtId="0" fontId="105" fillId="15" borderId="3" xfId="8" applyFont="1" applyFill="1" applyBorder="1" applyAlignment="1">
      <alignment horizontal="center" vertical="center" wrapText="1"/>
    </xf>
    <xf numFmtId="3" fontId="105" fillId="0" borderId="3" xfId="8" applyNumberFormat="1" applyFont="1" applyFill="1" applyBorder="1" applyAlignment="1">
      <alignment vertical="center" wrapText="1"/>
    </xf>
    <xf numFmtId="0" fontId="105" fillId="15" borderId="5" xfId="8" applyFont="1" applyFill="1" applyBorder="1" applyAlignment="1">
      <alignment horizontal="center" vertical="center" wrapText="1"/>
    </xf>
    <xf numFmtId="0" fontId="91" fillId="0" borderId="3" xfId="8" applyFont="1" applyFill="1" applyBorder="1" applyAlignment="1">
      <alignment vertical="center" wrapText="1"/>
    </xf>
    <xf numFmtId="0" fontId="114" fillId="2" borderId="5" xfId="8" applyFont="1" applyFill="1" applyBorder="1" applyAlignment="1">
      <alignment horizontal="center" vertical="center"/>
    </xf>
    <xf numFmtId="0" fontId="105" fillId="0" borderId="5" xfId="8" applyFont="1" applyFill="1" applyBorder="1" applyAlignment="1">
      <alignment vertical="center" wrapText="1"/>
    </xf>
    <xf numFmtId="165" fontId="91" fillId="27" borderId="3" xfId="8" applyNumberFormat="1" applyFont="1" applyFill="1" applyBorder="1" applyAlignment="1">
      <alignment horizontal="center" vertical="center" wrapText="1"/>
    </xf>
    <xf numFmtId="176" fontId="91" fillId="0" borderId="3" xfId="8" applyNumberFormat="1" applyFont="1" applyFill="1" applyBorder="1" applyAlignment="1">
      <alignment horizontal="center" vertical="center" wrapText="1"/>
    </xf>
    <xf numFmtId="0" fontId="111" fillId="24" borderId="3" xfId="8" applyFont="1" applyFill="1" applyBorder="1" applyAlignment="1">
      <alignment horizontal="center" vertical="center" wrapText="1"/>
    </xf>
    <xf numFmtId="10" fontId="91" fillId="0" borderId="3" xfId="8" applyNumberFormat="1" applyFont="1" applyFill="1" applyBorder="1" applyAlignment="1">
      <alignment horizontal="center" vertical="center"/>
    </xf>
    <xf numFmtId="3" fontId="105" fillId="2" borderId="3" xfId="8" applyNumberFormat="1" applyFont="1" applyFill="1" applyBorder="1" applyAlignment="1">
      <alignment horizontal="left"/>
    </xf>
    <xf numFmtId="0" fontId="115" fillId="0" borderId="3" xfId="8" applyFont="1" applyFill="1" applyBorder="1" applyAlignment="1">
      <alignment vertical="center" wrapText="1"/>
    </xf>
    <xf numFmtId="169" fontId="105" fillId="0" borderId="3" xfId="8" applyNumberFormat="1" applyFont="1" applyFill="1" applyBorder="1" applyAlignment="1">
      <alignment vertical="center" wrapText="1"/>
    </xf>
    <xf numFmtId="0" fontId="105" fillId="0" borderId="7" xfId="8" applyFont="1" applyBorder="1"/>
    <xf numFmtId="0" fontId="105" fillId="2" borderId="5" xfId="8" applyFont="1" applyFill="1" applyBorder="1"/>
    <xf numFmtId="0" fontId="105" fillId="2" borderId="7" xfId="8" applyFont="1" applyFill="1" applyBorder="1"/>
    <xf numFmtId="169" fontId="31" fillId="0" borderId="3" xfId="8" applyNumberFormat="1" applyFont="1" applyFill="1" applyBorder="1" applyAlignment="1">
      <alignment horizontal="center" vertical="center" wrapText="1"/>
    </xf>
    <xf numFmtId="175" fontId="105" fillId="2" borderId="5" xfId="15" applyNumberFormat="1" applyFont="1" applyFill="1" applyBorder="1" applyAlignment="1">
      <alignment horizontal="right"/>
    </xf>
    <xf numFmtId="0" fontId="1" fillId="0" borderId="3" xfId="8" applyFont="1" applyFill="1" applyBorder="1" applyAlignment="1">
      <alignment horizontal="center" vertical="center" wrapText="1"/>
    </xf>
    <xf numFmtId="0" fontId="1" fillId="0" borderId="3" xfId="8" applyFont="1" applyFill="1" applyBorder="1" applyAlignment="1">
      <alignment vertical="center" wrapText="1"/>
    </xf>
    <xf numFmtId="3" fontId="1" fillId="0" borderId="3" xfId="8" applyNumberFormat="1" applyFont="1" applyFill="1" applyBorder="1" applyAlignment="1">
      <alignment vertical="center" wrapText="1"/>
    </xf>
    <xf numFmtId="0" fontId="1" fillId="0" borderId="5" xfId="8" applyFont="1" applyFill="1" applyBorder="1" applyAlignment="1">
      <alignment vertical="center" wrapText="1"/>
    </xf>
    <xf numFmtId="0" fontId="113" fillId="0" borderId="3" xfId="8" applyFont="1" applyFill="1" applyBorder="1" applyAlignment="1">
      <alignment vertical="center" wrapText="1"/>
    </xf>
    <xf numFmtId="0" fontId="105" fillId="24" borderId="3" xfId="8" applyFont="1" applyFill="1" applyBorder="1" applyAlignment="1">
      <alignment vertical="center"/>
    </xf>
    <xf numFmtId="0" fontId="105" fillId="0" borderId="3" xfId="18" applyFont="1" applyFill="1" applyBorder="1" applyAlignment="1">
      <alignment horizontal="justify" vertical="center" wrapText="1"/>
    </xf>
    <xf numFmtId="0" fontId="105" fillId="24" borderId="3" xfId="8" applyFont="1" applyFill="1" applyBorder="1"/>
    <xf numFmtId="182" fontId="116" fillId="2" borderId="51" xfId="8" applyNumberFormat="1" applyFont="1" applyFill="1" applyBorder="1" applyAlignment="1" applyProtection="1">
      <alignment horizontal="center" vertical="center" wrapText="1" readingOrder="1"/>
      <protection locked="0"/>
    </xf>
    <xf numFmtId="2" fontId="116" fillId="2" borderId="51" xfId="8" applyNumberFormat="1" applyFont="1" applyFill="1" applyBorder="1" applyAlignment="1" applyProtection="1">
      <alignment vertical="center" wrapText="1" readingOrder="1"/>
      <protection locked="0"/>
    </xf>
    <xf numFmtId="173" fontId="91" fillId="27" borderId="3" xfId="8" applyNumberFormat="1" applyFont="1" applyFill="1" applyBorder="1" applyAlignment="1">
      <alignment horizontal="center" vertical="center" wrapText="1"/>
    </xf>
    <xf numFmtId="0" fontId="105" fillId="24" borderId="3" xfId="8" applyFont="1" applyFill="1" applyBorder="1" applyAlignment="1"/>
    <xf numFmtId="2" fontId="114" fillId="2" borderId="5" xfId="8" applyNumberFormat="1" applyFont="1" applyFill="1" applyBorder="1" applyAlignment="1">
      <alignment horizontal="center" vertical="center"/>
    </xf>
    <xf numFmtId="184" fontId="91" fillId="0" borderId="3" xfId="8" applyNumberFormat="1" applyFont="1" applyFill="1" applyBorder="1" applyAlignment="1">
      <alignment horizontal="center" vertical="center" wrapText="1"/>
    </xf>
    <xf numFmtId="175" fontId="105" fillId="24" borderId="3" xfId="8" applyNumberFormat="1" applyFont="1" applyFill="1" applyBorder="1"/>
    <xf numFmtId="3" fontId="105" fillId="0" borderId="13" xfId="8" applyNumberFormat="1" applyFont="1" applyFill="1" applyBorder="1" applyAlignment="1">
      <alignment vertical="center" wrapText="1"/>
    </xf>
    <xf numFmtId="0" fontId="105" fillId="0" borderId="11" xfId="8" applyFont="1" applyFill="1" applyBorder="1" applyAlignment="1">
      <alignment vertical="center" wrapText="1"/>
    </xf>
    <xf numFmtId="0" fontId="105" fillId="24" borderId="3" xfId="8" applyFont="1" applyFill="1" applyBorder="1" applyAlignment="1">
      <alignment wrapText="1"/>
    </xf>
    <xf numFmtId="169" fontId="116" fillId="2" borderId="51" xfId="8" applyNumberFormat="1" applyFont="1" applyFill="1" applyBorder="1" applyAlignment="1" applyProtection="1">
      <alignment vertical="center" wrapText="1" readingOrder="1"/>
      <protection locked="0"/>
    </xf>
    <xf numFmtId="0" fontId="105" fillId="16" borderId="3" xfId="8" applyFont="1" applyFill="1" applyBorder="1" applyAlignment="1">
      <alignment horizontal="center" vertical="center" wrapText="1"/>
    </xf>
    <xf numFmtId="0" fontId="105" fillId="16" borderId="5" xfId="8" applyFont="1" applyFill="1" applyBorder="1" applyAlignment="1">
      <alignment horizontal="center" vertical="center" wrapText="1"/>
    </xf>
    <xf numFmtId="0" fontId="114" fillId="2" borderId="5" xfId="8" applyFont="1" applyFill="1" applyBorder="1" applyAlignment="1">
      <alignment horizontal="center" vertical="center" readingOrder="1"/>
    </xf>
    <xf numFmtId="0" fontId="91" fillId="0" borderId="14" xfId="8" applyFont="1" applyFill="1" applyBorder="1" applyAlignment="1">
      <alignment horizontal="center" vertical="center" wrapText="1"/>
    </xf>
    <xf numFmtId="0" fontId="105" fillId="24" borderId="3" xfId="8" applyFont="1" applyFill="1" applyBorder="1" applyAlignment="1">
      <alignment vertical="center" wrapText="1"/>
    </xf>
    <xf numFmtId="166" fontId="105" fillId="0" borderId="3" xfId="8" applyNumberFormat="1" applyFont="1" applyFill="1" applyBorder="1" applyAlignment="1">
      <alignment horizontal="center" vertical="center" wrapText="1"/>
    </xf>
    <xf numFmtId="168" fontId="31" fillId="0" borderId="3" xfId="14" applyNumberFormat="1" applyFont="1" applyFill="1" applyBorder="1" applyAlignment="1">
      <alignment horizontal="center" vertical="center"/>
    </xf>
    <xf numFmtId="182" fontId="116" fillId="2" borderId="5" xfId="8" applyNumberFormat="1" applyFont="1" applyFill="1" applyBorder="1" applyAlignment="1" applyProtection="1">
      <alignment horizontal="center" vertical="center" wrapText="1" readingOrder="1"/>
      <protection locked="0"/>
    </xf>
    <xf numFmtId="183" fontId="116" fillId="2" borderId="51" xfId="8" applyNumberFormat="1" applyFont="1" applyFill="1" applyBorder="1" applyAlignment="1" applyProtection="1">
      <alignment vertical="center" wrapText="1" readingOrder="1"/>
      <protection locked="0"/>
    </xf>
    <xf numFmtId="183" fontId="116" fillId="2" borderId="50" xfId="8" applyNumberFormat="1" applyFont="1" applyFill="1" applyBorder="1" applyAlignment="1" applyProtection="1">
      <alignment vertical="center" wrapText="1" readingOrder="1"/>
      <protection locked="0"/>
    </xf>
    <xf numFmtId="0" fontId="116" fillId="2" borderId="5" xfId="8" applyFont="1" applyFill="1" applyBorder="1" applyAlignment="1" applyProtection="1">
      <alignment horizontal="center" wrapText="1"/>
      <protection locked="0"/>
    </xf>
    <xf numFmtId="175" fontId="105" fillId="2" borderId="5" xfId="15" applyNumberFormat="1" applyFont="1" applyFill="1" applyBorder="1" applyAlignment="1">
      <alignment horizontal="center" vertical="center" wrapText="1"/>
    </xf>
    <xf numFmtId="0" fontId="31" fillId="24" borderId="3" xfId="8" applyFont="1" applyFill="1" applyBorder="1" applyAlignment="1">
      <alignment vertical="center" wrapText="1"/>
    </xf>
    <xf numFmtId="0" fontId="31" fillId="24" borderId="3" xfId="8" applyFont="1" applyFill="1" applyBorder="1" applyAlignment="1">
      <alignment vertical="center"/>
    </xf>
    <xf numFmtId="43" fontId="91" fillId="27" borderId="3" xfId="15" applyFont="1" applyFill="1" applyBorder="1" applyAlignment="1">
      <alignment horizontal="center" vertical="center" wrapText="1"/>
    </xf>
    <xf numFmtId="4" fontId="91" fillId="21" borderId="3" xfId="8" applyNumberFormat="1" applyFont="1" applyFill="1" applyBorder="1" applyAlignment="1">
      <alignment horizontal="center" vertical="center" wrapText="1"/>
    </xf>
    <xf numFmtId="0" fontId="114" fillId="2" borderId="0" xfId="8" applyFont="1" applyFill="1" applyBorder="1" applyAlignment="1">
      <alignment horizontal="center" vertical="center"/>
    </xf>
    <xf numFmtId="0" fontId="31" fillId="19" borderId="3" xfId="8" applyFont="1" applyFill="1" applyBorder="1" applyAlignment="1">
      <alignment vertical="center"/>
    </xf>
    <xf numFmtId="166" fontId="91" fillId="27" borderId="3" xfId="8" applyNumberFormat="1" applyFont="1" applyFill="1" applyBorder="1" applyAlignment="1">
      <alignment horizontal="center" vertical="center" wrapText="1"/>
    </xf>
    <xf numFmtId="0" fontId="91" fillId="0" borderId="5" xfId="8" applyFont="1" applyFill="1" applyBorder="1" applyAlignment="1">
      <alignment horizontal="center" vertical="center" wrapText="1"/>
    </xf>
    <xf numFmtId="0" fontId="114" fillId="2" borderId="3" xfId="8" applyFont="1" applyFill="1" applyBorder="1" applyAlignment="1">
      <alignment horizontal="right" vertical="center"/>
    </xf>
    <xf numFmtId="49" fontId="91" fillId="2" borderId="3" xfId="15" applyNumberFormat="1" applyFont="1" applyFill="1" applyBorder="1" applyAlignment="1">
      <alignment horizontal="center" vertical="center" wrapText="1"/>
    </xf>
    <xf numFmtId="166" fontId="91" fillId="2" borderId="3" xfId="8" applyNumberFormat="1" applyFont="1" applyFill="1" applyBorder="1" applyAlignment="1">
      <alignment horizontal="center" vertical="center" wrapText="1"/>
    </xf>
    <xf numFmtId="0" fontId="31" fillId="0" borderId="3" xfId="18" applyFont="1" applyFill="1" applyBorder="1" applyAlignment="1">
      <alignment horizontal="justify" vertical="center" wrapText="1"/>
    </xf>
    <xf numFmtId="0" fontId="31" fillId="15" borderId="3" xfId="18" applyFont="1" applyFill="1" applyBorder="1" applyAlignment="1">
      <alignment horizontal="justify" vertical="center" wrapText="1"/>
    </xf>
    <xf numFmtId="0" fontId="115" fillId="25" borderId="3" xfId="8" applyFont="1" applyFill="1" applyBorder="1" applyAlignment="1">
      <alignment horizontal="center" vertical="center" wrapText="1"/>
    </xf>
    <xf numFmtId="0" fontId="91" fillId="25" borderId="3" xfId="8" applyFont="1" applyFill="1" applyBorder="1" applyAlignment="1">
      <alignment horizontal="center" vertical="center" wrapText="1"/>
    </xf>
    <xf numFmtId="0" fontId="114" fillId="2" borderId="8" xfId="8" applyFont="1" applyFill="1" applyBorder="1" applyAlignment="1">
      <alignment horizontal="center" vertical="center"/>
    </xf>
    <xf numFmtId="0" fontId="114" fillId="2" borderId="15" xfId="8" applyFont="1" applyFill="1" applyBorder="1" applyAlignment="1">
      <alignment horizontal="center" vertical="center"/>
    </xf>
    <xf numFmtId="4" fontId="91" fillId="0" borderId="3" xfId="8" applyNumberFormat="1" applyFont="1" applyFill="1" applyBorder="1" applyAlignment="1">
      <alignment horizontal="center" vertical="center" wrapText="1"/>
    </xf>
    <xf numFmtId="177" fontId="115" fillId="0" borderId="7" xfId="15" applyNumberFormat="1" applyFont="1" applyFill="1" applyBorder="1" applyAlignment="1">
      <alignment vertical="center" wrapText="1"/>
    </xf>
    <xf numFmtId="175" fontId="115" fillId="0" borderId="7" xfId="15" applyNumberFormat="1" applyFont="1" applyFill="1" applyBorder="1" applyAlignment="1">
      <alignment vertical="center" wrapText="1"/>
    </xf>
    <xf numFmtId="175" fontId="115" fillId="0" borderId="12" xfId="15" applyNumberFormat="1" applyFont="1" applyFill="1" applyBorder="1" applyAlignment="1">
      <alignment vertical="center" wrapText="1"/>
    </xf>
    <xf numFmtId="175" fontId="91" fillId="0" borderId="3" xfId="15" applyNumberFormat="1" applyFont="1" applyFill="1" applyBorder="1" applyAlignment="1">
      <alignment horizontal="center" vertical="center" wrapText="1"/>
    </xf>
    <xf numFmtId="175" fontId="105" fillId="0" borderId="5" xfId="15" applyNumberFormat="1" applyFont="1" applyFill="1" applyBorder="1" applyAlignment="1">
      <alignment horizontal="center" vertical="center" wrapText="1"/>
    </xf>
    <xf numFmtId="2" fontId="115" fillId="0" borderId="7" xfId="8" applyNumberFormat="1" applyFont="1" applyFill="1" applyBorder="1" applyAlignment="1">
      <alignment horizontal="center" vertical="center" wrapText="1"/>
    </xf>
    <xf numFmtId="2" fontId="116" fillId="2" borderId="50" xfId="8" applyNumberFormat="1" applyFont="1" applyFill="1" applyBorder="1" applyAlignment="1" applyProtection="1">
      <alignment vertical="center" wrapText="1" readingOrder="1"/>
      <protection locked="0"/>
    </xf>
    <xf numFmtId="2" fontId="91" fillId="27" borderId="7" xfId="15" applyNumberFormat="1" applyFont="1" applyFill="1" applyBorder="1" applyAlignment="1">
      <alignment vertical="center" wrapText="1"/>
    </xf>
    <xf numFmtId="2" fontId="91" fillId="0" borderId="7" xfId="15" applyNumberFormat="1" applyFont="1" applyFill="1" applyBorder="1" applyAlignment="1">
      <alignment vertical="center" wrapText="1"/>
    </xf>
    <xf numFmtId="43" fontId="115" fillId="0" borderId="12" xfId="15" applyNumberFormat="1" applyFont="1" applyFill="1" applyBorder="1" applyAlignment="1">
      <alignment vertical="center" wrapText="1"/>
    </xf>
    <xf numFmtId="4" fontId="91" fillId="0" borderId="13" xfId="8" applyNumberFormat="1" applyFont="1" applyFill="1" applyBorder="1" applyAlignment="1">
      <alignment horizontal="center" vertical="center" wrapText="1"/>
    </xf>
    <xf numFmtId="177" fontId="115" fillId="0" borderId="9" xfId="15" applyNumberFormat="1" applyFont="1" applyFill="1" applyBorder="1" applyAlignment="1">
      <alignment vertical="center" wrapText="1"/>
    </xf>
    <xf numFmtId="175" fontId="115" fillId="0" borderId="9" xfId="15" applyNumberFormat="1" applyFont="1" applyFill="1" applyBorder="1" applyAlignment="1">
      <alignment vertical="center" wrapText="1"/>
    </xf>
    <xf numFmtId="182" fontId="116" fillId="2" borderId="54" xfId="8" applyNumberFormat="1" applyFont="1" applyFill="1" applyBorder="1" applyAlignment="1" applyProtection="1">
      <alignment vertical="center" wrapText="1" readingOrder="1"/>
      <protection locked="0"/>
    </xf>
    <xf numFmtId="182" fontId="116" fillId="2" borderId="49" xfId="8" applyNumberFormat="1" applyFont="1" applyFill="1" applyBorder="1" applyAlignment="1" applyProtection="1">
      <alignment vertical="center" wrapText="1" readingOrder="1"/>
      <protection locked="0"/>
    </xf>
    <xf numFmtId="175" fontId="91" fillId="0" borderId="13" xfId="15" applyNumberFormat="1" applyFont="1" applyFill="1" applyBorder="1" applyAlignment="1">
      <alignment horizontal="center" vertical="center" wrapText="1"/>
    </xf>
    <xf numFmtId="175" fontId="105" fillId="0" borderId="11" xfId="15" applyNumberFormat="1" applyFont="1" applyFill="1" applyBorder="1" applyAlignment="1">
      <alignment horizontal="center" vertical="center" wrapText="1"/>
    </xf>
    <xf numFmtId="2" fontId="115" fillId="0" borderId="9" xfId="8" applyNumberFormat="1" applyFont="1" applyFill="1" applyBorder="1" applyAlignment="1">
      <alignment horizontal="center" vertical="center" wrapText="1"/>
    </xf>
    <xf numFmtId="0" fontId="91" fillId="0" borderId="11" xfId="8" applyFont="1" applyFill="1" applyBorder="1" applyAlignment="1">
      <alignment horizontal="center" vertical="center" wrapText="1"/>
    </xf>
    <xf numFmtId="0" fontId="31" fillId="0" borderId="14" xfId="8" applyFont="1" applyFill="1" applyBorder="1" applyAlignment="1">
      <alignment horizontal="center" vertical="center" wrapText="1"/>
    </xf>
    <xf numFmtId="0" fontId="105" fillId="0" borderId="3" xfId="8" applyFont="1" applyFill="1" applyBorder="1" applyAlignment="1">
      <alignment horizontal="justify" vertical="center" wrapText="1"/>
    </xf>
    <xf numFmtId="0" fontId="91" fillId="16" borderId="5" xfId="8" applyFont="1" applyFill="1" applyBorder="1" applyAlignment="1">
      <alignment horizontal="center" vertical="center" wrapText="1"/>
    </xf>
    <xf numFmtId="166" fontId="115" fillId="0" borderId="3" xfId="8" applyNumberFormat="1" applyFont="1" applyFill="1" applyBorder="1" applyAlignment="1">
      <alignment horizontal="center" vertical="center" wrapText="1"/>
    </xf>
    <xf numFmtId="176" fontId="91" fillId="0" borderId="14" xfId="8" applyNumberFormat="1" applyFont="1" applyFill="1" applyBorder="1" applyAlignment="1">
      <alignment horizontal="center" vertical="center"/>
    </xf>
    <xf numFmtId="9" fontId="91" fillId="0" borderId="14" xfId="8" applyNumberFormat="1" applyFont="1" applyFill="1" applyBorder="1" applyAlignment="1">
      <alignment horizontal="center" vertical="center"/>
    </xf>
    <xf numFmtId="169" fontId="91" fillId="28" borderId="14" xfId="17" applyNumberFormat="1" applyFont="1" applyFill="1" applyBorder="1"/>
    <xf numFmtId="169" fontId="115" fillId="0" borderId="14" xfId="8" applyNumberFormat="1" applyFont="1" applyFill="1" applyBorder="1" applyAlignment="1">
      <alignment horizontal="center" vertical="center" wrapText="1"/>
    </xf>
    <xf numFmtId="181" fontId="115" fillId="0" borderId="12" xfId="15" applyNumberFormat="1" applyFont="1" applyFill="1" applyBorder="1" applyAlignment="1">
      <alignment vertical="center" wrapText="1"/>
    </xf>
    <xf numFmtId="3" fontId="91" fillId="0" borderId="14" xfId="8" applyNumberFormat="1" applyFont="1" applyFill="1" applyBorder="1" applyAlignment="1">
      <alignment horizontal="center" vertical="center" wrapText="1"/>
    </xf>
    <xf numFmtId="9" fontId="105" fillId="27" borderId="14" xfId="14" applyFont="1" applyFill="1" applyBorder="1" applyAlignment="1">
      <alignment horizontal="center" vertical="center"/>
    </xf>
    <xf numFmtId="3" fontId="91" fillId="27" borderId="14" xfId="8" applyNumberFormat="1" applyFont="1" applyFill="1" applyBorder="1" applyAlignment="1">
      <alignment horizontal="center" vertical="center" wrapText="1"/>
    </xf>
    <xf numFmtId="4" fontId="91" fillId="0" borderId="14" xfId="8" applyNumberFormat="1" applyFont="1" applyFill="1" applyBorder="1" applyAlignment="1">
      <alignment horizontal="center" vertical="center" wrapText="1"/>
    </xf>
    <xf numFmtId="177" fontId="115" fillId="0" borderId="12" xfId="15" applyNumberFormat="1" applyFont="1" applyFill="1" applyBorder="1" applyAlignment="1">
      <alignment vertical="center" wrapText="1"/>
    </xf>
    <xf numFmtId="182" fontId="116" fillId="2" borderId="55" xfId="8" applyNumberFormat="1" applyFont="1" applyFill="1" applyBorder="1" applyAlignment="1" applyProtection="1">
      <alignment vertical="center" wrapText="1" readingOrder="1"/>
      <protection locked="0"/>
    </xf>
    <xf numFmtId="182" fontId="116" fillId="2" borderId="56" xfId="8" applyNumberFormat="1" applyFont="1" applyFill="1" applyBorder="1" applyAlignment="1" applyProtection="1">
      <alignment vertical="center" wrapText="1" readingOrder="1"/>
      <protection locked="0"/>
    </xf>
    <xf numFmtId="9" fontId="105" fillId="2" borderId="14" xfId="14" applyFont="1" applyFill="1" applyBorder="1" applyAlignment="1">
      <alignment horizontal="center" vertical="center"/>
    </xf>
    <xf numFmtId="2" fontId="91" fillId="2" borderId="14" xfId="8" applyNumberFormat="1" applyFont="1" applyFill="1" applyBorder="1" applyAlignment="1">
      <alignment horizontal="center" vertical="center" wrapText="1"/>
    </xf>
    <xf numFmtId="2" fontId="91" fillId="0" borderId="14" xfId="8" applyNumberFormat="1" applyFont="1" applyFill="1" applyBorder="1" applyAlignment="1">
      <alignment horizontal="center" vertical="center" wrapText="1"/>
    </xf>
    <xf numFmtId="175" fontId="115" fillId="0" borderId="14" xfId="15" applyNumberFormat="1" applyFont="1" applyFill="1" applyBorder="1" applyAlignment="1">
      <alignment horizontal="center" vertical="center" wrapText="1"/>
    </xf>
    <xf numFmtId="175" fontId="91" fillId="0" borderId="14" xfId="15" applyNumberFormat="1" applyFont="1" applyFill="1" applyBorder="1" applyAlignment="1">
      <alignment horizontal="center" vertical="center" wrapText="1"/>
    </xf>
    <xf numFmtId="175" fontId="105" fillId="0" borderId="1" xfId="15" applyNumberFormat="1" applyFont="1" applyFill="1" applyBorder="1" applyAlignment="1">
      <alignment horizontal="center" vertical="center" wrapText="1"/>
    </xf>
    <xf numFmtId="9" fontId="31" fillId="0" borderId="14" xfId="14" applyFont="1" applyFill="1" applyBorder="1" applyAlignment="1">
      <alignment horizontal="center" vertical="center"/>
    </xf>
    <xf numFmtId="0" fontId="115" fillId="0" borderId="12" xfId="8" applyFont="1" applyFill="1" applyBorder="1" applyAlignment="1">
      <alignment horizontal="center" vertical="center" wrapText="1"/>
    </xf>
    <xf numFmtId="9" fontId="105" fillId="0" borderId="14" xfId="14" applyFont="1" applyFill="1" applyBorder="1" applyAlignment="1">
      <alignment horizontal="center" vertical="center"/>
    </xf>
    <xf numFmtId="166" fontId="105" fillId="0" borderId="14" xfId="8" applyNumberFormat="1" applyFont="1" applyFill="1" applyBorder="1" applyAlignment="1">
      <alignment horizontal="center" vertical="center"/>
    </xf>
    <xf numFmtId="0" fontId="115" fillId="0" borderId="14" xfId="8" applyFont="1" applyFill="1" applyBorder="1" applyAlignment="1">
      <alignment horizontal="center" vertical="center" wrapText="1"/>
    </xf>
    <xf numFmtId="175" fontId="31" fillId="24" borderId="3" xfId="15" applyNumberFormat="1" applyFont="1" applyFill="1" applyBorder="1" applyAlignment="1">
      <alignment vertical="center"/>
    </xf>
    <xf numFmtId="0" fontId="112" fillId="0" borderId="14" xfId="8" applyFont="1" applyFill="1" applyBorder="1" applyAlignment="1">
      <alignment horizontal="justify" vertical="center" wrapText="1"/>
    </xf>
    <xf numFmtId="0" fontId="119" fillId="17" borderId="3" xfId="8" applyNumberFormat="1" applyFont="1" applyFill="1" applyBorder="1" applyAlignment="1">
      <alignment horizontal="center" vertical="center" wrapText="1"/>
    </xf>
    <xf numFmtId="0" fontId="120" fillId="18" borderId="3" xfId="8" applyNumberFormat="1" applyFont="1" applyFill="1" applyBorder="1" applyAlignment="1">
      <alignment horizontal="center" vertical="center" wrapText="1"/>
    </xf>
    <xf numFmtId="3" fontId="120" fillId="31" borderId="3" xfId="8" applyNumberFormat="1" applyFont="1" applyFill="1" applyBorder="1" applyAlignment="1">
      <alignment horizontal="center" vertical="center" wrapText="1"/>
    </xf>
    <xf numFmtId="0" fontId="120" fillId="30" borderId="3" xfId="8" applyNumberFormat="1" applyFont="1" applyFill="1" applyBorder="1" applyAlignment="1">
      <alignment horizontal="center" vertical="center" wrapText="1"/>
    </xf>
    <xf numFmtId="0" fontId="120" fillId="29" borderId="3" xfId="8" applyNumberFormat="1" applyFont="1" applyFill="1" applyBorder="1" applyAlignment="1">
      <alignment horizontal="center" vertical="center" wrapText="1"/>
    </xf>
    <xf numFmtId="0" fontId="120" fillId="32" borderId="3" xfId="8" applyNumberFormat="1" applyFont="1" applyFill="1" applyBorder="1" applyAlignment="1">
      <alignment horizontal="center" vertical="center" wrapText="1"/>
    </xf>
    <xf numFmtId="0" fontId="120" fillId="33" borderId="3" xfId="8" applyNumberFormat="1" applyFont="1" applyFill="1" applyBorder="1" applyAlignment="1">
      <alignment horizontal="center" vertical="center" wrapText="1"/>
    </xf>
    <xf numFmtId="3" fontId="120" fillId="34" borderId="3" xfId="8" applyNumberFormat="1" applyFont="1" applyFill="1" applyBorder="1" applyAlignment="1">
      <alignment horizontal="center" vertical="center" wrapText="1"/>
    </xf>
    <xf numFmtId="3" fontId="120" fillId="35" borderId="3" xfId="8" applyNumberFormat="1" applyFont="1" applyFill="1" applyBorder="1" applyAlignment="1">
      <alignment horizontal="center" vertical="center" wrapText="1"/>
    </xf>
    <xf numFmtId="0" fontId="120" fillId="17" borderId="3" xfId="8" applyNumberFormat="1" applyFont="1" applyFill="1" applyBorder="1" applyAlignment="1">
      <alignment horizontal="center" vertical="center" wrapText="1"/>
    </xf>
    <xf numFmtId="0" fontId="120" fillId="36" borderId="3" xfId="8" applyNumberFormat="1" applyFont="1" applyFill="1" applyBorder="1" applyAlignment="1">
      <alignment horizontal="center" vertical="center" wrapText="1"/>
    </xf>
    <xf numFmtId="0" fontId="120" fillId="37" borderId="3" xfId="8" applyNumberFormat="1" applyFont="1" applyFill="1" applyBorder="1" applyAlignment="1">
      <alignment horizontal="center" vertical="center" wrapText="1"/>
    </xf>
    <xf numFmtId="0" fontId="120" fillId="12" borderId="3" xfId="8" applyNumberFormat="1" applyFont="1" applyFill="1" applyBorder="1" applyAlignment="1">
      <alignment horizontal="center" vertical="center" wrapText="1"/>
    </xf>
    <xf numFmtId="0" fontId="120" fillId="38" borderId="3" xfId="8" applyNumberFormat="1" applyFont="1" applyFill="1" applyBorder="1" applyAlignment="1">
      <alignment horizontal="center" vertical="center" wrapText="1"/>
    </xf>
    <xf numFmtId="9" fontId="120" fillId="37" borderId="3" xfId="14" applyFont="1" applyFill="1" applyBorder="1" applyAlignment="1">
      <alignment horizontal="center" vertical="center" wrapText="1"/>
    </xf>
    <xf numFmtId="0" fontId="120" fillId="39" borderId="3" xfId="8" applyNumberFormat="1" applyFont="1" applyFill="1" applyBorder="1" applyAlignment="1">
      <alignment horizontal="center" vertical="center" wrapText="1"/>
    </xf>
    <xf numFmtId="0" fontId="95" fillId="0" borderId="0" xfId="8" applyFont="1" applyFill="1" applyAlignment="1">
      <alignment horizontal="center"/>
    </xf>
    <xf numFmtId="0" fontId="91" fillId="0" borderId="14" xfId="8" applyFont="1" applyFill="1" applyBorder="1" applyAlignment="1">
      <alignment horizontal="justify" vertical="center" wrapText="1"/>
    </xf>
    <xf numFmtId="0" fontId="91" fillId="0" borderId="14" xfId="8" applyNumberFormat="1" applyFont="1" applyFill="1" applyBorder="1" applyAlignment="1">
      <alignment horizontal="justify" vertical="center" wrapText="1"/>
    </xf>
    <xf numFmtId="175" fontId="31" fillId="0" borderId="14" xfId="16" applyNumberFormat="1" applyFont="1" applyFill="1" applyBorder="1" applyAlignment="1">
      <alignment horizontal="justify" vertical="center" wrapText="1"/>
    </xf>
    <xf numFmtId="0" fontId="91" fillId="0" borderId="3" xfId="8" applyFont="1" applyFill="1" applyBorder="1" applyAlignment="1">
      <alignment horizontal="justify" vertical="center" wrapText="1"/>
    </xf>
    <xf numFmtId="0" fontId="91" fillId="0" borderId="3" xfId="8" applyNumberFormat="1" applyFont="1" applyFill="1" applyBorder="1" applyAlignment="1">
      <alignment horizontal="justify" vertical="center" wrapText="1"/>
    </xf>
    <xf numFmtId="0" fontId="91" fillId="0" borderId="13" xfId="8" applyFont="1" applyFill="1" applyBorder="1" applyAlignment="1">
      <alignment horizontal="justify" vertical="center" wrapText="1"/>
    </xf>
    <xf numFmtId="0" fontId="105" fillId="0" borderId="3" xfId="8" applyNumberFormat="1" applyFont="1" applyFill="1" applyBorder="1" applyAlignment="1">
      <alignment horizontal="justify" vertical="center" wrapText="1"/>
    </xf>
    <xf numFmtId="0" fontId="105" fillId="0" borderId="13" xfId="8" applyFont="1" applyFill="1" applyBorder="1" applyAlignment="1">
      <alignment horizontal="justify" vertical="center" wrapText="1"/>
    </xf>
    <xf numFmtId="0" fontId="105" fillId="0" borderId="13" xfId="18" applyFont="1" applyFill="1" applyBorder="1" applyAlignment="1">
      <alignment horizontal="justify" vertical="center" wrapText="1"/>
    </xf>
    <xf numFmtId="0" fontId="105" fillId="0" borderId="14" xfId="8" applyFont="1" applyFill="1" applyBorder="1" applyAlignment="1">
      <alignment horizontal="justify" vertical="center" wrapText="1"/>
    </xf>
    <xf numFmtId="0" fontId="105" fillId="0" borderId="14" xfId="18" applyFont="1" applyFill="1" applyBorder="1" applyAlignment="1">
      <alignment horizontal="justify" vertical="center" wrapText="1"/>
    </xf>
    <xf numFmtId="0" fontId="105" fillId="0" borderId="3" xfId="18" applyFont="1" applyFill="1" applyBorder="1" applyAlignment="1">
      <alignment horizontal="justify" wrapText="1"/>
    </xf>
    <xf numFmtId="0" fontId="1" fillId="0" borderId="3" xfId="8" applyFont="1" applyFill="1" applyBorder="1" applyAlignment="1">
      <alignment horizontal="justify" vertical="center" wrapText="1"/>
    </xf>
    <xf numFmtId="0" fontId="122" fillId="26" borderId="0" xfId="8" applyFont="1" applyFill="1" applyBorder="1" applyAlignment="1">
      <alignment horizontal="center"/>
    </xf>
    <xf numFmtId="0" fontId="123" fillId="20" borderId="14" xfId="8" applyFont="1" applyFill="1" applyBorder="1" applyAlignment="1">
      <alignment horizontal="center" vertical="center" wrapText="1"/>
    </xf>
    <xf numFmtId="0" fontId="123" fillId="20" borderId="3" xfId="8" applyFont="1" applyFill="1" applyBorder="1" applyAlignment="1">
      <alignment horizontal="center" vertical="center" wrapText="1"/>
    </xf>
    <xf numFmtId="0" fontId="123" fillId="20" borderId="13" xfId="8" applyFont="1" applyFill="1" applyBorder="1" applyAlignment="1">
      <alignment horizontal="center" vertical="center" wrapText="1"/>
    </xf>
    <xf numFmtId="0" fontId="25" fillId="18" borderId="3" xfId="0" applyNumberFormat="1" applyFont="1" applyFill="1" applyBorder="1" applyAlignment="1">
      <alignment horizontal="center" vertical="center" wrapText="1"/>
    </xf>
    <xf numFmtId="3" fontId="87" fillId="0" borderId="3" xfId="0" applyNumberFormat="1" applyFont="1" applyFill="1" applyBorder="1" applyAlignment="1">
      <alignment horizontal="center" vertical="center" wrapText="1"/>
    </xf>
    <xf numFmtId="3" fontId="74" fillId="0" borderId="48" xfId="2" applyNumberFormat="1" applyFont="1" applyFill="1" applyBorder="1" applyAlignment="1" applyProtection="1">
      <alignment horizontal="center" vertical="center" wrapText="1"/>
      <protection hidden="1"/>
    </xf>
    <xf numFmtId="3" fontId="76" fillId="0" borderId="3" xfId="7" applyNumberFormat="1" applyFont="1" applyFill="1" applyBorder="1" applyAlignment="1" applyProtection="1">
      <alignment horizontal="center" vertical="center"/>
      <protection hidden="1"/>
    </xf>
    <xf numFmtId="3" fontId="74" fillId="0" borderId="37" xfId="2" applyNumberFormat="1" applyFont="1" applyFill="1" applyBorder="1" applyAlignment="1" applyProtection="1">
      <alignment horizontal="center" vertical="center" wrapText="1"/>
      <protection hidden="1"/>
    </xf>
    <xf numFmtId="3" fontId="74" fillId="0" borderId="39" xfId="2" applyNumberFormat="1" applyFont="1" applyFill="1" applyBorder="1" applyAlignment="1" applyProtection="1">
      <alignment horizontal="center" vertical="center" wrapText="1"/>
      <protection hidden="1"/>
    </xf>
    <xf numFmtId="3" fontId="74" fillId="0" borderId="30" xfId="2" applyNumberFormat="1" applyFont="1" applyFill="1" applyBorder="1" applyAlignment="1" applyProtection="1">
      <alignment horizontal="center" vertical="center" wrapText="1"/>
      <protection hidden="1"/>
    </xf>
    <xf numFmtId="3" fontId="74" fillId="0" borderId="44" xfId="2" applyNumberFormat="1" applyFont="1" applyFill="1" applyBorder="1" applyAlignment="1" applyProtection="1">
      <alignment horizontal="center" vertical="center" wrapText="1"/>
      <protection hidden="1"/>
    </xf>
    <xf numFmtId="169" fontId="105" fillId="0" borderId="14" xfId="8" applyNumberFormat="1" applyFont="1" applyFill="1" applyBorder="1" applyAlignment="1">
      <alignment horizontal="center" vertical="center"/>
    </xf>
    <xf numFmtId="0" fontId="35" fillId="6" borderId="3" xfId="7" applyNumberFormat="1" applyFont="1" applyFill="1" applyBorder="1" applyAlignment="1">
      <alignment horizontal="center" vertical="center" wrapText="1"/>
    </xf>
    <xf numFmtId="3" fontId="35" fillId="6" borderId="3" xfId="7" applyNumberFormat="1" applyFont="1" applyFill="1" applyBorder="1" applyAlignment="1">
      <alignment horizontal="center" vertical="center" wrapText="1"/>
    </xf>
    <xf numFmtId="0" fontId="125" fillId="5" borderId="3" xfId="7" applyFont="1" applyFill="1" applyBorder="1" applyAlignment="1">
      <alignment horizontal="center" vertical="center"/>
    </xf>
    <xf numFmtId="0" fontId="125" fillId="5" borderId="13" xfId="7" applyFont="1" applyFill="1" applyBorder="1" applyAlignment="1">
      <alignment horizontal="center" vertical="center"/>
    </xf>
    <xf numFmtId="0" fontId="48" fillId="0" borderId="3" xfId="7" applyFont="1" applyFill="1" applyBorder="1" applyAlignment="1">
      <alignment horizontal="center" vertical="center" wrapText="1"/>
    </xf>
    <xf numFmtId="0" fontId="126" fillId="0" borderId="0" xfId="7" applyFont="1" applyFill="1" applyBorder="1" applyAlignment="1" applyProtection="1">
      <alignment horizontal="center"/>
      <protection hidden="1"/>
    </xf>
    <xf numFmtId="164" fontId="32" fillId="0" borderId="0" xfId="7" applyNumberFormat="1" applyFont="1" applyFill="1" applyBorder="1" applyProtection="1">
      <protection hidden="1"/>
    </xf>
    <xf numFmtId="0" fontId="57" fillId="0" borderId="0" xfId="8" applyFont="1" applyFill="1" applyBorder="1"/>
    <xf numFmtId="0" fontId="57" fillId="0" borderId="0" xfId="8" applyFont="1" applyFill="1" applyBorder="1" applyAlignment="1">
      <alignment horizontal="center" vertical="center"/>
    </xf>
    <xf numFmtId="0" fontId="127" fillId="0" borderId="0" xfId="8" applyFont="1" applyFill="1" applyBorder="1"/>
    <xf numFmtId="0" fontId="128" fillId="0" borderId="0" xfId="8" applyFont="1" applyFill="1" applyBorder="1"/>
    <xf numFmtId="0" fontId="57" fillId="0" borderId="0" xfId="8" applyFont="1" applyFill="1" applyBorder="1" applyAlignment="1"/>
    <xf numFmtId="0" fontId="129" fillId="0" borderId="0" xfId="8" applyFont="1" applyFill="1" applyBorder="1"/>
    <xf numFmtId="0" fontId="129" fillId="0" borderId="0" xfId="8" applyFont="1" applyFill="1" applyBorder="1" applyAlignment="1">
      <alignment horizontal="center"/>
    </xf>
    <xf numFmtId="0" fontId="57" fillId="0" borderId="0" xfId="8" applyFont="1" applyFill="1" applyBorder="1" applyAlignment="1">
      <alignment vertical="center"/>
    </xf>
    <xf numFmtId="49" fontId="130" fillId="0" borderId="0" xfId="0" applyNumberFormat="1" applyFont="1" applyFill="1" applyBorder="1" applyAlignment="1">
      <alignment horizontal="center" vertical="center" wrapText="1"/>
    </xf>
    <xf numFmtId="0" fontId="131" fillId="0" borderId="0" xfId="0" applyFont="1" applyFill="1" applyBorder="1" applyAlignment="1">
      <alignment horizontal="center" vertical="center"/>
    </xf>
    <xf numFmtId="0" fontId="132" fillId="0" borderId="0" xfId="0" applyFont="1" applyFill="1" applyBorder="1" applyProtection="1">
      <protection hidden="1"/>
    </xf>
    <xf numFmtId="0" fontId="132" fillId="0" borderId="0" xfId="0" applyFont="1" applyFill="1" applyBorder="1" applyAlignment="1">
      <alignment horizontal="justify" vertical="center" wrapText="1"/>
    </xf>
    <xf numFmtId="0" fontId="131" fillId="0" borderId="0" xfId="0" applyFont="1" applyFill="1" applyBorder="1" applyAlignment="1">
      <alignment horizontal="center"/>
    </xf>
    <xf numFmtId="0" fontId="120" fillId="6" borderId="3" xfId="8" applyNumberFormat="1" applyFont="1" applyFill="1" applyBorder="1" applyAlignment="1">
      <alignment horizontal="center" vertical="center" wrapText="1"/>
    </xf>
    <xf numFmtId="3" fontId="87" fillId="0" borderId="15" xfId="0" applyNumberFormat="1" applyFont="1" applyFill="1" applyBorder="1" applyAlignment="1">
      <alignment horizontal="center" vertical="center" wrapText="1"/>
    </xf>
    <xf numFmtId="0" fontId="129" fillId="0" borderId="0" xfId="8" applyFont="1" applyFill="1" applyBorder="1" applyAlignment="1" applyProtection="1">
      <alignment horizontal="center"/>
    </xf>
    <xf numFmtId="0" fontId="120" fillId="16" borderId="3" xfId="8" applyNumberFormat="1" applyFont="1" applyFill="1" applyBorder="1" applyAlignment="1">
      <alignment horizontal="center" vertical="center" wrapText="1"/>
    </xf>
    <xf numFmtId="0" fontId="120" fillId="9" borderId="3" xfId="8" applyNumberFormat="1" applyFont="1" applyFill="1" applyBorder="1" applyAlignment="1">
      <alignment horizontal="center" vertical="center" wrapText="1"/>
    </xf>
    <xf numFmtId="0" fontId="120" fillId="33" borderId="3" xfId="8" applyNumberFormat="1" applyFont="1" applyFill="1" applyBorder="1" applyAlignment="1" applyProtection="1">
      <alignment horizontal="center" vertical="center" wrapText="1"/>
    </xf>
    <xf numFmtId="0" fontId="31" fillId="2" borderId="0" xfId="8" applyFont="1" applyFill="1" applyBorder="1"/>
    <xf numFmtId="0" fontId="31" fillId="2" borderId="0" xfId="8" applyFont="1" applyFill="1" applyBorder="1" applyAlignment="1">
      <alignment horizontal="center" vertical="center"/>
    </xf>
    <xf numFmtId="0" fontId="113" fillId="2" borderId="0" xfId="8" applyFont="1" applyFill="1" applyBorder="1"/>
    <xf numFmtId="0" fontId="1" fillId="2" borderId="0" xfId="8" applyFont="1" applyFill="1" applyBorder="1"/>
    <xf numFmtId="0" fontId="31" fillId="2" borderId="0" xfId="8" applyFont="1" applyFill="1" applyBorder="1" applyAlignment="1"/>
    <xf numFmtId="0" fontId="62" fillId="2" borderId="0" xfId="8" applyFont="1" applyFill="1" applyBorder="1"/>
    <xf numFmtId="0" fontId="62" fillId="2" borderId="0" xfId="8" applyFont="1" applyFill="1" applyBorder="1" applyAlignment="1">
      <alignment horizontal="center"/>
    </xf>
    <xf numFmtId="0" fontId="62" fillId="2" borderId="0" xfId="8" applyFont="1" applyFill="1" applyBorder="1" applyAlignment="1" applyProtection="1">
      <alignment horizontal="center"/>
    </xf>
    <xf numFmtId="0" fontId="31" fillId="2" borderId="0" xfId="8" applyFont="1" applyFill="1" applyBorder="1" applyAlignment="1">
      <alignment vertical="center"/>
    </xf>
    <xf numFmtId="0" fontId="57" fillId="27" borderId="0" xfId="8" applyFont="1" applyFill="1" applyBorder="1" applyAlignment="1">
      <alignment vertical="center"/>
    </xf>
    <xf numFmtId="0" fontId="61" fillId="0" borderId="0" xfId="8" applyFont="1" applyFill="1" applyBorder="1"/>
    <xf numFmtId="49" fontId="130" fillId="0" borderId="3" xfId="0" applyNumberFormat="1" applyFont="1" applyFill="1" applyBorder="1" applyAlignment="1">
      <alignment horizontal="center" vertical="center" wrapText="1"/>
    </xf>
    <xf numFmtId="49" fontId="130" fillId="0" borderId="5" xfId="0" applyNumberFormat="1" applyFont="1" applyFill="1" applyBorder="1" applyAlignment="1">
      <alignment horizontal="center" vertical="center" wrapText="1"/>
    </xf>
    <xf numFmtId="0" fontId="131" fillId="0" borderId="3" xfId="0" applyFont="1" applyFill="1" applyBorder="1" applyAlignment="1">
      <alignment horizontal="center" vertical="center"/>
    </xf>
    <xf numFmtId="0" fontId="132" fillId="0" borderId="0" xfId="0" applyFont="1" applyFill="1" applyBorder="1" applyAlignment="1" applyProtection="1">
      <protection hidden="1"/>
    </xf>
    <xf numFmtId="0" fontId="55" fillId="0" borderId="0" xfId="0" applyFont="1" applyFill="1" applyBorder="1" applyProtection="1">
      <protection hidden="1"/>
    </xf>
    <xf numFmtId="0" fontId="133" fillId="0" borderId="0" xfId="0" applyFont="1" applyFill="1" applyBorder="1"/>
    <xf numFmtId="0" fontId="131" fillId="0" borderId="3" xfId="0" applyFont="1" applyFill="1" applyBorder="1" applyAlignment="1">
      <alignment horizontal="center"/>
    </xf>
    <xf numFmtId="0" fontId="131" fillId="0" borderId="15" xfId="0" applyFont="1" applyFill="1" applyBorder="1" applyAlignment="1">
      <alignment horizontal="center" vertical="center"/>
    </xf>
    <xf numFmtId="0" fontId="57" fillId="2" borderId="0" xfId="8" applyFont="1" applyFill="1" applyBorder="1" applyAlignment="1">
      <alignment vertical="center"/>
    </xf>
    <xf numFmtId="0" fontId="112" fillId="0" borderId="13" xfId="8" applyFont="1" applyFill="1" applyBorder="1" applyAlignment="1">
      <alignment horizontal="justify" vertical="center" wrapText="1"/>
    </xf>
    <xf numFmtId="0" fontId="115" fillId="0" borderId="13" xfId="8" applyFont="1" applyFill="1" applyBorder="1" applyAlignment="1">
      <alignment horizontal="center" vertical="center" wrapText="1"/>
    </xf>
    <xf numFmtId="175" fontId="115" fillId="2" borderId="4" xfId="15" applyNumberFormat="1" applyFont="1" applyFill="1" applyBorder="1" applyAlignment="1">
      <alignment vertical="center" wrapText="1"/>
    </xf>
    <xf numFmtId="2" fontId="115" fillId="27" borderId="4" xfId="15" applyNumberFormat="1" applyFont="1" applyFill="1" applyBorder="1" applyAlignment="1">
      <alignment vertical="center" wrapText="1"/>
    </xf>
    <xf numFmtId="2" fontId="115" fillId="0" borderId="13" xfId="15" applyNumberFormat="1" applyFont="1" applyFill="1" applyBorder="1" applyAlignment="1">
      <alignment vertical="center" wrapText="1"/>
    </xf>
    <xf numFmtId="2" fontId="115" fillId="0" borderId="4" xfId="15" applyNumberFormat="1" applyFont="1" applyFill="1" applyBorder="1" applyAlignment="1">
      <alignment vertical="center" wrapText="1"/>
    </xf>
    <xf numFmtId="3" fontId="105" fillId="0" borderId="13" xfId="8" applyNumberFormat="1" applyFont="1" applyBorder="1"/>
    <xf numFmtId="169" fontId="115" fillId="0" borderId="4" xfId="8" applyNumberFormat="1" applyFont="1" applyFill="1" applyBorder="1" applyAlignment="1">
      <alignment horizontal="center" vertical="center" wrapText="1"/>
    </xf>
    <xf numFmtId="2" fontId="115" fillId="0" borderId="15" xfId="8" applyNumberFormat="1" applyFont="1" applyFill="1" applyBorder="1" applyAlignment="1">
      <alignment horizontal="center" vertical="center" wrapText="1"/>
    </xf>
    <xf numFmtId="169" fontId="115" fillId="0" borderId="4" xfId="15" applyNumberFormat="1" applyFont="1" applyFill="1" applyBorder="1" applyAlignment="1">
      <alignment vertical="center" wrapText="1"/>
    </xf>
    <xf numFmtId="169" fontId="91" fillId="28" borderId="13" xfId="17" applyNumberFormat="1" applyFont="1" applyFill="1" applyBorder="1"/>
    <xf numFmtId="175" fontId="115" fillId="2" borderId="3" xfId="15" applyNumberFormat="1" applyFont="1" applyFill="1" applyBorder="1" applyAlignment="1">
      <alignment vertical="center" wrapText="1"/>
    </xf>
    <xf numFmtId="177" fontId="115" fillId="2" borderId="3" xfId="15" applyNumberFormat="1" applyFont="1" applyFill="1" applyBorder="1" applyAlignment="1">
      <alignment vertical="center" wrapText="1"/>
    </xf>
    <xf numFmtId="169" fontId="115" fillId="0" borderId="3" xfId="15" applyNumberFormat="1" applyFont="1" applyFill="1" applyBorder="1" applyAlignment="1">
      <alignment vertical="center" wrapText="1"/>
    </xf>
    <xf numFmtId="2" fontId="105" fillId="0" borderId="3" xfId="8" applyNumberFormat="1" applyFont="1" applyFill="1" applyBorder="1"/>
    <xf numFmtId="2" fontId="115" fillId="25" borderId="3" xfId="15" applyNumberFormat="1" applyFont="1" applyFill="1" applyBorder="1" applyAlignment="1" applyProtection="1">
      <alignment vertical="center" wrapText="1"/>
      <protection locked="0"/>
    </xf>
    <xf numFmtId="0" fontId="114" fillId="25" borderId="3" xfId="0" applyFont="1" applyFill="1" applyBorder="1" applyProtection="1">
      <protection locked="0"/>
    </xf>
    <xf numFmtId="2" fontId="115" fillId="27" borderId="7" xfId="15" applyNumberFormat="1" applyFont="1" applyFill="1" applyBorder="1" applyAlignment="1">
      <alignment vertical="center" wrapText="1"/>
    </xf>
    <xf numFmtId="182" fontId="135" fillId="25" borderId="3" xfId="0" applyNumberFormat="1" applyFont="1" applyFill="1" applyBorder="1" applyAlignment="1" applyProtection="1">
      <alignment vertical="center" wrapText="1" readingOrder="1"/>
      <protection locked="0"/>
    </xf>
    <xf numFmtId="0" fontId="135" fillId="25" borderId="3" xfId="0" applyFont="1" applyFill="1" applyBorder="1" applyAlignment="1" applyProtection="1">
      <alignment vertical="center" wrapText="1" readingOrder="1"/>
      <protection locked="0"/>
    </xf>
    <xf numFmtId="186" fontId="135" fillId="25" borderId="3" xfId="0" applyNumberFormat="1" applyFont="1" applyFill="1" applyBorder="1" applyAlignment="1" applyProtection="1">
      <alignment vertical="center" wrapText="1" readingOrder="1"/>
      <protection locked="0"/>
    </xf>
    <xf numFmtId="0" fontId="3" fillId="6" borderId="0" xfId="0" applyFont="1" applyFill="1" applyBorder="1" applyProtection="1">
      <protection hidden="1"/>
    </xf>
    <xf numFmtId="0" fontId="13" fillId="6" borderId="0" xfId="0" applyFont="1" applyFill="1" applyBorder="1" applyProtection="1">
      <protection hidden="1"/>
    </xf>
    <xf numFmtId="0" fontId="18" fillId="6" borderId="0" xfId="0" applyFont="1" applyFill="1" applyBorder="1" applyProtection="1">
      <protection hidden="1"/>
    </xf>
    <xf numFmtId="0" fontId="25" fillId="6" borderId="0" xfId="0" applyFont="1" applyFill="1" applyBorder="1" applyProtection="1">
      <protection hidden="1"/>
    </xf>
    <xf numFmtId="174" fontId="15" fillId="6" borderId="0" xfId="0" applyNumberFormat="1" applyFont="1" applyFill="1" applyBorder="1" applyAlignment="1" applyProtection="1">
      <alignment horizontal="center"/>
    </xf>
    <xf numFmtId="0" fontId="48" fillId="6" borderId="0" xfId="0" applyFont="1" applyFill="1" applyBorder="1" applyAlignment="1" applyProtection="1">
      <alignment vertical="center"/>
      <protection hidden="1"/>
    </xf>
    <xf numFmtId="1" fontId="108" fillId="6" borderId="0" xfId="0" applyNumberFormat="1" applyFont="1" applyFill="1" applyBorder="1" applyAlignment="1" applyProtection="1">
      <alignment horizontal="center" vertical="center"/>
      <protection hidden="1"/>
    </xf>
    <xf numFmtId="0" fontId="51" fillId="6" borderId="0" xfId="0" applyFont="1" applyFill="1" applyBorder="1" applyAlignment="1" applyProtection="1">
      <alignment vertical="center"/>
      <protection hidden="1"/>
    </xf>
    <xf numFmtId="173" fontId="18" fillId="6" borderId="0" xfId="13" applyNumberFormat="1" applyFont="1" applyFill="1" applyBorder="1" applyAlignment="1" applyProtection="1">
      <alignment vertical="center"/>
      <protection hidden="1"/>
    </xf>
    <xf numFmtId="0" fontId="48" fillId="6" borderId="0" xfId="0" applyFont="1" applyFill="1" applyBorder="1" applyAlignment="1" applyProtection="1">
      <protection hidden="1"/>
    </xf>
    <xf numFmtId="0" fontId="79" fillId="6" borderId="0" xfId="0" applyFont="1" applyFill="1" applyBorder="1" applyAlignment="1" applyProtection="1">
      <alignment vertical="center" shrinkToFit="1"/>
      <protection locked="0" hidden="1"/>
    </xf>
    <xf numFmtId="0" fontId="32" fillId="6" borderId="0" xfId="0" applyFont="1" applyFill="1" applyBorder="1" applyProtection="1">
      <protection hidden="1"/>
    </xf>
    <xf numFmtId="0" fontId="13" fillId="6" borderId="0" xfId="0" applyNumberFormat="1" applyFont="1" applyFill="1" applyBorder="1" applyAlignment="1" applyProtection="1">
      <alignment vertical="center"/>
      <protection hidden="1"/>
    </xf>
    <xf numFmtId="0" fontId="18" fillId="6" borderId="0" xfId="0" applyFont="1" applyFill="1" applyBorder="1" applyAlignment="1" applyProtection="1">
      <alignment horizontal="center"/>
      <protection hidden="1"/>
    </xf>
    <xf numFmtId="0" fontId="33" fillId="6" borderId="0" xfId="0" applyFont="1" applyFill="1" applyBorder="1" applyAlignment="1" applyProtection="1">
      <alignment horizontal="center" vertical="center"/>
      <protection hidden="1"/>
    </xf>
    <xf numFmtId="0" fontId="10" fillId="6" borderId="0" xfId="1" applyFill="1" applyAlignment="1" applyProtection="1"/>
    <xf numFmtId="0" fontId="18" fillId="6" borderId="0" xfId="0" applyFont="1" applyFill="1" applyBorder="1" applyAlignment="1" applyProtection="1">
      <alignment horizontal="center" vertical="center"/>
      <protection hidden="1"/>
    </xf>
    <xf numFmtId="0" fontId="86" fillId="6" borderId="0" xfId="0" applyFont="1" applyFill="1" applyBorder="1" applyAlignment="1" applyProtection="1">
      <alignment horizontal="center" vertical="center"/>
      <protection hidden="1"/>
    </xf>
    <xf numFmtId="0" fontId="34" fillId="6" borderId="0" xfId="0" applyFont="1" applyFill="1" applyBorder="1" applyAlignment="1" applyProtection="1">
      <alignment horizontal="left" vertical="top" wrapText="1" readingOrder="1"/>
      <protection hidden="1"/>
    </xf>
    <xf numFmtId="0" fontId="87" fillId="6" borderId="0" xfId="0" applyFont="1" applyFill="1" applyBorder="1" applyAlignment="1" applyProtection="1">
      <alignment horizontal="left" vertical="top" wrapText="1" readingOrder="1"/>
      <protection hidden="1"/>
    </xf>
    <xf numFmtId="0" fontId="13" fillId="6" borderId="0" xfId="0" applyFont="1" applyFill="1" applyBorder="1" applyAlignment="1" applyProtection="1">
      <alignment horizontal="left" vertical="top" wrapText="1" readingOrder="1"/>
      <protection hidden="1"/>
    </xf>
    <xf numFmtId="0" fontId="18" fillId="6" borderId="0" xfId="0" applyFont="1" applyFill="1" applyBorder="1" applyAlignment="1" applyProtection="1">
      <alignment horizontal="left" vertical="top" wrapText="1" readingOrder="1"/>
      <protection hidden="1"/>
    </xf>
    <xf numFmtId="10" fontId="3" fillId="6" borderId="0" xfId="13" applyNumberFormat="1" applyFont="1" applyFill="1" applyBorder="1" applyProtection="1">
      <protection hidden="1"/>
    </xf>
    <xf numFmtId="0" fontId="14" fillId="6" borderId="0" xfId="0" applyFont="1" applyFill="1" applyBorder="1" applyAlignment="1" applyProtection="1">
      <alignment horizontal="center"/>
      <protection hidden="1"/>
    </xf>
    <xf numFmtId="0" fontId="28" fillId="6" borderId="0" xfId="0" applyFont="1" applyFill="1" applyBorder="1" applyAlignment="1" applyProtection="1">
      <alignment horizontal="center"/>
      <protection hidden="1"/>
    </xf>
    <xf numFmtId="0" fontId="13" fillId="6" borderId="0" xfId="0" applyFont="1" applyFill="1" applyBorder="1" applyAlignment="1" applyProtection="1">
      <alignment vertical="center" wrapText="1"/>
      <protection hidden="1"/>
    </xf>
    <xf numFmtId="0" fontId="18" fillId="6" borderId="0" xfId="0" applyFont="1" applyFill="1" applyBorder="1" applyAlignment="1" applyProtection="1">
      <alignment vertical="center" wrapText="1"/>
      <protection hidden="1"/>
    </xf>
    <xf numFmtId="0" fontId="9" fillId="6" borderId="0" xfId="0" applyFont="1" applyFill="1" applyBorder="1" applyAlignment="1">
      <alignment vertical="center" wrapText="1"/>
    </xf>
    <xf numFmtId="0" fontId="13" fillId="6" borderId="0" xfId="0" applyFont="1" applyFill="1" applyBorder="1" applyAlignment="1" applyProtection="1">
      <alignment vertical="top" wrapText="1"/>
      <protection hidden="1"/>
    </xf>
    <xf numFmtId="0" fontId="18" fillId="6" borderId="0" xfId="0" applyFont="1" applyFill="1" applyBorder="1" applyAlignment="1" applyProtection="1">
      <alignment vertical="top" wrapText="1"/>
      <protection hidden="1"/>
    </xf>
    <xf numFmtId="0" fontId="8" fillId="6" borderId="0" xfId="0" applyNumberFormat="1" applyFont="1" applyFill="1" applyBorder="1" applyAlignment="1" applyProtection="1">
      <alignment vertical="center" wrapText="1"/>
      <protection hidden="1"/>
    </xf>
    <xf numFmtId="0" fontId="7" fillId="6" borderId="0" xfId="0" applyFont="1" applyFill="1" applyBorder="1" applyAlignment="1">
      <alignment horizontal="left" vertical="center" wrapText="1"/>
    </xf>
    <xf numFmtId="0" fontId="8" fillId="6" borderId="0" xfId="0" applyFont="1" applyFill="1" applyBorder="1" applyAlignment="1" applyProtection="1">
      <alignment vertical="center" wrapText="1"/>
      <protection hidden="1"/>
    </xf>
    <xf numFmtId="3" fontId="8" fillId="6" borderId="0" xfId="0" applyNumberFormat="1" applyFont="1" applyFill="1" applyBorder="1" applyAlignment="1" applyProtection="1">
      <alignment horizontal="right" vertical="center"/>
      <protection hidden="1"/>
    </xf>
    <xf numFmtId="3" fontId="24" fillId="6" borderId="0" xfId="0" applyNumberFormat="1" applyFont="1" applyFill="1" applyBorder="1" applyAlignment="1" applyProtection="1">
      <alignment horizontal="left" vertical="center"/>
      <protection hidden="1"/>
    </xf>
    <xf numFmtId="0" fontId="3" fillId="6" borderId="0" xfId="0" applyFont="1" applyFill="1" applyBorder="1" applyAlignment="1" applyProtection="1">
      <alignment vertical="center" wrapText="1"/>
      <protection hidden="1"/>
    </xf>
    <xf numFmtId="3" fontId="5" fillId="6" borderId="0" xfId="0" applyNumberFormat="1" applyFont="1" applyFill="1" applyBorder="1" applyAlignment="1" applyProtection="1">
      <alignment horizontal="left" vertical="center"/>
      <protection hidden="1"/>
    </xf>
    <xf numFmtId="0" fontId="3" fillId="6" borderId="0" xfId="0" applyFont="1" applyFill="1" applyBorder="1" applyAlignment="1" applyProtection="1">
      <alignment vertical="top" wrapText="1"/>
      <protection hidden="1"/>
    </xf>
    <xf numFmtId="166" fontId="115" fillId="6" borderId="0" xfId="0" applyNumberFormat="1" applyFont="1" applyFill="1" applyBorder="1" applyAlignment="1">
      <alignment horizontal="center" vertical="center" wrapText="1"/>
    </xf>
    <xf numFmtId="49" fontId="22" fillId="12" borderId="64" xfId="10" applyNumberFormat="1" applyFont="1" applyFill="1" applyBorder="1" applyAlignment="1">
      <alignment horizontal="left" vertical="center"/>
    </xf>
    <xf numFmtId="0" fontId="85" fillId="43" borderId="64" xfId="0" applyNumberFormat="1" applyFont="1" applyFill="1" applyBorder="1" applyAlignment="1" applyProtection="1">
      <alignment horizontal="center" vertical="center"/>
      <protection hidden="1"/>
    </xf>
    <xf numFmtId="0" fontId="8" fillId="12" borderId="64" xfId="0" applyNumberFormat="1" applyFont="1" applyFill="1" applyBorder="1" applyAlignment="1" applyProtection="1">
      <alignment horizontal="center" vertical="center" wrapText="1"/>
      <protection hidden="1"/>
    </xf>
    <xf numFmtId="0" fontId="134" fillId="43" borderId="64" xfId="0" applyNumberFormat="1" applyFont="1" applyFill="1" applyBorder="1" applyAlignment="1" applyProtection="1">
      <alignment horizontal="center" vertical="center"/>
      <protection hidden="1"/>
    </xf>
    <xf numFmtId="49" fontId="11" fillId="12" borderId="64" xfId="10" applyNumberFormat="1" applyFont="1" applyFill="1" applyBorder="1" applyAlignment="1">
      <alignment horizontal="left" vertical="center"/>
    </xf>
    <xf numFmtId="0" fontId="7" fillId="12" borderId="64" xfId="0" applyNumberFormat="1" applyFont="1" applyFill="1" applyBorder="1" applyAlignment="1" applyProtection="1">
      <alignment horizontal="center" vertical="center"/>
      <protection hidden="1"/>
    </xf>
    <xf numFmtId="49" fontId="11" fillId="12" borderId="64" xfId="10" applyNumberFormat="1" applyFont="1" applyFill="1" applyBorder="1" applyAlignment="1">
      <alignment vertical="center"/>
    </xf>
    <xf numFmtId="165" fontId="2" fillId="43" borderId="64" xfId="0" applyNumberFormat="1" applyFont="1" applyFill="1" applyBorder="1" applyAlignment="1" applyProtection="1">
      <alignment horizontal="center" vertical="center"/>
      <protection hidden="1"/>
    </xf>
    <xf numFmtId="0" fontId="26" fillId="12" borderId="64" xfId="0" applyNumberFormat="1" applyFont="1" applyFill="1" applyBorder="1" applyAlignment="1" applyProtection="1">
      <alignment horizontal="center" vertical="center"/>
      <protection hidden="1"/>
    </xf>
    <xf numFmtId="49" fontId="16" fillId="12" borderId="64" xfId="10" applyNumberFormat="1" applyFont="1" applyFill="1" applyBorder="1" applyAlignment="1">
      <alignment horizontal="center" vertical="center" wrapText="1"/>
    </xf>
    <xf numFmtId="0" fontId="3" fillId="12" borderId="64" xfId="0" applyFont="1" applyFill="1" applyBorder="1" applyAlignment="1" applyProtection="1">
      <alignment horizontal="center" vertical="center" wrapText="1"/>
      <protection hidden="1"/>
    </xf>
    <xf numFmtId="0" fontId="109" fillId="6" borderId="64" xfId="10" applyNumberFormat="1" applyFont="1" applyFill="1" applyBorder="1" applyAlignment="1">
      <alignment horizontal="center" vertical="center"/>
    </xf>
    <xf numFmtId="170" fontId="110" fillId="6" borderId="64" xfId="2" applyNumberFormat="1" applyFont="1" applyFill="1" applyBorder="1" applyAlignment="1" applyProtection="1">
      <alignment horizontal="center" vertical="center"/>
      <protection hidden="1"/>
    </xf>
    <xf numFmtId="167" fontId="110" fillId="6" borderId="64" xfId="0" applyNumberFormat="1" applyFont="1" applyFill="1" applyBorder="1" applyAlignment="1" applyProtection="1">
      <alignment horizontal="center" vertical="center"/>
      <protection hidden="1"/>
    </xf>
    <xf numFmtId="1" fontId="110" fillId="6" borderId="64" xfId="0" applyNumberFormat="1" applyFont="1" applyFill="1" applyBorder="1" applyAlignment="1" applyProtection="1">
      <alignment horizontal="center" vertical="center"/>
      <protection hidden="1"/>
    </xf>
    <xf numFmtId="167" fontId="110" fillId="6" borderId="64" xfId="2" applyNumberFormat="1" applyFont="1" applyFill="1" applyBorder="1" applyAlignment="1" applyProtection="1">
      <alignment horizontal="right" vertical="center"/>
      <protection hidden="1"/>
    </xf>
    <xf numFmtId="166" fontId="110" fillId="6" borderId="64" xfId="13" applyNumberFormat="1" applyFont="1" applyFill="1" applyBorder="1" applyAlignment="1" applyProtection="1">
      <alignment horizontal="right" vertical="center"/>
      <protection hidden="1"/>
    </xf>
    <xf numFmtId="167" fontId="110" fillId="6" borderId="64" xfId="2" applyNumberFormat="1" applyFont="1" applyFill="1" applyBorder="1" applyAlignment="1" applyProtection="1">
      <alignment horizontal="center" vertical="center"/>
      <protection hidden="1"/>
    </xf>
    <xf numFmtId="166" fontId="136" fillId="6" borderId="64" xfId="13" applyNumberFormat="1" applyFont="1" applyFill="1" applyBorder="1" applyAlignment="1" applyProtection="1">
      <alignment vertical="center"/>
      <protection hidden="1"/>
    </xf>
    <xf numFmtId="166" fontId="110" fillId="6" borderId="64" xfId="13" applyNumberFormat="1" applyFont="1" applyFill="1" applyBorder="1" applyAlignment="1" applyProtection="1">
      <alignment horizontal="left" vertical="top"/>
      <protection hidden="1"/>
    </xf>
    <xf numFmtId="0" fontId="109" fillId="43" borderId="64" xfId="10" applyNumberFormat="1" applyFont="1" applyFill="1" applyBorder="1" applyAlignment="1">
      <alignment horizontal="center" vertical="center"/>
    </xf>
    <xf numFmtId="170" fontId="110" fillId="43" borderId="64" xfId="2" applyNumberFormat="1" applyFont="1" applyFill="1" applyBorder="1" applyAlignment="1" applyProtection="1">
      <alignment horizontal="center" vertical="center"/>
      <protection hidden="1"/>
    </xf>
    <xf numFmtId="170" fontId="110" fillId="43" borderId="64" xfId="0" applyNumberFormat="1" applyFont="1" applyFill="1" applyBorder="1" applyAlignment="1" applyProtection="1">
      <alignment horizontal="center" vertical="center"/>
      <protection hidden="1"/>
    </xf>
    <xf numFmtId="1" fontId="110" fillId="43" borderId="64" xfId="0" applyNumberFormat="1" applyFont="1" applyFill="1" applyBorder="1" applyAlignment="1" applyProtection="1">
      <alignment horizontal="center" vertical="center"/>
      <protection hidden="1"/>
    </xf>
    <xf numFmtId="170" fontId="110" fillId="43" borderId="64" xfId="2" applyNumberFormat="1" applyFont="1" applyFill="1" applyBorder="1" applyAlignment="1" applyProtection="1">
      <alignment horizontal="right" vertical="center"/>
      <protection hidden="1"/>
    </xf>
    <xf numFmtId="166" fontId="110" fillId="43" borderId="64" xfId="13" applyNumberFormat="1" applyFont="1" applyFill="1" applyBorder="1" applyAlignment="1" applyProtection="1">
      <alignment horizontal="right" vertical="center"/>
      <protection hidden="1"/>
    </xf>
    <xf numFmtId="167" fontId="110" fillId="43" borderId="64" xfId="2" applyNumberFormat="1" applyFont="1" applyFill="1" applyBorder="1" applyAlignment="1" applyProtection="1">
      <alignment vertical="center"/>
      <protection hidden="1"/>
    </xf>
    <xf numFmtId="166" fontId="136" fillId="43" borderId="64" xfId="13" applyNumberFormat="1" applyFont="1" applyFill="1" applyBorder="1" applyAlignment="1" applyProtection="1">
      <alignment vertical="center"/>
      <protection hidden="1"/>
    </xf>
    <xf numFmtId="166" fontId="110" fillId="43" borderId="64" xfId="13" applyNumberFormat="1" applyFont="1" applyFill="1" applyBorder="1" applyAlignment="1" applyProtection="1">
      <alignment horizontal="left" vertical="center"/>
      <protection hidden="1"/>
    </xf>
    <xf numFmtId="167" fontId="110" fillId="43" borderId="64" xfId="2" applyNumberFormat="1" applyFont="1" applyFill="1" applyBorder="1" applyAlignment="1" applyProtection="1">
      <alignment horizontal="right" vertical="center"/>
      <protection hidden="1"/>
    </xf>
    <xf numFmtId="170" fontId="110" fillId="6" borderId="64" xfId="0" applyNumberFormat="1" applyFont="1" applyFill="1" applyBorder="1" applyAlignment="1" applyProtection="1">
      <alignment horizontal="center" vertical="center"/>
      <protection hidden="1"/>
    </xf>
    <xf numFmtId="170" fontId="110" fillId="6" borderId="64" xfId="2" applyNumberFormat="1" applyFont="1" applyFill="1" applyBorder="1" applyAlignment="1" applyProtection="1">
      <alignment horizontal="right" vertical="center"/>
      <protection hidden="1"/>
    </xf>
    <xf numFmtId="167" fontId="110" fillId="6" borderId="64" xfId="2" applyNumberFormat="1" applyFont="1" applyFill="1" applyBorder="1" applyAlignment="1" applyProtection="1">
      <alignment vertical="center"/>
      <protection hidden="1"/>
    </xf>
    <xf numFmtId="166" fontId="110" fillId="6" borderId="64" xfId="13" applyNumberFormat="1" applyFont="1" applyFill="1" applyBorder="1" applyAlignment="1" applyProtection="1">
      <alignment horizontal="left" vertical="center"/>
      <protection hidden="1"/>
    </xf>
    <xf numFmtId="49" fontId="109" fillId="43" borderId="64" xfId="10" applyNumberFormat="1" applyFont="1" applyFill="1" applyBorder="1" applyAlignment="1">
      <alignment horizontal="center" vertical="center"/>
    </xf>
    <xf numFmtId="164" fontId="110" fillId="43" borderId="64" xfId="2" applyNumberFormat="1" applyFont="1" applyFill="1" applyBorder="1" applyAlignment="1" applyProtection="1">
      <alignment horizontal="center" vertical="center"/>
      <protection hidden="1"/>
    </xf>
    <xf numFmtId="170" fontId="110" fillId="43" borderId="64" xfId="2" applyNumberFormat="1" applyFont="1" applyFill="1" applyBorder="1" applyAlignment="1" applyProtection="1">
      <alignment vertical="center"/>
      <protection hidden="1"/>
    </xf>
    <xf numFmtId="0" fontId="31" fillId="41" borderId="64" xfId="0" applyFont="1" applyFill="1" applyBorder="1" applyAlignment="1" applyProtection="1">
      <alignment horizontal="center" vertical="center"/>
      <protection hidden="1"/>
    </xf>
    <xf numFmtId="0" fontId="31" fillId="41" borderId="64" xfId="0" applyFont="1" applyFill="1" applyBorder="1" applyAlignment="1" applyProtection="1">
      <alignment vertical="center"/>
      <protection hidden="1"/>
    </xf>
    <xf numFmtId="0" fontId="31" fillId="41" borderId="64" xfId="0" applyFont="1" applyFill="1" applyBorder="1" applyProtection="1">
      <protection hidden="1"/>
    </xf>
    <xf numFmtId="0" fontId="3" fillId="41" borderId="64" xfId="0" applyFont="1" applyFill="1" applyBorder="1" applyProtection="1">
      <protection hidden="1"/>
    </xf>
    <xf numFmtId="49" fontId="12" fillId="41" borderId="65" xfId="10" applyNumberFormat="1" applyFont="1" applyFill="1" applyBorder="1" applyAlignment="1">
      <alignment horizontal="left" vertical="center"/>
    </xf>
    <xf numFmtId="0" fontId="9" fillId="41" borderId="66" xfId="0" applyNumberFormat="1" applyFont="1" applyFill="1" applyBorder="1" applyAlignment="1" applyProtection="1">
      <alignment vertical="center"/>
      <protection hidden="1"/>
    </xf>
    <xf numFmtId="0" fontId="52" fillId="41" borderId="66" xfId="0" applyNumberFormat="1" applyFont="1" applyFill="1" applyBorder="1" applyAlignment="1" applyProtection="1">
      <alignment horizontal="center" vertical="center"/>
      <protection hidden="1"/>
    </xf>
    <xf numFmtId="0" fontId="9" fillId="41" borderId="67" xfId="0" applyNumberFormat="1" applyFont="1" applyFill="1" applyBorder="1" applyAlignment="1" applyProtection="1">
      <alignment vertical="center"/>
      <protection hidden="1"/>
    </xf>
    <xf numFmtId="0" fontId="9" fillId="6" borderId="66" xfId="0" applyFont="1" applyFill="1" applyBorder="1" applyAlignment="1">
      <alignment vertical="center" wrapText="1"/>
    </xf>
    <xf numFmtId="49" fontId="9" fillId="6" borderId="66" xfId="10" applyNumberFormat="1" applyFont="1" applyFill="1" applyBorder="1" applyAlignment="1">
      <alignment vertical="center"/>
    </xf>
    <xf numFmtId="0" fontId="9" fillId="6" borderId="66" xfId="0" applyFont="1" applyFill="1" applyBorder="1" applyAlignment="1">
      <alignment horizontal="left" vertical="center" wrapText="1"/>
    </xf>
    <xf numFmtId="0" fontId="9" fillId="6" borderId="67" xfId="0" applyFont="1" applyFill="1" applyBorder="1" applyAlignment="1">
      <alignment horizontal="left" vertical="center" wrapText="1"/>
    </xf>
    <xf numFmtId="0" fontId="3" fillId="6" borderId="69" xfId="1" applyFont="1" applyFill="1" applyBorder="1" applyAlignment="1" applyProtection="1">
      <alignment horizontal="center" vertical="center" wrapText="1"/>
    </xf>
    <xf numFmtId="0" fontId="9" fillId="6" borderId="69" xfId="0" applyFont="1" applyFill="1" applyBorder="1" applyAlignment="1">
      <alignment horizontal="left" vertical="center" wrapText="1"/>
    </xf>
    <xf numFmtId="0" fontId="9" fillId="6" borderId="69" xfId="0" applyFont="1" applyFill="1" applyBorder="1" applyAlignment="1">
      <alignment horizontal="center" vertical="center" wrapText="1"/>
    </xf>
    <xf numFmtId="0" fontId="9" fillId="6" borderId="69" xfId="0" applyFont="1" applyFill="1" applyBorder="1" applyAlignment="1">
      <alignment vertical="center"/>
    </xf>
    <xf numFmtId="0" fontId="9" fillId="6" borderId="69" xfId="0" applyFont="1" applyFill="1" applyBorder="1" applyAlignment="1">
      <alignment horizontal="justify" vertical="center" wrapText="1"/>
    </xf>
    <xf numFmtId="0" fontId="3" fillId="6" borderId="71" xfId="0" applyFont="1" applyFill="1" applyBorder="1" applyAlignment="1" applyProtection="1">
      <alignment vertical="center" wrapText="1"/>
      <protection hidden="1"/>
    </xf>
    <xf numFmtId="0" fontId="3" fillId="6" borderId="71" xfId="0" applyFont="1" applyFill="1" applyBorder="1" applyAlignment="1" applyProtection="1">
      <alignment vertical="top" wrapText="1"/>
      <protection hidden="1"/>
    </xf>
    <xf numFmtId="0" fontId="3" fillId="6" borderId="72" xfId="0" applyFont="1" applyFill="1" applyBorder="1" applyAlignment="1" applyProtection="1">
      <alignment vertical="top" wrapText="1"/>
      <protection hidden="1"/>
    </xf>
    <xf numFmtId="0" fontId="120" fillId="30" borderId="5" xfId="8" applyNumberFormat="1" applyFont="1" applyFill="1" applyBorder="1" applyAlignment="1">
      <alignment horizontal="center" vertical="center" wrapText="1"/>
    </xf>
    <xf numFmtId="2" fontId="115" fillId="25" borderId="14" xfId="15" applyNumberFormat="1" applyFont="1" applyFill="1" applyBorder="1" applyAlignment="1" applyProtection="1">
      <alignment vertical="center" wrapText="1"/>
      <protection locked="0"/>
    </xf>
    <xf numFmtId="0" fontId="120" fillId="18" borderId="7" xfId="8" applyNumberFormat="1" applyFont="1" applyFill="1" applyBorder="1" applyAlignment="1">
      <alignment horizontal="center" vertical="center" wrapText="1"/>
    </xf>
    <xf numFmtId="0" fontId="120" fillId="30" borderId="74" xfId="8" applyNumberFormat="1" applyFont="1" applyFill="1" applyBorder="1" applyAlignment="1">
      <alignment horizontal="center" vertical="center" wrapText="1"/>
    </xf>
    <xf numFmtId="3" fontId="120" fillId="31" borderId="75" xfId="8" applyNumberFormat="1" applyFont="1" applyFill="1" applyBorder="1" applyAlignment="1">
      <alignment horizontal="center" vertical="center" wrapText="1"/>
    </xf>
    <xf numFmtId="3" fontId="121" fillId="30" borderId="75" xfId="8" applyNumberFormat="1" applyFont="1" applyFill="1" applyBorder="1" applyAlignment="1">
      <alignment horizontal="center" vertical="center" wrapText="1"/>
    </xf>
    <xf numFmtId="3" fontId="121" fillId="29" borderId="75" xfId="8" applyNumberFormat="1" applyFont="1" applyFill="1" applyBorder="1" applyAlignment="1">
      <alignment horizontal="center" vertical="center" wrapText="1"/>
    </xf>
    <xf numFmtId="0" fontId="120" fillId="7" borderId="76" xfId="8" applyNumberFormat="1" applyFont="1" applyFill="1" applyBorder="1" applyAlignment="1">
      <alignment horizontal="center" vertical="center" wrapText="1"/>
    </xf>
    <xf numFmtId="0" fontId="120" fillId="25" borderId="73" xfId="8" applyNumberFormat="1" applyFont="1" applyFill="1" applyBorder="1" applyAlignment="1">
      <alignment horizontal="center" vertical="center" wrapText="1"/>
    </xf>
    <xf numFmtId="9" fontId="105" fillId="27" borderId="5" xfId="14" applyFont="1" applyFill="1" applyBorder="1" applyAlignment="1">
      <alignment horizontal="center" vertical="center"/>
    </xf>
    <xf numFmtId="2" fontId="115" fillId="25" borderId="15" xfId="15" applyNumberFormat="1" applyFont="1" applyFill="1" applyBorder="1" applyAlignment="1" applyProtection="1">
      <alignment vertical="center" wrapText="1"/>
      <protection locked="0"/>
    </xf>
    <xf numFmtId="2" fontId="115" fillId="25" borderId="77" xfId="15" applyNumberFormat="1" applyFont="1" applyFill="1" applyBorder="1" applyAlignment="1" applyProtection="1">
      <alignment vertical="center" wrapText="1"/>
      <protection locked="0"/>
    </xf>
    <xf numFmtId="2" fontId="115" fillId="25" borderId="78" xfId="15" applyNumberFormat="1" applyFont="1" applyFill="1" applyBorder="1" applyAlignment="1" applyProtection="1">
      <alignment vertical="center" wrapText="1"/>
      <protection locked="0"/>
    </xf>
    <xf numFmtId="2" fontId="115" fillId="25" borderId="79" xfId="15" applyNumberFormat="1" applyFont="1" applyFill="1" applyBorder="1" applyAlignment="1" applyProtection="1">
      <alignment vertical="center" wrapText="1"/>
      <protection locked="0"/>
    </xf>
    <xf numFmtId="0" fontId="29" fillId="0" borderId="5" xfId="0" applyFont="1" applyFill="1" applyBorder="1" applyAlignment="1" applyProtection="1">
      <alignment horizontal="center" vertical="center"/>
      <protection hidden="1"/>
    </xf>
    <xf numFmtId="2" fontId="105" fillId="0" borderId="5" xfId="8" applyNumberFormat="1" applyFont="1" applyFill="1" applyBorder="1"/>
    <xf numFmtId="3" fontId="0" fillId="0" borderId="3" xfId="0" applyNumberFormat="1" applyBorder="1"/>
    <xf numFmtId="0" fontId="91" fillId="12" borderId="4" xfId="8" applyFont="1" applyFill="1" applyBorder="1" applyAlignment="1">
      <alignment horizontal="center" vertical="center" wrapText="1"/>
    </xf>
    <xf numFmtId="0" fontId="91" fillId="12" borderId="9" xfId="8" applyFont="1" applyFill="1" applyBorder="1" applyAlignment="1">
      <alignment horizontal="center" vertical="center" wrapText="1"/>
    </xf>
    <xf numFmtId="0" fontId="91" fillId="12" borderId="7" xfId="8" applyFont="1" applyFill="1" applyBorder="1" applyAlignment="1">
      <alignment horizontal="center" vertical="center" wrapText="1"/>
    </xf>
    <xf numFmtId="0" fontId="84" fillId="12" borderId="7" xfId="8" applyFont="1" applyFill="1" applyBorder="1" applyAlignment="1">
      <alignment horizontal="center" vertical="center" wrapText="1"/>
    </xf>
    <xf numFmtId="2" fontId="91" fillId="12" borderId="7" xfId="8" applyNumberFormat="1" applyFont="1" applyFill="1" applyBorder="1" applyAlignment="1">
      <alignment horizontal="center" vertical="center" wrapText="1"/>
    </xf>
    <xf numFmtId="0" fontId="91" fillId="12" borderId="3" xfId="8" applyFont="1" applyFill="1" applyBorder="1" applyAlignment="1">
      <alignment horizontal="center" vertical="center" wrapText="1"/>
    </xf>
    <xf numFmtId="0" fontId="91" fillId="12" borderId="7" xfId="8" applyFont="1" applyFill="1" applyBorder="1" applyAlignment="1">
      <alignment vertical="center" wrapText="1"/>
    </xf>
    <xf numFmtId="0" fontId="91" fillId="12" borderId="9" xfId="8" applyFont="1" applyFill="1" applyBorder="1" applyAlignment="1">
      <alignment vertical="center" wrapText="1"/>
    </xf>
    <xf numFmtId="0" fontId="105" fillId="12" borderId="3" xfId="8" applyFont="1" applyFill="1" applyBorder="1" applyAlignment="1">
      <alignment horizontal="center" vertical="center" wrapText="1"/>
    </xf>
    <xf numFmtId="0" fontId="1" fillId="12" borderId="7" xfId="8" applyFont="1" applyFill="1" applyBorder="1" applyAlignment="1">
      <alignment vertical="center" wrapText="1"/>
    </xf>
    <xf numFmtId="0" fontId="105" fillId="12" borderId="7" xfId="8" applyFont="1" applyFill="1" applyBorder="1"/>
    <xf numFmtId="0" fontId="105" fillId="12" borderId="3" xfId="8" applyFont="1" applyFill="1" applyBorder="1"/>
    <xf numFmtId="0" fontId="105" fillId="12" borderId="13" xfId="8" applyFont="1" applyFill="1" applyBorder="1"/>
    <xf numFmtId="0" fontId="31" fillId="8" borderId="3" xfId="8" applyFont="1" applyFill="1" applyBorder="1" applyAlignment="1">
      <alignment horizontal="center" vertical="center"/>
    </xf>
    <xf numFmtId="0" fontId="31" fillId="8" borderId="13" xfId="8" applyFont="1" applyFill="1" applyBorder="1" applyAlignment="1">
      <alignment horizontal="center" vertical="center"/>
    </xf>
    <xf numFmtId="0" fontId="105" fillId="8" borderId="3" xfId="8" applyFont="1" applyFill="1" applyBorder="1"/>
    <xf numFmtId="0" fontId="105" fillId="8" borderId="13" xfId="8" applyFont="1" applyFill="1" applyBorder="1"/>
    <xf numFmtId="0" fontId="31" fillId="8" borderId="14" xfId="8" applyFont="1" applyFill="1" applyBorder="1" applyAlignment="1">
      <alignment horizontal="center" vertical="center"/>
    </xf>
    <xf numFmtId="0" fontId="31" fillId="8" borderId="3" xfId="14" applyNumberFormat="1" applyFont="1" applyFill="1" applyBorder="1" applyAlignment="1">
      <alignment horizontal="center" vertical="center"/>
    </xf>
    <xf numFmtId="1" fontId="115" fillId="8" borderId="7" xfId="8" applyNumberFormat="1" applyFont="1" applyFill="1" applyBorder="1" applyAlignment="1">
      <alignment horizontal="center" vertical="center" wrapText="1"/>
    </xf>
    <xf numFmtId="0" fontId="31" fillId="8" borderId="3" xfId="8" applyNumberFormat="1" applyFont="1" applyFill="1" applyBorder="1" applyAlignment="1">
      <alignment horizontal="center" vertical="center"/>
    </xf>
    <xf numFmtId="2" fontId="31" fillId="8" borderId="3" xfId="8" applyNumberFormat="1" applyFont="1" applyFill="1" applyBorder="1" applyAlignment="1">
      <alignment horizontal="center" vertical="center"/>
    </xf>
    <xf numFmtId="175" fontId="31" fillId="8" borderId="3" xfId="15" applyNumberFormat="1" applyFont="1" applyFill="1" applyBorder="1" applyAlignment="1">
      <alignment horizontal="center" vertical="center"/>
    </xf>
    <xf numFmtId="1" fontId="31" fillId="8" borderId="3" xfId="8" applyNumberFormat="1" applyFont="1" applyFill="1" applyBorder="1" applyAlignment="1">
      <alignment horizontal="center" vertical="center"/>
    </xf>
    <xf numFmtId="0" fontId="1" fillId="8" borderId="3" xfId="14" applyNumberFormat="1" applyFont="1" applyFill="1" applyBorder="1" applyAlignment="1">
      <alignment horizontal="center" vertical="center" wrapText="1"/>
    </xf>
    <xf numFmtId="0" fontId="111" fillId="8" borderId="3" xfId="8" applyFont="1" applyFill="1" applyBorder="1" applyAlignment="1">
      <alignment horizontal="center" vertical="center"/>
    </xf>
    <xf numFmtId="182" fontId="116" fillId="10" borderId="14" xfId="8" applyNumberFormat="1" applyFont="1" applyFill="1" applyBorder="1" applyAlignment="1" applyProtection="1">
      <alignment vertical="center" wrapText="1" readingOrder="1"/>
    </xf>
    <xf numFmtId="182" fontId="116" fillId="10" borderId="3" xfId="8" applyNumberFormat="1" applyFont="1" applyFill="1" applyBorder="1" applyAlignment="1" applyProtection="1">
      <alignment vertical="center" wrapText="1" readingOrder="1"/>
    </xf>
    <xf numFmtId="0" fontId="116" fillId="10" borderId="3" xfId="8" applyFont="1" applyFill="1" applyBorder="1" applyAlignment="1" applyProtection="1">
      <alignment vertical="center" wrapText="1" readingOrder="1"/>
    </xf>
    <xf numFmtId="0" fontId="114" fillId="10" borderId="3" xfId="8" applyFont="1" applyFill="1" applyBorder="1" applyAlignment="1" applyProtection="1">
      <alignment horizontal="center" vertical="center"/>
    </xf>
    <xf numFmtId="2" fontId="116" fillId="10" borderId="3" xfId="8" applyNumberFormat="1" applyFont="1" applyFill="1" applyBorder="1" applyAlignment="1" applyProtection="1">
      <alignment vertical="center" wrapText="1" readingOrder="1"/>
    </xf>
    <xf numFmtId="182" fontId="116" fillId="10" borderId="3" xfId="8" applyNumberFormat="1" applyFont="1" applyFill="1" applyBorder="1" applyAlignment="1" applyProtection="1">
      <alignment horizontal="center" wrapText="1"/>
    </xf>
    <xf numFmtId="0" fontId="114" fillId="10" borderId="3" xfId="8" applyFont="1" applyFill="1" applyBorder="1" applyAlignment="1" applyProtection="1">
      <alignment horizontal="center"/>
    </xf>
    <xf numFmtId="0" fontId="116" fillId="10" borderId="3" xfId="8" applyFont="1" applyFill="1" applyBorder="1" applyAlignment="1" applyProtection="1">
      <alignment horizontal="center" wrapText="1"/>
    </xf>
    <xf numFmtId="183" fontId="116" fillId="10" borderId="3" xfId="8" applyNumberFormat="1" applyFont="1" applyFill="1" applyBorder="1" applyAlignment="1" applyProtection="1">
      <alignment vertical="center" wrapText="1" readingOrder="1"/>
    </xf>
    <xf numFmtId="182" fontId="116" fillId="10" borderId="3" xfId="8" applyNumberFormat="1" applyFont="1" applyFill="1" applyBorder="1" applyAlignment="1" applyProtection="1">
      <alignment horizontal="center" vertical="center" wrapText="1" readingOrder="1"/>
    </xf>
    <xf numFmtId="0" fontId="114" fillId="10" borderId="3" xfId="8" applyFont="1" applyFill="1" applyBorder="1" applyAlignment="1" applyProtection="1">
      <alignment horizontal="center" vertical="center" readingOrder="1"/>
    </xf>
    <xf numFmtId="169" fontId="116" fillId="10" borderId="3" xfId="8" applyNumberFormat="1" applyFont="1" applyFill="1" applyBorder="1" applyAlignment="1" applyProtection="1">
      <alignment vertical="center" wrapText="1" readingOrder="1"/>
    </xf>
    <xf numFmtId="2" fontId="114" fillId="10" borderId="3" xfId="8" applyNumberFormat="1" applyFont="1" applyFill="1" applyBorder="1" applyAlignment="1" applyProtection="1">
      <alignment horizontal="center" vertical="center"/>
    </xf>
    <xf numFmtId="0" fontId="105" fillId="10" borderId="3" xfId="8" applyFont="1" applyFill="1" applyBorder="1" applyProtection="1"/>
    <xf numFmtId="185" fontId="116" fillId="10" borderId="3" xfId="8" applyNumberFormat="1" applyFont="1" applyFill="1" applyBorder="1" applyAlignment="1" applyProtection="1">
      <alignment vertical="center" wrapText="1" readingOrder="1"/>
    </xf>
    <xf numFmtId="0" fontId="114" fillId="10" borderId="3" xfId="8" applyFont="1" applyFill="1" applyBorder="1" applyAlignment="1" applyProtection="1">
      <alignment vertical="center"/>
    </xf>
    <xf numFmtId="2" fontId="31" fillId="10" borderId="3" xfId="8" applyNumberFormat="1" applyFont="1" applyFill="1" applyBorder="1" applyAlignment="1">
      <alignment horizontal="center" vertical="center"/>
    </xf>
    <xf numFmtId="0" fontId="105" fillId="10" borderId="9" xfId="8" applyFont="1" applyFill="1" applyBorder="1" applyProtection="1"/>
    <xf numFmtId="2" fontId="115" fillId="44" borderId="12" xfId="8" applyNumberFormat="1" applyFont="1" applyFill="1" applyBorder="1" applyAlignment="1" applyProtection="1">
      <alignment horizontal="center" vertical="center" wrapText="1"/>
      <protection hidden="1"/>
    </xf>
    <xf numFmtId="166" fontId="115" fillId="44" borderId="12" xfId="8" applyNumberFormat="1" applyFont="1" applyFill="1" applyBorder="1" applyAlignment="1" applyProtection="1">
      <alignment horizontal="center" vertical="center" wrapText="1"/>
      <protection hidden="1"/>
    </xf>
    <xf numFmtId="176" fontId="115" fillId="44" borderId="12" xfId="8" applyNumberFormat="1" applyFont="1" applyFill="1" applyBorder="1" applyAlignment="1" applyProtection="1">
      <alignment horizontal="center" vertical="center" wrapText="1"/>
      <protection hidden="1"/>
    </xf>
    <xf numFmtId="2" fontId="115" fillId="44" borderId="4" xfId="8" applyNumberFormat="1" applyFont="1" applyFill="1" applyBorder="1" applyAlignment="1" applyProtection="1">
      <alignment horizontal="center" vertical="center" wrapText="1"/>
      <protection hidden="1"/>
    </xf>
    <xf numFmtId="2" fontId="115" fillId="44" borderId="3" xfId="8" applyNumberFormat="1" applyFont="1" applyFill="1" applyBorder="1" applyAlignment="1" applyProtection="1">
      <alignment horizontal="center" vertical="center" wrapText="1"/>
      <protection hidden="1"/>
    </xf>
    <xf numFmtId="4" fontId="105" fillId="6" borderId="7" xfId="0" applyNumberFormat="1" applyFont="1" applyFill="1" applyBorder="1" applyAlignment="1" applyProtection="1">
      <alignment horizontal="justify" vertical="center" wrapText="1"/>
      <protection locked="0"/>
    </xf>
    <xf numFmtId="0" fontId="105" fillId="6" borderId="7" xfId="0" applyFont="1" applyFill="1" applyBorder="1" applyAlignment="1" applyProtection="1">
      <alignment horizontal="justify" vertical="center" wrapText="1"/>
      <protection locked="0"/>
    </xf>
    <xf numFmtId="0" fontId="106" fillId="6" borderId="7" xfId="0" applyFont="1" applyFill="1" applyBorder="1" applyAlignment="1" applyProtection="1">
      <alignment horizontal="justify" vertical="center" wrapText="1"/>
      <protection locked="0"/>
    </xf>
    <xf numFmtId="0" fontId="3" fillId="6" borderId="0" xfId="0" applyFont="1" applyFill="1" applyProtection="1">
      <protection locked="0"/>
    </xf>
    <xf numFmtId="0" fontId="3" fillId="6" borderId="7" xfId="0" applyFont="1" applyFill="1" applyBorder="1" applyProtection="1">
      <protection locked="0"/>
    </xf>
    <xf numFmtId="0" fontId="3" fillId="6" borderId="9" xfId="0" applyFont="1" applyFill="1" applyBorder="1" applyProtection="1">
      <protection locked="0"/>
    </xf>
    <xf numFmtId="3" fontId="25" fillId="13" borderId="3" xfId="0" applyNumberFormat="1" applyFont="1" applyFill="1" applyBorder="1" applyAlignment="1">
      <alignment horizontal="center" vertical="center" wrapText="1"/>
    </xf>
    <xf numFmtId="3" fontId="138" fillId="11" borderId="13" xfId="0" applyNumberFormat="1" applyFont="1" applyFill="1" applyBorder="1" applyAlignment="1">
      <alignment horizontal="center" vertical="center" wrapText="1"/>
    </xf>
    <xf numFmtId="0" fontId="29" fillId="43" borderId="73" xfId="0" applyFont="1" applyFill="1" applyBorder="1" applyAlignment="1" applyProtection="1">
      <alignment horizontal="center" vertical="center"/>
      <protection locked="0"/>
    </xf>
    <xf numFmtId="183" fontId="135" fillId="25" borderId="3" xfId="0" applyNumberFormat="1" applyFont="1" applyFill="1" applyBorder="1" applyAlignment="1" applyProtection="1">
      <alignment vertical="center" wrapText="1" readingOrder="1"/>
      <protection locked="0"/>
    </xf>
    <xf numFmtId="1" fontId="115" fillId="25" borderId="3" xfId="15" applyNumberFormat="1" applyFont="1" applyFill="1" applyBorder="1" applyAlignment="1" applyProtection="1">
      <alignment vertical="center" wrapText="1"/>
      <protection locked="0"/>
    </xf>
    <xf numFmtId="187" fontId="116" fillId="10" borderId="3" xfId="8" applyNumberFormat="1" applyFont="1" applyFill="1" applyBorder="1" applyAlignment="1" applyProtection="1">
      <alignment vertical="center" wrapText="1" readingOrder="1"/>
    </xf>
    <xf numFmtId="1" fontId="115" fillId="44" borderId="12" xfId="8" applyNumberFormat="1" applyFont="1" applyFill="1" applyBorder="1" applyAlignment="1" applyProtection="1">
      <alignment horizontal="center" vertical="center" wrapText="1"/>
      <protection hidden="1"/>
    </xf>
    <xf numFmtId="0" fontId="0" fillId="2" borderId="0" xfId="0" applyFill="1"/>
    <xf numFmtId="0" fontId="123" fillId="20" borderId="80" xfId="8" applyFont="1" applyFill="1" applyBorder="1" applyAlignment="1">
      <alignment horizontal="center" vertical="center" wrapText="1"/>
    </xf>
    <xf numFmtId="0" fontId="123" fillId="20" borderId="81" xfId="8" applyFont="1" applyFill="1" applyBorder="1" applyAlignment="1">
      <alignment horizontal="center" vertical="center" wrapText="1"/>
    </xf>
    <xf numFmtId="0" fontId="123" fillId="20" borderId="82" xfId="8" applyFont="1" applyFill="1" applyBorder="1" applyAlignment="1">
      <alignment horizontal="center" vertical="center" wrapText="1"/>
    </xf>
    <xf numFmtId="0" fontId="1" fillId="45" borderId="80" xfId="0" applyFont="1" applyFill="1" applyBorder="1"/>
    <xf numFmtId="0" fontId="1" fillId="45" borderId="81" xfId="0" applyFont="1" applyFill="1" applyBorder="1"/>
    <xf numFmtId="0" fontId="0" fillId="45" borderId="81" xfId="0" applyFill="1" applyBorder="1"/>
    <xf numFmtId="0" fontId="29" fillId="2" borderId="73" xfId="0" applyFont="1" applyFill="1" applyBorder="1" applyAlignment="1" applyProtection="1">
      <alignment horizontal="center" vertical="center"/>
      <protection locked="0"/>
    </xf>
    <xf numFmtId="0" fontId="1" fillId="45" borderId="81" xfId="0" applyFont="1" applyFill="1" applyBorder="1" applyAlignment="1">
      <alignment wrapText="1"/>
    </xf>
    <xf numFmtId="0" fontId="1" fillId="45" borderId="82" xfId="0" applyFont="1" applyFill="1" applyBorder="1"/>
    <xf numFmtId="0" fontId="35" fillId="0" borderId="0" xfId="0" applyFont="1" applyFill="1" applyBorder="1" applyAlignment="1" applyProtection="1">
      <alignment horizontal="center"/>
      <protection hidden="1"/>
    </xf>
    <xf numFmtId="0" fontId="3" fillId="6" borderId="65" xfId="0" applyNumberFormat="1" applyFont="1" applyFill="1" applyBorder="1" applyAlignment="1" applyProtection="1">
      <alignment horizontal="justify" vertical="center" wrapText="1"/>
      <protection hidden="1"/>
    </xf>
    <xf numFmtId="0" fontId="3" fillId="6" borderId="66" xfId="0" applyNumberFormat="1" applyFont="1" applyFill="1" applyBorder="1" applyAlignment="1" applyProtection="1">
      <alignment horizontal="justify" vertical="center" wrapText="1"/>
      <protection hidden="1"/>
    </xf>
    <xf numFmtId="0" fontId="3" fillId="6" borderId="67" xfId="0" applyNumberFormat="1" applyFont="1" applyFill="1" applyBorder="1" applyAlignment="1" applyProtection="1">
      <alignment horizontal="justify" vertical="center" wrapText="1"/>
      <protection hidden="1"/>
    </xf>
    <xf numFmtId="0" fontId="3" fillId="6" borderId="68" xfId="0" applyNumberFormat="1" applyFont="1" applyFill="1" applyBorder="1" applyAlignment="1" applyProtection="1">
      <alignment horizontal="justify" vertical="center" wrapText="1"/>
      <protection hidden="1"/>
    </xf>
    <xf numFmtId="0" fontId="3" fillId="6" borderId="0" xfId="0" applyNumberFormat="1" applyFont="1" applyFill="1" applyBorder="1" applyAlignment="1" applyProtection="1">
      <alignment horizontal="justify" vertical="center" wrapText="1"/>
      <protection hidden="1"/>
    </xf>
    <xf numFmtId="0" fontId="3" fillId="6" borderId="69" xfId="0" applyNumberFormat="1" applyFont="1" applyFill="1" applyBorder="1" applyAlignment="1" applyProtection="1">
      <alignment horizontal="justify" vertical="center" wrapText="1"/>
      <protection hidden="1"/>
    </xf>
    <xf numFmtId="0" fontId="3" fillId="6" borderId="70" xfId="0" applyNumberFormat="1" applyFont="1" applyFill="1" applyBorder="1" applyAlignment="1" applyProtection="1">
      <alignment horizontal="justify" vertical="center" wrapText="1"/>
      <protection hidden="1"/>
    </xf>
    <xf numFmtId="0" fontId="3" fillId="6" borderId="71" xfId="0" applyNumberFormat="1" applyFont="1" applyFill="1" applyBorder="1" applyAlignment="1" applyProtection="1">
      <alignment horizontal="justify" vertical="center" wrapText="1"/>
      <protection hidden="1"/>
    </xf>
    <xf numFmtId="0" fontId="3" fillId="6" borderId="72" xfId="0" applyNumberFormat="1" applyFont="1" applyFill="1" applyBorder="1" applyAlignment="1" applyProtection="1">
      <alignment horizontal="justify" vertical="center" wrapText="1"/>
      <protection hidden="1"/>
    </xf>
    <xf numFmtId="0" fontId="23" fillId="42" borderId="64" xfId="0" applyFont="1" applyFill="1" applyBorder="1" applyAlignment="1" applyProtection="1">
      <alignment horizontal="center"/>
      <protection hidden="1"/>
    </xf>
    <xf numFmtId="0" fontId="2" fillId="42" borderId="64" xfId="0" applyFont="1" applyFill="1" applyBorder="1" applyAlignment="1" applyProtection="1">
      <alignment horizontal="center"/>
      <protection hidden="1"/>
    </xf>
    <xf numFmtId="167" fontId="110" fillId="6" borderId="64" xfId="2" applyNumberFormat="1" applyFont="1" applyFill="1" applyBorder="1" applyAlignment="1" applyProtection="1">
      <alignment vertical="center"/>
      <protection hidden="1"/>
    </xf>
    <xf numFmtId="3" fontId="110" fillId="6" borderId="64" xfId="10" applyNumberFormat="1" applyFont="1" applyFill="1" applyBorder="1" applyAlignment="1">
      <alignment horizontal="right" vertical="center"/>
    </xf>
    <xf numFmtId="164" fontId="110" fillId="43" borderId="64" xfId="2" applyNumberFormat="1" applyFont="1" applyFill="1" applyBorder="1" applyAlignment="1" applyProtection="1">
      <alignment vertical="center"/>
      <protection hidden="1"/>
    </xf>
    <xf numFmtId="3" fontId="110" fillId="43" borderId="64" xfId="10" applyNumberFormat="1" applyFont="1" applyFill="1" applyBorder="1" applyAlignment="1">
      <alignment horizontal="right" vertical="center"/>
    </xf>
    <xf numFmtId="164" fontId="110" fillId="6" borderId="64" xfId="2" applyNumberFormat="1" applyFont="1" applyFill="1" applyBorder="1" applyAlignment="1" applyProtection="1">
      <alignment vertical="center"/>
      <protection hidden="1"/>
    </xf>
    <xf numFmtId="0" fontId="61" fillId="6" borderId="0" xfId="0" applyNumberFormat="1" applyFont="1" applyFill="1" applyBorder="1" applyAlignment="1" applyProtection="1">
      <alignment horizontal="center" vertical="center"/>
      <protection hidden="1"/>
    </xf>
    <xf numFmtId="49" fontId="107" fillId="40" borderId="64" xfId="10" applyNumberFormat="1" applyFont="1" applyFill="1" applyBorder="1" applyAlignment="1">
      <alignment horizontal="center" vertical="center"/>
    </xf>
    <xf numFmtId="0" fontId="3" fillId="12" borderId="64" xfId="0" applyFont="1" applyFill="1" applyBorder="1" applyAlignment="1" applyProtection="1">
      <alignment horizontal="center" vertical="center" wrapText="1"/>
      <protection hidden="1"/>
    </xf>
    <xf numFmtId="49" fontId="139" fillId="42" borderId="64" xfId="10" applyNumberFormat="1" applyFont="1" applyFill="1" applyBorder="1" applyAlignment="1">
      <alignment horizontal="center" vertical="center"/>
    </xf>
    <xf numFmtId="165" fontId="2" fillId="43" borderId="64" xfId="0" applyNumberFormat="1" applyFont="1" applyFill="1" applyBorder="1" applyAlignment="1" applyProtection="1">
      <alignment horizontal="center" vertical="center"/>
      <protection hidden="1"/>
    </xf>
    <xf numFmtId="49" fontId="11" fillId="12" borderId="64" xfId="10" applyNumberFormat="1" applyFont="1" applyFill="1" applyBorder="1" applyAlignment="1">
      <alignment horizontal="justify" vertical="center"/>
    </xf>
    <xf numFmtId="0" fontId="98" fillId="41" borderId="64" xfId="0" applyFont="1" applyFill="1" applyBorder="1" applyAlignment="1">
      <alignment horizontal="center" vertical="center" wrapText="1"/>
    </xf>
    <xf numFmtId="0" fontId="1" fillId="43" borderId="64" xfId="0" applyNumberFormat="1" applyFont="1" applyFill="1" applyBorder="1" applyAlignment="1" applyProtection="1">
      <alignment horizontal="center" vertical="center"/>
      <protection hidden="1"/>
    </xf>
    <xf numFmtId="3" fontId="2" fillId="43" borderId="64" xfId="0" applyNumberFormat="1" applyFont="1" applyFill="1" applyBorder="1" applyAlignment="1" applyProtection="1">
      <alignment horizontal="center" vertical="center"/>
      <protection hidden="1"/>
    </xf>
    <xf numFmtId="49" fontId="11" fillId="12" borderId="64" xfId="10" applyNumberFormat="1" applyFont="1" applyFill="1" applyBorder="1" applyAlignment="1">
      <alignment horizontal="left" vertical="center"/>
    </xf>
    <xf numFmtId="0" fontId="98" fillId="6" borderId="64" xfId="0" applyFont="1" applyFill="1" applyBorder="1" applyAlignment="1">
      <alignment horizontal="center" vertical="center" wrapText="1"/>
    </xf>
    <xf numFmtId="0" fontId="3" fillId="43" borderId="64" xfId="0" applyNumberFormat="1" applyFont="1" applyFill="1" applyBorder="1" applyAlignment="1" applyProtection="1">
      <alignment horizontal="justify" vertical="center" wrapText="1"/>
      <protection hidden="1"/>
    </xf>
    <xf numFmtId="49" fontId="22" fillId="12" borderId="64" xfId="10" applyNumberFormat="1" applyFont="1" applyFill="1" applyBorder="1" applyAlignment="1">
      <alignment horizontal="left" vertical="center"/>
    </xf>
    <xf numFmtId="167" fontId="3" fillId="43" borderId="64" xfId="2" applyNumberFormat="1" applyFont="1" applyFill="1" applyBorder="1" applyAlignment="1" applyProtection="1">
      <alignment horizontal="justify" vertical="center" wrapText="1"/>
      <protection hidden="1"/>
    </xf>
    <xf numFmtId="0" fontId="3" fillId="43" borderId="64" xfId="0" applyFont="1" applyFill="1" applyBorder="1" applyAlignment="1" applyProtection="1">
      <alignment horizontal="center" vertical="center"/>
      <protection hidden="1"/>
    </xf>
    <xf numFmtId="1" fontId="108" fillId="6" borderId="0" xfId="0" applyNumberFormat="1" applyFont="1" applyFill="1" applyBorder="1" applyAlignment="1" applyProtection="1">
      <alignment horizontal="center" vertical="center"/>
      <protection hidden="1"/>
    </xf>
    <xf numFmtId="0" fontId="99" fillId="12" borderId="63" xfId="0" applyFont="1" applyFill="1" applyBorder="1" applyAlignment="1" applyProtection="1">
      <alignment horizontal="right" vertical="center" shrinkToFit="1"/>
      <protection locked="0"/>
    </xf>
    <xf numFmtId="0" fontId="99" fillId="12" borderId="60" xfId="0" applyFont="1" applyFill="1" applyBorder="1" applyAlignment="1" applyProtection="1">
      <alignment horizontal="right" vertical="center" shrinkToFit="1"/>
      <protection locked="0"/>
    </xf>
    <xf numFmtId="0" fontId="3" fillId="43" borderId="64" xfId="0" applyNumberFormat="1" applyFont="1" applyFill="1" applyBorder="1" applyAlignment="1" applyProtection="1">
      <alignment horizontal="justify" vertical="center"/>
      <protection hidden="1"/>
    </xf>
    <xf numFmtId="0" fontId="97" fillId="5" borderId="0" xfId="0" applyNumberFormat="1" applyFont="1" applyFill="1" applyBorder="1" applyAlignment="1" applyProtection="1">
      <alignment horizontal="center" vertical="center"/>
      <protection hidden="1"/>
    </xf>
    <xf numFmtId="0" fontId="97" fillId="5" borderId="57" xfId="0" applyNumberFormat="1" applyFont="1" applyFill="1" applyBorder="1" applyAlignment="1" applyProtection="1">
      <alignment horizontal="center" vertical="center"/>
      <protection hidden="1"/>
    </xf>
    <xf numFmtId="49" fontId="12" fillId="6" borderId="0" xfId="10" applyNumberFormat="1" applyFont="1" applyFill="1" applyBorder="1" applyAlignment="1">
      <alignment horizontal="center" vertical="center"/>
    </xf>
    <xf numFmtId="49" fontId="22" fillId="12" borderId="64" xfId="10" applyNumberFormat="1" applyFont="1" applyFill="1" applyBorder="1" applyAlignment="1">
      <alignment horizontal="center" vertical="center"/>
    </xf>
    <xf numFmtId="0" fontId="95" fillId="6" borderId="0" xfId="0" applyFont="1" applyFill="1" applyBorder="1" applyAlignment="1" applyProtection="1">
      <alignment horizontal="center" vertical="center"/>
      <protection hidden="1"/>
    </xf>
    <xf numFmtId="0" fontId="96" fillId="6" borderId="0" xfId="0" applyFont="1" applyFill="1" applyBorder="1" applyAlignment="1" applyProtection="1">
      <alignment horizontal="center" vertical="center"/>
      <protection hidden="1"/>
    </xf>
    <xf numFmtId="0" fontId="51" fillId="6" borderId="0" xfId="0" applyFont="1" applyFill="1" applyBorder="1" applyAlignment="1" applyProtection="1">
      <alignment horizontal="right" vertical="center"/>
      <protection hidden="1"/>
    </xf>
    <xf numFmtId="0" fontId="137" fillId="12" borderId="58" xfId="0" applyFont="1" applyFill="1" applyBorder="1" applyAlignment="1" applyProtection="1">
      <alignment horizontal="right"/>
      <protection locked="0" hidden="1"/>
    </xf>
    <xf numFmtId="0" fontId="137" fillId="12" borderId="59" xfId="0" applyFont="1" applyFill="1" applyBorder="1" applyAlignment="1" applyProtection="1">
      <alignment horizontal="right"/>
      <protection locked="0" hidden="1"/>
    </xf>
    <xf numFmtId="0" fontId="137" fillId="12" borderId="61" xfId="0" applyFont="1" applyFill="1" applyBorder="1" applyAlignment="1" applyProtection="1">
      <alignment horizontal="right"/>
      <protection locked="0" hidden="1"/>
    </xf>
    <xf numFmtId="0" fontId="137" fillId="12" borderId="62" xfId="0" applyFont="1" applyFill="1" applyBorder="1" applyAlignment="1" applyProtection="1">
      <alignment horizontal="right"/>
      <protection locked="0" hidden="1"/>
    </xf>
    <xf numFmtId="0" fontId="31" fillId="2" borderId="3" xfId="8" applyNumberFormat="1" applyFont="1" applyFill="1" applyBorder="1" applyAlignment="1">
      <alignment horizontal="left" vertical="center"/>
    </xf>
    <xf numFmtId="0" fontId="31" fillId="2" borderId="5" xfId="8" applyNumberFormat="1" applyFont="1" applyFill="1" applyBorder="1" applyAlignment="1">
      <alignment horizontal="left" vertical="center"/>
    </xf>
    <xf numFmtId="49" fontId="8" fillId="14" borderId="5" xfId="8" applyNumberFormat="1" applyFont="1" applyFill="1" applyBorder="1" applyAlignment="1">
      <alignment horizontal="center" vertical="center"/>
    </xf>
    <xf numFmtId="49" fontId="8" fillId="14" borderId="7" xfId="8" applyNumberFormat="1" applyFont="1" applyFill="1" applyBorder="1" applyAlignment="1">
      <alignment horizontal="center" vertical="center"/>
    </xf>
    <xf numFmtId="3" fontId="31" fillId="0" borderId="5" xfId="7" applyNumberFormat="1" applyFont="1" applyFill="1" applyBorder="1" applyAlignment="1" applyProtection="1">
      <alignment horizontal="center" vertical="center"/>
      <protection hidden="1"/>
    </xf>
    <xf numFmtId="3" fontId="31" fillId="0" borderId="7" xfId="7" applyNumberFormat="1" applyFont="1" applyFill="1" applyBorder="1" applyAlignment="1" applyProtection="1">
      <alignment horizontal="center" vertical="center"/>
      <protection hidden="1"/>
    </xf>
    <xf numFmtId="0" fontId="31" fillId="0" borderId="3" xfId="7" applyNumberFormat="1" applyFont="1" applyFill="1" applyBorder="1" applyAlignment="1" applyProtection="1">
      <alignment horizontal="justify" vertical="center" wrapText="1"/>
      <protection hidden="1"/>
    </xf>
    <xf numFmtId="0" fontId="31" fillId="6" borderId="3" xfId="8" applyNumberFormat="1" applyFont="1" applyFill="1" applyBorder="1" applyAlignment="1">
      <alignment horizontal="left" vertical="center"/>
    </xf>
    <xf numFmtId="0" fontId="31" fillId="6" borderId="5" xfId="8" applyNumberFormat="1" applyFont="1" applyFill="1" applyBorder="1" applyAlignment="1">
      <alignment horizontal="left" vertical="center"/>
    </xf>
    <xf numFmtId="49" fontId="8" fillId="14" borderId="5" xfId="8" applyNumberFormat="1" applyFont="1" applyFill="1" applyBorder="1" applyAlignment="1">
      <alignment horizontal="left" vertical="center"/>
    </xf>
    <xf numFmtId="49" fontId="8" fillId="14" borderId="6" xfId="8" applyNumberFormat="1" applyFont="1" applyFill="1" applyBorder="1" applyAlignment="1">
      <alignment horizontal="left" vertical="center"/>
    </xf>
    <xf numFmtId="49" fontId="8" fillId="14" borderId="7" xfId="8" applyNumberFormat="1" applyFont="1" applyFill="1" applyBorder="1" applyAlignment="1">
      <alignment horizontal="left" vertical="center"/>
    </xf>
    <xf numFmtId="0" fontId="31" fillId="0" borderId="5" xfId="7" applyNumberFormat="1" applyFont="1" applyFill="1" applyBorder="1" applyAlignment="1" applyProtection="1">
      <alignment horizontal="justify" vertical="center" wrapText="1"/>
      <protection hidden="1"/>
    </xf>
    <xf numFmtId="0" fontId="31" fillId="0" borderId="6" xfId="7" applyNumberFormat="1" applyFont="1" applyFill="1" applyBorder="1" applyAlignment="1" applyProtection="1">
      <alignment horizontal="justify" vertical="center" wrapText="1"/>
      <protection hidden="1"/>
    </xf>
    <xf numFmtId="0" fontId="31" fillId="0" borderId="7" xfId="7" applyNumberFormat="1" applyFont="1" applyFill="1" applyBorder="1" applyAlignment="1" applyProtection="1">
      <alignment horizontal="justify" vertical="center" wrapText="1"/>
      <protection hidden="1"/>
    </xf>
    <xf numFmtId="49" fontId="54" fillId="23" borderId="3" xfId="8" applyNumberFormat="1" applyFont="1" applyFill="1" applyBorder="1" applyAlignment="1">
      <alignment horizontal="center" vertical="center"/>
    </xf>
    <xf numFmtId="49" fontId="54" fillId="23" borderId="13" xfId="8" applyNumberFormat="1" applyFont="1" applyFill="1" applyBorder="1" applyAlignment="1">
      <alignment horizontal="center" vertical="center"/>
    </xf>
    <xf numFmtId="0" fontId="63" fillId="5" borderId="13" xfId="8" applyNumberFormat="1" applyFont="1" applyFill="1" applyBorder="1" applyAlignment="1">
      <alignment horizontal="left" vertical="center"/>
    </xf>
    <xf numFmtId="0" fontId="31" fillId="0" borderId="3" xfId="8" applyNumberFormat="1" applyFont="1" applyFill="1" applyBorder="1" applyAlignment="1">
      <alignment horizontal="left" vertical="center"/>
    </xf>
    <xf numFmtId="0" fontId="31" fillId="0" borderId="5" xfId="8" applyNumberFormat="1" applyFont="1" applyFill="1" applyBorder="1" applyAlignment="1">
      <alignment horizontal="left" vertical="center"/>
    </xf>
    <xf numFmtId="49" fontId="54" fillId="13" borderId="5" xfId="8" applyNumberFormat="1" applyFont="1" applyFill="1" applyBorder="1" applyAlignment="1">
      <alignment horizontal="center" vertical="center"/>
    </xf>
    <xf numFmtId="49" fontId="54" fillId="13" borderId="6" xfId="8" applyNumberFormat="1" applyFont="1" applyFill="1" applyBorder="1" applyAlignment="1">
      <alignment horizontal="center" vertical="center"/>
    </xf>
    <xf numFmtId="49" fontId="54" fillId="11" borderId="6" xfId="8" applyNumberFormat="1" applyFont="1" applyFill="1" applyBorder="1" applyAlignment="1">
      <alignment horizontal="center" vertical="center"/>
    </xf>
    <xf numFmtId="49" fontId="54" fillId="11" borderId="7" xfId="8" applyNumberFormat="1" applyFont="1" applyFill="1" applyBorder="1" applyAlignment="1">
      <alignment horizontal="center" vertical="center"/>
    </xf>
    <xf numFmtId="3" fontId="31" fillId="0" borderId="5" xfId="7" applyNumberFormat="1" applyFont="1" applyFill="1" applyBorder="1" applyAlignment="1" applyProtection="1">
      <alignment horizontal="left" vertical="center"/>
      <protection hidden="1"/>
    </xf>
    <xf numFmtId="3" fontId="31" fillId="0" borderId="6" xfId="7" applyNumberFormat="1" applyFont="1" applyFill="1" applyBorder="1" applyAlignment="1" applyProtection="1">
      <alignment horizontal="left" vertical="center"/>
      <protection hidden="1"/>
    </xf>
    <xf numFmtId="3" fontId="31" fillId="0" borderId="7" xfId="7" applyNumberFormat="1" applyFont="1" applyFill="1" applyBorder="1" applyAlignment="1" applyProtection="1">
      <alignment horizontal="left" vertical="center"/>
      <protection hidden="1"/>
    </xf>
    <xf numFmtId="0" fontId="95" fillId="13" borderId="0" xfId="7" applyFont="1" applyFill="1" applyBorder="1" applyAlignment="1" applyProtection="1">
      <alignment horizontal="center" vertical="center"/>
      <protection hidden="1"/>
    </xf>
    <xf numFmtId="0" fontId="96" fillId="13" borderId="0" xfId="7" applyFont="1" applyFill="1" applyBorder="1" applyAlignment="1" applyProtection="1">
      <alignment horizontal="center" vertical="center"/>
      <protection hidden="1"/>
    </xf>
    <xf numFmtId="0" fontId="43" fillId="13" borderId="0" xfId="7" applyFont="1" applyFill="1" applyBorder="1" applyAlignment="1" applyProtection="1">
      <alignment horizontal="right" vertical="center"/>
      <protection hidden="1"/>
    </xf>
    <xf numFmtId="0" fontId="51" fillId="13" borderId="0" xfId="7" applyFont="1" applyFill="1" applyBorder="1" applyAlignment="1" applyProtection="1">
      <alignment horizontal="right" vertical="center"/>
      <protection hidden="1"/>
    </xf>
    <xf numFmtId="0" fontId="50" fillId="13" borderId="34" xfId="7" applyFont="1" applyFill="1" applyBorder="1" applyAlignment="1" applyProtection="1">
      <alignment horizontal="right"/>
      <protection locked="0" hidden="1"/>
    </xf>
    <xf numFmtId="0" fontId="50" fillId="13" borderId="33" xfId="7" applyFont="1" applyFill="1" applyBorder="1" applyAlignment="1" applyProtection="1">
      <alignment horizontal="right"/>
      <protection locked="0" hidden="1"/>
    </xf>
    <xf numFmtId="0" fontId="50" fillId="13" borderId="35" xfId="7" applyFont="1" applyFill="1" applyBorder="1" applyAlignment="1" applyProtection="1">
      <alignment horizontal="right"/>
      <protection locked="0" hidden="1"/>
    </xf>
    <xf numFmtId="0" fontId="31" fillId="6" borderId="1" xfId="7" applyNumberFormat="1" applyFont="1" applyFill="1" applyBorder="1" applyAlignment="1" applyProtection="1">
      <alignment horizontal="justify" vertical="center"/>
      <protection hidden="1"/>
    </xf>
    <xf numFmtId="0" fontId="31" fillId="6" borderId="2" xfId="7" applyNumberFormat="1" applyFont="1" applyFill="1" applyBorder="1" applyAlignment="1" applyProtection="1">
      <alignment horizontal="justify" vertical="center"/>
      <protection hidden="1"/>
    </xf>
    <xf numFmtId="0" fontId="31" fillId="6" borderId="12" xfId="7" applyNumberFormat="1" applyFont="1" applyFill="1" applyBorder="1" applyAlignment="1" applyProtection="1">
      <alignment horizontal="justify" vertical="center"/>
      <protection hidden="1"/>
    </xf>
    <xf numFmtId="0" fontId="55" fillId="2" borderId="0" xfId="7" applyFont="1" applyFill="1" applyBorder="1" applyAlignment="1" applyProtection="1">
      <alignment horizontal="center" vertical="center" wrapText="1"/>
      <protection hidden="1"/>
    </xf>
    <xf numFmtId="0" fontId="97" fillId="6" borderId="6" xfId="7" applyNumberFormat="1" applyFont="1" applyFill="1" applyBorder="1" applyAlignment="1" applyProtection="1">
      <alignment horizontal="center" vertical="center"/>
      <protection hidden="1"/>
    </xf>
    <xf numFmtId="49" fontId="8" fillId="14" borderId="3" xfId="8" applyNumberFormat="1" applyFont="1" applyFill="1" applyBorder="1" applyAlignment="1">
      <alignment horizontal="left" vertical="center"/>
    </xf>
    <xf numFmtId="0" fontId="98" fillId="4" borderId="5" xfId="7" applyFont="1" applyFill="1" applyBorder="1" applyAlignment="1">
      <alignment horizontal="center" vertical="center" wrapText="1"/>
    </xf>
    <xf numFmtId="0" fontId="98" fillId="4" borderId="6" xfId="7" applyFont="1" applyFill="1" applyBorder="1" applyAlignment="1">
      <alignment horizontal="center" vertical="center" wrapText="1"/>
    </xf>
    <xf numFmtId="0" fontId="98" fillId="4" borderId="7" xfId="7" applyFont="1" applyFill="1" applyBorder="1" applyAlignment="1">
      <alignment horizontal="center" vertical="center" wrapText="1"/>
    </xf>
    <xf numFmtId="3" fontId="76" fillId="0" borderId="5" xfId="7" applyNumberFormat="1" applyFont="1" applyFill="1" applyBorder="1" applyAlignment="1" applyProtection="1">
      <alignment horizontal="center" vertical="center"/>
      <protection hidden="1"/>
    </xf>
    <xf numFmtId="3" fontId="76" fillId="0" borderId="7" xfId="7" applyNumberFormat="1" applyFont="1" applyFill="1" applyBorder="1" applyAlignment="1" applyProtection="1">
      <alignment horizontal="center" vertical="center"/>
      <protection hidden="1"/>
    </xf>
    <xf numFmtId="0" fontId="57" fillId="13" borderId="6" xfId="7" applyFont="1" applyFill="1" applyBorder="1" applyAlignment="1" applyProtection="1">
      <alignment horizontal="left" vertical="center"/>
      <protection hidden="1"/>
    </xf>
    <xf numFmtId="172" fontId="31" fillId="0" borderId="5" xfId="7" applyNumberFormat="1" applyFont="1" applyFill="1" applyBorder="1" applyAlignment="1" applyProtection="1">
      <alignment horizontal="center" vertical="center"/>
      <protection hidden="1"/>
    </xf>
    <xf numFmtId="172" fontId="31" fillId="0" borderId="7" xfId="7" applyNumberFormat="1" applyFont="1" applyFill="1" applyBorder="1" applyAlignment="1" applyProtection="1">
      <alignment horizontal="center" vertical="center"/>
      <protection hidden="1"/>
    </xf>
    <xf numFmtId="49" fontId="2" fillId="11" borderId="1" xfId="8" applyNumberFormat="1" applyFont="1" applyFill="1" applyBorder="1" applyAlignment="1">
      <alignment horizontal="center" vertical="center"/>
    </xf>
    <xf numFmtId="49" fontId="2" fillId="11" borderId="2" xfId="8" applyNumberFormat="1" applyFont="1" applyFill="1" applyBorder="1" applyAlignment="1">
      <alignment horizontal="center" vertical="center"/>
    </xf>
    <xf numFmtId="0" fontId="62" fillId="15" borderId="3" xfId="7" applyFont="1" applyFill="1" applyBorder="1" applyAlignment="1" applyProtection="1">
      <alignment horizontal="center"/>
      <protection hidden="1"/>
    </xf>
    <xf numFmtId="0" fontId="62" fillId="7" borderId="2" xfId="7" applyFont="1" applyFill="1" applyBorder="1" applyAlignment="1" applyProtection="1">
      <alignment horizontal="center"/>
      <protection hidden="1"/>
    </xf>
    <xf numFmtId="0" fontId="124" fillId="5" borderId="2" xfId="7" applyFont="1" applyFill="1" applyBorder="1" applyAlignment="1" applyProtection="1">
      <alignment horizontal="center"/>
      <protection hidden="1"/>
    </xf>
  </cellXfs>
  <cellStyles count="19">
    <cellStyle name="Hipervínculo" xfId="1" builtinId="8"/>
    <cellStyle name="Millares" xfId="2" builtinId="3"/>
    <cellStyle name="Millares 2" xfId="15"/>
    <cellStyle name="Millares 3" xfId="16"/>
    <cellStyle name="Millares 6" xfId="3"/>
    <cellStyle name="Normal" xfId="0" builtinId="0"/>
    <cellStyle name="Normal 2" xfId="4"/>
    <cellStyle name="Normal 2 2" xfId="5"/>
    <cellStyle name="Normal 2 3" xfId="17"/>
    <cellStyle name="Normal 3" xfId="6"/>
    <cellStyle name="Normal 4" xfId="18"/>
    <cellStyle name="Normal 4 2" xfId="7"/>
    <cellStyle name="Normal 7" xfId="8"/>
    <cellStyle name="Normal 7 2" xfId="9"/>
    <cellStyle name="Normal 7 3" xfId="10"/>
    <cellStyle name="Normal 8" xfId="11"/>
    <cellStyle name="Normal_Censos 1951-1993" xfId="12"/>
    <cellStyle name="Porcentaje" xfId="13" builtinId="5"/>
    <cellStyle name="Porcentaje 2" xfId="14"/>
  </cellStyles>
  <dxfs count="39">
    <dxf>
      <font>
        <condense val="0"/>
        <extend val="0"/>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0000"/>
      <color rgb="FFF1F5F9"/>
      <color rgb="FFCCCCFF"/>
      <color rgb="FF5F5F5F"/>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0"/>
      <c:depthPercent val="100"/>
      <c:rAngAx val="1"/>
    </c:view3D>
    <c:floor>
      <c:thickness val="0"/>
      <c:spPr>
        <a:solidFill>
          <a:schemeClr val="accent3">
            <a:lumMod val="60000"/>
            <a:lumOff val="40000"/>
          </a:schemeClr>
        </a:solidFill>
        <a:ln>
          <a:noFill/>
        </a:ln>
        <a:effectLst/>
        <a:sp3d/>
      </c:spPr>
    </c:floor>
    <c:sideWall>
      <c:thickness val="0"/>
      <c:spPr>
        <a:solidFill>
          <a:srgbClr val="EEECE1"/>
        </a:solidFill>
        <a:ln w="25400">
          <a:noFill/>
        </a:ln>
      </c:spPr>
    </c:sideWall>
    <c:backWall>
      <c:thickness val="0"/>
      <c:spPr>
        <a:solidFill>
          <a:srgbClr val="EEECE1"/>
        </a:solidFill>
        <a:ln w="25400">
          <a:noFill/>
        </a:ln>
      </c:spPr>
    </c:backWall>
    <c:plotArea>
      <c:layout>
        <c:manualLayout>
          <c:layoutTarget val="inner"/>
          <c:xMode val="edge"/>
          <c:yMode val="edge"/>
          <c:x val="1.7762092391970491E-2"/>
          <c:y val="3.3986321052934067E-2"/>
          <c:w val="0.97005982549530334"/>
          <c:h val="0.76284108282085172"/>
        </c:manualLayout>
      </c:layout>
      <c:bar3DChart>
        <c:barDir val="col"/>
        <c:grouping val="clustered"/>
        <c:varyColors val="0"/>
        <c:ser>
          <c:idx val="1"/>
          <c:order val="0"/>
          <c:tx>
            <c:strRef>
              <c:f>'Meta de Producto'!$J$21</c:f>
              <c:strCache>
                <c:ptCount val="1"/>
                <c:pt idx="0">
                  <c:v>Ejec. Acumulada</c:v>
                </c:pt>
              </c:strCache>
            </c:strRef>
          </c:tx>
          <c:spPr>
            <a:solidFill>
              <a:srgbClr val="F68222"/>
            </a:solidFill>
            <a:ln w="25400">
              <a:noFill/>
            </a:ln>
          </c:spPr>
          <c:invertIfNegative val="0"/>
          <c:dLbls>
            <c:dLbl>
              <c:idx val="0"/>
              <c:layout>
                <c:manualLayout>
                  <c:x val="-9.1505713169903243E-3"/>
                  <c:y val="-6.2456372386935591E-4"/>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1.3570757577001461E-2"/>
                  <c:y val="-7.7267075576637496E-3"/>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3.0626707119560819E-2"/>
                  <c:y val="-2.3391704147129735E-2"/>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1.4830279655949317E-2"/>
                  <c:y val="-3.2156647106515855E-2"/>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'Meta de Producto'!$B$22:$B$25</c:f>
              <c:numCache>
                <c:formatCode>General</c:formatCode>
                <c:ptCount val="4"/>
                <c:pt idx="0">
                  <c:v>2012</c:v>
                </c:pt>
                <c:pt idx="1">
                  <c:v>2013</c:v>
                </c:pt>
                <c:pt idx="2">
                  <c:v>2014</c:v>
                </c:pt>
                <c:pt idx="3" formatCode="@">
                  <c:v>2015</c:v>
                </c:pt>
              </c:numCache>
            </c:numRef>
          </c:cat>
          <c:val>
            <c:numRef>
              <c:f>'Meta de Producto'!$J$22:$J$25</c:f>
              <c:numCache>
                <c:formatCode>_ * #,##0_ ;_ * \-#,##0_ ;_ * "-"??_ ;_ @_ </c:formatCode>
                <c:ptCount val="4"/>
                <c:pt idx="0">
                  <c:v>1</c:v>
                </c:pt>
                <c:pt idx="1">
                  <c:v>1</c:v>
                </c:pt>
                <c:pt idx="2">
                  <c:v>2</c:v>
                </c:pt>
                <c:pt idx="3" formatCode="_ * #,##0.0_ ;_ * \-#,##0.0_ ;_ * &quot;-&quot;??_ ;_ @_ ">
                  <c:v>2</c:v>
                </c:pt>
              </c:numCache>
            </c:numRef>
          </c:val>
          <c:shape val="cylinder"/>
        </c:ser>
        <c:ser>
          <c:idx val="0"/>
          <c:order val="1"/>
          <c:tx>
            <c:strRef>
              <c:f>'Meta de Producto'!$D$21</c:f>
              <c:strCache>
                <c:ptCount val="1"/>
                <c:pt idx="0">
                  <c:v>Prog. Acumulado</c:v>
                </c:pt>
              </c:strCache>
            </c:strRef>
          </c:tx>
          <c:spPr>
            <a:solidFill>
              <a:schemeClr val="tx2">
                <a:lumMod val="60000"/>
                <a:lumOff val="40000"/>
              </a:schemeClr>
            </a:solidFill>
            <a:ln w="25400">
              <a:noFill/>
            </a:ln>
          </c:spPr>
          <c:invertIfNegative val="0"/>
          <c:dLbls>
            <c:dLbl>
              <c:idx val="0"/>
              <c:layout>
                <c:manualLayout>
                  <c:x val="5.4146988491565991E-3"/>
                  <c:y val="-6.983826411122275E-2"/>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7.2712005338536787E-5"/>
                  <c:y val="-3.5692643825605573E-2"/>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1.0762502594407719E-2"/>
                  <c:y val="-1.6260244841657594E-2"/>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2.8776948886978571E-3"/>
                  <c:y val="-2.2486064615565755E-2"/>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'Meta de Producto'!$B$22:$B$25</c:f>
              <c:numCache>
                <c:formatCode>General</c:formatCode>
                <c:ptCount val="4"/>
                <c:pt idx="0">
                  <c:v>2012</c:v>
                </c:pt>
                <c:pt idx="1">
                  <c:v>2013</c:v>
                </c:pt>
                <c:pt idx="2">
                  <c:v>2014</c:v>
                </c:pt>
                <c:pt idx="3" formatCode="@">
                  <c:v>2015</c:v>
                </c:pt>
              </c:numCache>
            </c:numRef>
          </c:cat>
          <c:val>
            <c:numRef>
              <c:f>'Meta de Producto'!$D$22:$D$25</c:f>
              <c:numCache>
                <c:formatCode>_ * #,##0.00_ ;_ * \-#,##0.00_ ;_ * "-"??_ ;_ @_ </c:formatCode>
                <c:ptCount val="4"/>
                <c:pt idx="0" formatCode="_ * #,##0_ ;_ * \-#,##0_ ;_ * &quot;-&quot;??_ ;_ @_ ">
                  <c:v>1</c:v>
                </c:pt>
                <c:pt idx="1">
                  <c:v>2</c:v>
                </c:pt>
                <c:pt idx="2">
                  <c:v>3</c:v>
                </c:pt>
                <c:pt idx="3">
                  <c:v>4</c:v>
                </c:pt>
              </c:numCache>
            </c:numRef>
          </c:val>
          <c:shape val="cylinder"/>
        </c:ser>
        <c:dLbls>
          <c:showLegendKey val="0"/>
          <c:showVal val="0"/>
          <c:showCatName val="0"/>
          <c:showSerName val="0"/>
          <c:showPercent val="0"/>
          <c:showBubbleSize val="0"/>
        </c:dLbls>
        <c:gapWidth val="20"/>
        <c:gapDepth val="110"/>
        <c:shape val="box"/>
        <c:axId val="180818992"/>
        <c:axId val="180819384"/>
        <c:axId val="0"/>
      </c:bar3DChart>
      <c:catAx>
        <c:axId val="180818992"/>
        <c:scaling>
          <c:orientation val="minMax"/>
        </c:scaling>
        <c:delete val="0"/>
        <c:axPos val="b"/>
        <c:majorGridlines>
          <c:spPr>
            <a:ln>
              <a:solidFill>
                <a:schemeClr val="tx2">
                  <a:lumMod val="40000"/>
                  <a:lumOff val="60000"/>
                </a:schemeClr>
              </a:solidFill>
            </a:ln>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Calibri"/>
                <a:ea typeface="Calibri"/>
                <a:cs typeface="Calibri"/>
              </a:defRPr>
            </a:pPr>
            <a:endParaRPr lang="es-CO"/>
          </a:p>
        </c:txPr>
        <c:crossAx val="180819384"/>
        <c:crosses val="autoZero"/>
        <c:auto val="1"/>
        <c:lblAlgn val="ctr"/>
        <c:lblOffset val="100"/>
        <c:noMultiLvlLbl val="0"/>
      </c:catAx>
      <c:valAx>
        <c:axId val="180819384"/>
        <c:scaling>
          <c:orientation val="minMax"/>
        </c:scaling>
        <c:delete val="1"/>
        <c:axPos val="l"/>
        <c:numFmt formatCode="_ * #,##0_ ;_ * \-#,##0_ ;_ * &quot;-&quot;??_ ;_ @_ " sourceLinked="1"/>
        <c:majorTickMark val="out"/>
        <c:minorTickMark val="none"/>
        <c:tickLblPos val="nextTo"/>
        <c:crossAx val="180818992"/>
        <c:crosses val="autoZero"/>
        <c:crossBetween val="between"/>
      </c:valAx>
      <c:spPr>
        <a:solidFill>
          <a:srgbClr val="EEECE1"/>
        </a:solidFill>
        <a:ln w="25400">
          <a:noFill/>
        </a:ln>
      </c:spPr>
    </c:plotArea>
    <c:legend>
      <c:legendPos val="r"/>
      <c:layout>
        <c:manualLayout>
          <c:xMode val="edge"/>
          <c:yMode val="edge"/>
          <c:x val="1.1742400914969427E-2"/>
          <c:y val="0.89938953751470718"/>
          <c:w val="0.94573644774850074"/>
          <c:h val="0.10061046248529282"/>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01936438297942"/>
          <c:y val="4.2553191489361701E-2"/>
          <c:w val="0.8753761974179497"/>
          <c:h val="0.83829787234042552"/>
        </c:manualLayout>
      </c:layout>
      <c:barChart>
        <c:barDir val="bar"/>
        <c:grouping val="clustered"/>
        <c:varyColors val="0"/>
        <c:ser>
          <c:idx val="0"/>
          <c:order val="0"/>
          <c:tx>
            <c:strRef>
              <c:f>'Meta de Producto'!$M$21</c:f>
              <c:strCache>
                <c:ptCount val="1"/>
                <c:pt idx="0">
                  <c:v>Inversión Programada P.I</c:v>
                </c:pt>
              </c:strCache>
            </c:strRef>
          </c:tx>
          <c:spPr>
            <a:solidFill>
              <a:srgbClr val="4F81BD"/>
            </a:solidFill>
            <a:ln w="25400">
              <a:noFill/>
            </a:ln>
            <a:scene3d>
              <a:camera prst="orthographicFront"/>
              <a:lightRig rig="threePt" dir="t"/>
            </a:scene3d>
            <a:sp3d/>
          </c:spPr>
          <c:invertIfNegative val="0"/>
          <c:dLbls>
            <c:dLbl>
              <c:idx val="0"/>
              <c:layout>
                <c:manualLayout>
                  <c:x val="3.1914943079787365E-2"/>
                  <c:y val="1.7826586109725973E-2"/>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7583114610674935E-3"/>
                  <c:y val="6.2871502764282128E-3"/>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5680738464590441E-3"/>
                  <c:y val="7.2923358806953253E-3"/>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5.0757041926091553E-4"/>
                  <c:y val="3.1036842044229007E-3"/>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'Meta de Producto'!$B$22:$B$25</c:f>
              <c:numCache>
                <c:formatCode>General</c:formatCode>
                <c:ptCount val="4"/>
                <c:pt idx="0">
                  <c:v>2012</c:v>
                </c:pt>
                <c:pt idx="1">
                  <c:v>2013</c:v>
                </c:pt>
                <c:pt idx="2">
                  <c:v>2014</c:v>
                </c:pt>
                <c:pt idx="3" formatCode="@">
                  <c:v>2015</c:v>
                </c:pt>
              </c:numCache>
            </c:numRef>
          </c:cat>
          <c:val>
            <c:numRef>
              <c:f>'Meta de Producto'!$M$22:$M$25</c:f>
              <c:numCache>
                <c:formatCode>_ * #,##0_ ;_ * \-#,##0_ ;_ * "-"??_ ;_ @_ </c:formatCode>
                <c:ptCount val="4"/>
                <c:pt idx="0">
                  <c:v>0</c:v>
                </c:pt>
                <c:pt idx="1">
                  <c:v>122</c:v>
                </c:pt>
                <c:pt idx="2">
                  <c:v>125</c:v>
                </c:pt>
                <c:pt idx="3">
                  <c:v>128</c:v>
                </c:pt>
              </c:numCache>
            </c:numRef>
          </c:val>
        </c:ser>
        <c:ser>
          <c:idx val="1"/>
          <c:order val="1"/>
          <c:tx>
            <c:strRef>
              <c:f>'Meta de Producto'!$N$21</c:f>
              <c:strCache>
                <c:ptCount val="1"/>
                <c:pt idx="0">
                  <c:v>Inversión Ejecutada</c:v>
                </c:pt>
              </c:strCache>
            </c:strRef>
          </c:tx>
          <c:spPr>
            <a:solidFill>
              <a:srgbClr val="F68222"/>
            </a:solidFill>
            <a:ln w="25400">
              <a:noFill/>
            </a:ln>
            <a:scene3d>
              <a:camera prst="orthographicFront"/>
              <a:lightRig rig="threePt" dir="t"/>
            </a:scene3d>
            <a:sp3d/>
          </c:spPr>
          <c:invertIfNegative val="0"/>
          <c:dLbls>
            <c:dLbl>
              <c:idx val="0"/>
              <c:layout>
                <c:manualLayout>
                  <c:x val="0.18370691205005754"/>
                  <c:y val="-1.626013243189962E-2"/>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9.2400863892413594E-3"/>
                  <c:y val="-1.4839901720073558E-3"/>
                </c:manualLayout>
              </c:layout>
              <c:spPr>
                <a:noFill/>
                <a:ln w="25400">
                  <a:noFill/>
                </a:ln>
              </c:spPr>
              <c:txPr>
                <a:bodyPr/>
                <a:lstStyle/>
                <a:p>
                  <a:pPr>
                    <a:defRPr sz="8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'Meta de Producto'!$B$22:$B$25</c:f>
              <c:numCache>
                <c:formatCode>General</c:formatCode>
                <c:ptCount val="4"/>
                <c:pt idx="0">
                  <c:v>2012</c:v>
                </c:pt>
                <c:pt idx="1">
                  <c:v>2013</c:v>
                </c:pt>
                <c:pt idx="2">
                  <c:v>2014</c:v>
                </c:pt>
                <c:pt idx="3" formatCode="@">
                  <c:v>2015</c:v>
                </c:pt>
              </c:numCache>
            </c:numRef>
          </c:cat>
          <c:val>
            <c:numRef>
              <c:f>'Meta de Producto'!$N$22:$N$25</c:f>
              <c:numCache>
                <c:formatCode>_ * #,##0_ ;_ * \-#,##0_ ;_ * "-"??_ ;_ @_ </c:formatCode>
                <c:ptCount val="4"/>
                <c:pt idx="0">
                  <c:v>0</c:v>
                </c:pt>
                <c:pt idx="1">
                  <c:v>0</c:v>
                </c:pt>
                <c:pt idx="2">
                  <c:v>0</c:v>
                </c:pt>
                <c:pt idx="3">
                  <c:v>0</c:v>
                </c:pt>
              </c:numCache>
            </c:numRef>
          </c:val>
        </c:ser>
        <c:dLbls>
          <c:showLegendKey val="0"/>
          <c:showVal val="0"/>
          <c:showCatName val="0"/>
          <c:showSerName val="0"/>
          <c:showPercent val="0"/>
          <c:showBubbleSize val="0"/>
        </c:dLbls>
        <c:gapWidth val="17"/>
        <c:axId val="180820168"/>
        <c:axId val="180820560"/>
      </c:barChart>
      <c:catAx>
        <c:axId val="180820168"/>
        <c:scaling>
          <c:orientation val="minMax"/>
        </c:scaling>
        <c:delete val="0"/>
        <c:axPos val="l"/>
        <c:minorGridlines>
          <c:spPr>
            <a:ln w="9525" cap="flat" cmpd="sng" algn="ctr">
              <a:solidFill>
                <a:schemeClr val="tx2">
                  <a:lumMod val="40000"/>
                  <a:lumOff val="60000"/>
                </a:schemeClr>
              </a:solidFill>
              <a:round/>
            </a:ln>
            <a:effectLst/>
          </c:spPr>
        </c:minorGridlines>
        <c:numFmt formatCode="General" sourceLinked="1"/>
        <c:majorTickMark val="none"/>
        <c:minorTickMark val="none"/>
        <c:tickLblPos val="nextTo"/>
        <c:spPr>
          <a:noFill/>
          <a:ln>
            <a:solidFill>
              <a:schemeClr val="bg1">
                <a:lumMod val="85000"/>
              </a:schemeClr>
            </a:solidFill>
          </a:ln>
          <a:effectLst/>
        </c:spPr>
        <c:txPr>
          <a:bodyPr rot="0" vert="horz"/>
          <a:lstStyle/>
          <a:p>
            <a:pPr>
              <a:defRPr sz="700" b="1" i="0" u="none" strike="noStrike" baseline="0">
                <a:solidFill>
                  <a:srgbClr val="333333"/>
                </a:solidFill>
                <a:latin typeface="Calibri"/>
                <a:ea typeface="Calibri"/>
                <a:cs typeface="Calibri"/>
              </a:defRPr>
            </a:pPr>
            <a:endParaRPr lang="es-CO"/>
          </a:p>
        </c:txPr>
        <c:crossAx val="180820560"/>
        <c:crosses val="autoZero"/>
        <c:auto val="1"/>
        <c:lblAlgn val="ctr"/>
        <c:lblOffset val="100"/>
        <c:noMultiLvlLbl val="0"/>
      </c:catAx>
      <c:valAx>
        <c:axId val="180820560"/>
        <c:scaling>
          <c:orientation val="minMax"/>
        </c:scaling>
        <c:delete val="1"/>
        <c:axPos val="b"/>
        <c:numFmt formatCode="_ * #,##0_ ;_ * \-#,##0_ ;_ * &quot;-&quot;??_ ;_ @_ " sourceLinked="1"/>
        <c:majorTickMark val="out"/>
        <c:minorTickMark val="none"/>
        <c:tickLblPos val="nextTo"/>
        <c:crossAx val="180820168"/>
        <c:crosses val="autoZero"/>
        <c:crossBetween val="between"/>
      </c:valAx>
      <c:spPr>
        <a:solidFill>
          <a:schemeClr val="bg2"/>
        </a:solidFill>
        <a:ln>
          <a:solidFill>
            <a:schemeClr val="bg1">
              <a:lumMod val="85000"/>
            </a:schemeClr>
          </a:solidFill>
        </a:ln>
        <a:effectLst/>
      </c:spPr>
    </c:plotArea>
    <c:legend>
      <c:legendPos val="r"/>
      <c:layout>
        <c:manualLayout>
          <c:xMode val="edge"/>
          <c:yMode val="edge"/>
          <c:x val="1.5018225023662322E-2"/>
          <c:y val="0.8921034232423074"/>
          <c:w val="0.92388773653932632"/>
          <c:h val="0.10061048751884738"/>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2"/>
    </a:solidFill>
    <a:ln w="9525" cap="rnd"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67477203647418"/>
          <c:y val="6.1111111111111109E-2"/>
          <c:w val="0.67477203647416417"/>
          <c:h val="0.8833333333333333"/>
        </c:manualLayout>
      </c:layout>
      <c:barChart>
        <c:barDir val="bar"/>
        <c:grouping val="clustered"/>
        <c:varyColors val="0"/>
        <c:ser>
          <c:idx val="2"/>
          <c:order val="0"/>
          <c:tx>
            <c:strRef>
              <c:f>'Metas de Resultado'!$G$24</c:f>
              <c:strCache>
                <c:ptCount val="1"/>
                <c:pt idx="0">
                  <c:v>2014</c:v>
                </c:pt>
              </c:strCache>
            </c:strRef>
          </c:tx>
          <c:spPr>
            <a:solidFill>
              <a:schemeClr val="accent6">
                <a:lumMod val="60000"/>
                <a:lumOff val="40000"/>
              </a:schemeClr>
            </a:solidFill>
            <a:scene3d>
              <a:camera prst="orthographicFront"/>
              <a:lightRig rig="threePt" dir="t"/>
            </a:scene3d>
            <a:sp3d>
              <a:bevelB/>
            </a:sp3d>
          </c:spPr>
          <c:invertIfNegative val="0"/>
          <c:dPt>
            <c:idx val="1"/>
            <c:invertIfNegative val="0"/>
            <c:bubble3D val="0"/>
            <c:spPr>
              <a:solidFill>
                <a:schemeClr val="accent5">
                  <a:lumMod val="75000"/>
                </a:schemeClr>
              </a:solidFill>
              <a:scene3d>
                <a:camera prst="orthographicFront"/>
                <a:lightRig rig="threePt" dir="t"/>
              </a:scene3d>
              <a:sp3d>
                <a:bevelB/>
              </a:sp3d>
            </c:spPr>
          </c:dPt>
          <c:dPt>
            <c:idx val="2"/>
            <c:invertIfNegative val="0"/>
            <c:bubble3D val="0"/>
            <c:spPr>
              <a:solidFill>
                <a:schemeClr val="accent5">
                  <a:lumMod val="75000"/>
                </a:schemeClr>
              </a:solidFill>
              <a:scene3d>
                <a:camera prst="orthographicFront"/>
                <a:lightRig rig="threePt" dir="t"/>
              </a:scene3d>
              <a:sp3d>
                <a:bevelB/>
              </a:sp3d>
            </c:spPr>
          </c:dPt>
          <c:dPt>
            <c:idx val="3"/>
            <c:invertIfNegative val="0"/>
            <c:bubble3D val="0"/>
            <c:spPr>
              <a:solidFill>
                <a:schemeClr val="accent5">
                  <a:lumMod val="75000"/>
                </a:schemeClr>
              </a:solidFill>
              <a:scene3d>
                <a:camera prst="orthographicFront"/>
                <a:lightRig rig="threePt" dir="t"/>
              </a:scene3d>
              <a:sp3d>
                <a:bevelB/>
              </a:sp3d>
            </c:spPr>
          </c:dPt>
          <c:dPt>
            <c:idx val="4"/>
            <c:invertIfNegative val="0"/>
            <c:bubble3D val="0"/>
            <c:spPr>
              <a:solidFill>
                <a:schemeClr val="accent5">
                  <a:lumMod val="75000"/>
                </a:schemeClr>
              </a:solidFill>
              <a:scene3d>
                <a:camera prst="orthographicFront"/>
                <a:lightRig rig="threePt" dir="t"/>
              </a:scene3d>
              <a:sp3d>
                <a:bevelB/>
              </a:sp3d>
            </c:spPr>
          </c:dPt>
          <c:dPt>
            <c:idx val="5"/>
            <c:invertIfNegative val="0"/>
            <c:bubble3D val="0"/>
            <c:spPr>
              <a:solidFill>
                <a:schemeClr val="accent5">
                  <a:lumMod val="75000"/>
                </a:schemeClr>
              </a:solidFill>
              <a:scene3d>
                <a:camera prst="orthographicFront"/>
                <a:lightRig rig="threePt" dir="t"/>
              </a:scene3d>
              <a:sp3d>
                <a:bevelB/>
              </a:sp3d>
            </c:spPr>
          </c:dPt>
          <c:dPt>
            <c:idx val="6"/>
            <c:invertIfNegative val="0"/>
            <c:bubble3D val="0"/>
            <c:spPr>
              <a:solidFill>
                <a:schemeClr val="accent5">
                  <a:lumMod val="75000"/>
                </a:schemeClr>
              </a:solidFill>
              <a:scene3d>
                <a:camera prst="orthographicFront"/>
                <a:lightRig rig="threePt" dir="t"/>
              </a:scene3d>
              <a:sp3d>
                <a:bevelB/>
              </a:sp3d>
            </c:spPr>
          </c:dPt>
          <c:dPt>
            <c:idx val="7"/>
            <c:invertIfNegative val="0"/>
            <c:bubble3D val="0"/>
            <c:spPr>
              <a:solidFill>
                <a:schemeClr val="accent5">
                  <a:lumMod val="75000"/>
                </a:schemeClr>
              </a:solidFill>
              <a:scene3d>
                <a:camera prst="orthographicFront"/>
                <a:lightRig rig="threePt" dir="t"/>
              </a:scene3d>
              <a:sp3d>
                <a:bevelB/>
              </a:sp3d>
            </c:spPr>
          </c:dPt>
          <c:dLbls>
            <c:dLbl>
              <c:idx val="0"/>
              <c:spPr>
                <a:noFill/>
                <a:ln w="25400">
                  <a:noFill/>
                </a:ln>
              </c:spPr>
              <c:txPr>
                <a:bodyPr/>
                <a:lstStyle/>
                <a:p>
                  <a:pPr>
                    <a:defRPr sz="800" b="0" i="0" u="none" strike="noStrike" baseline="0">
                      <a:solidFill>
                        <a:srgbClr val="000000"/>
                      </a:solidFill>
                      <a:latin typeface="Arial Narrow"/>
                      <a:ea typeface="Arial Narrow"/>
                      <a:cs typeface="Arial Narrow"/>
                    </a:defRPr>
                  </a:pPr>
                  <a:endParaRPr lang="es-CO"/>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Arial Narrow"/>
                    <a:ea typeface="Arial Narrow"/>
                    <a:cs typeface="Arial Narrow"/>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'Metas de Resultado'!$B$27:$C$34</c:f>
              <c:strCache>
                <c:ptCount val="8"/>
                <c:pt idx="0">
                  <c:v>CUNDINAMARCA</c:v>
                </c:pt>
                <c:pt idx="1">
                  <c:v>NACIÓN</c:v>
                </c:pt>
                <c:pt idx="2">
                  <c:v>ANTIOQUIA</c:v>
                </c:pt>
                <c:pt idx="3">
                  <c:v>ATLÁNTICO</c:v>
                </c:pt>
                <c:pt idx="4">
                  <c:v>BOGOTÁ D.C.</c:v>
                </c:pt>
                <c:pt idx="5">
                  <c:v>BOYACÁ</c:v>
                </c:pt>
                <c:pt idx="6">
                  <c:v>SANTANDER</c:v>
                </c:pt>
                <c:pt idx="7">
                  <c:v>VALLE</c:v>
                </c:pt>
              </c:strCache>
            </c:strRef>
          </c:cat>
          <c:val>
            <c:numRef>
              <c:f>'Metas de Resultado'!$G$27:$G$34</c:f>
              <c:numCache>
                <c:formatCode>_ * #,##0.0_ ;_ * \-#,##0.0_ ;_ * "-"??_ ;_ @_ </c:formatCode>
                <c:ptCount val="8"/>
                <c:pt idx="0" formatCode="#,##0">
                  <c:v>79.989999999999995</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30"/>
        <c:axId val="180821736"/>
        <c:axId val="180822128"/>
      </c:barChart>
      <c:catAx>
        <c:axId val="180821736"/>
        <c:scaling>
          <c:orientation val="minMax"/>
        </c:scaling>
        <c:delete val="0"/>
        <c:axPos val="l"/>
        <c:majorGridlines>
          <c:spPr>
            <a:ln>
              <a:solidFill>
                <a:srgbClr val="DDE7F3"/>
              </a:solidFill>
            </a:ln>
          </c:spPr>
        </c:majorGridlines>
        <c:numFmt formatCode="General" sourceLinked="1"/>
        <c:majorTickMark val="none"/>
        <c:minorTickMark val="none"/>
        <c:tickLblPos val="nextTo"/>
        <c:spPr>
          <a:ln w="9525">
            <a:noFill/>
          </a:ln>
        </c:spPr>
        <c:txPr>
          <a:bodyPr rot="0" vert="horz"/>
          <a:lstStyle/>
          <a:p>
            <a:pPr>
              <a:defRPr sz="750" b="1" i="0" u="none" strike="noStrike" baseline="0">
                <a:solidFill>
                  <a:srgbClr val="333333"/>
                </a:solidFill>
                <a:latin typeface="Calibri"/>
                <a:ea typeface="Calibri"/>
                <a:cs typeface="Calibri"/>
              </a:defRPr>
            </a:pPr>
            <a:endParaRPr lang="es-CO"/>
          </a:p>
        </c:txPr>
        <c:crossAx val="180822128"/>
        <c:crosses val="autoZero"/>
        <c:auto val="1"/>
        <c:lblAlgn val="ctr"/>
        <c:lblOffset val="100"/>
        <c:noMultiLvlLbl val="0"/>
      </c:catAx>
      <c:valAx>
        <c:axId val="180822128"/>
        <c:scaling>
          <c:orientation val="minMax"/>
        </c:scaling>
        <c:delete val="1"/>
        <c:axPos val="b"/>
        <c:numFmt formatCode="#,##0" sourceLinked="1"/>
        <c:majorTickMark val="out"/>
        <c:minorTickMark val="none"/>
        <c:tickLblPos val="nextTo"/>
        <c:crossAx val="180821736"/>
        <c:crosses val="autoZero"/>
        <c:crossBetween val="between"/>
      </c:valAx>
      <c:spPr>
        <a:solidFill>
          <a:schemeClr val="accent3">
            <a:lumMod val="20000"/>
            <a:lumOff val="80000"/>
          </a:schemeClr>
        </a:solidFill>
        <a:ln w="12700">
          <a:solidFill>
            <a:schemeClr val="bg1">
              <a:lumMod val="95000"/>
            </a:schemeClr>
          </a:solidFill>
        </a:ln>
      </c:spPr>
    </c:plotArea>
    <c:plotVisOnly val="1"/>
    <c:dispBlanksAs val="gap"/>
    <c:showDLblsOverMax val="0"/>
  </c:chart>
  <c:spPr>
    <a:solidFill>
      <a:srgbClr val="FAFBF7"/>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708729553459757E-2"/>
          <c:y val="5.3571358211483976E-2"/>
          <c:w val="0.89482679864451364"/>
          <c:h val="0.69473092668550063"/>
        </c:manualLayout>
      </c:layout>
      <c:lineChart>
        <c:grouping val="standard"/>
        <c:varyColors val="0"/>
        <c:ser>
          <c:idx val="0"/>
          <c:order val="0"/>
          <c:tx>
            <c:strRef>
              <c:f>'Metas de Resultado'!$B$23:$G$23</c:f>
              <c:strCache>
                <c:ptCount val="6"/>
                <c:pt idx="0">
                  <c:v>AVANCE DEL INDICADOR</c:v>
                </c:pt>
              </c:strCache>
            </c:strRef>
          </c:tx>
          <c:spPr>
            <a:ln w="12700" cap="rnd" cmpd="sng" algn="ctr">
              <a:solidFill>
                <a:schemeClr val="accent2">
                  <a:alpha val="98000"/>
                </a:schemeClr>
              </a:solidFill>
              <a:round/>
            </a:ln>
            <a:effectLst/>
          </c:spPr>
          <c:marker>
            <c:symbol val="square"/>
            <c:size val="4"/>
            <c:spPr>
              <a:solidFill>
                <a:schemeClr val="accent2"/>
              </a:solidFill>
              <a:ln>
                <a:noFill/>
              </a:ln>
              <a:effectLst/>
            </c:spPr>
          </c:marker>
          <c:dPt>
            <c:idx val="2"/>
            <c:marker>
              <c:symbol val="square"/>
              <c:size val="4"/>
              <c:spPr>
                <a:solidFill>
                  <a:schemeClr val="accent2"/>
                </a:solidFill>
                <a:ln>
                  <a:noFill/>
                </a:ln>
                <a:effectLst/>
              </c:spPr>
            </c:marker>
            <c:bubble3D val="0"/>
            <c:spPr>
              <a:ln w="12700" cap="rnd" cmpd="sng" algn="ctr">
                <a:solidFill>
                  <a:schemeClr val="accent2">
                    <a:alpha val="98000"/>
                  </a:schemeClr>
                </a:solidFill>
                <a:round/>
              </a:ln>
              <a:effectLst/>
            </c:spPr>
          </c:dPt>
          <c:dLbls>
            <c:dLbl>
              <c:idx val="2"/>
              <c:layout>
                <c:manualLayout>
                  <c:x val="-8.3276396316374082E-2"/>
                  <c:y val="9.768732490927788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'Metas de Resultado'!$E$24:$H$24</c:f>
              <c:numCache>
                <c:formatCode>General</c:formatCode>
                <c:ptCount val="4"/>
                <c:pt idx="0">
                  <c:v>2012</c:v>
                </c:pt>
                <c:pt idx="1">
                  <c:v>2013</c:v>
                </c:pt>
                <c:pt idx="2">
                  <c:v>2014</c:v>
                </c:pt>
                <c:pt idx="3">
                  <c:v>2015</c:v>
                </c:pt>
              </c:numCache>
            </c:numRef>
          </c:cat>
          <c:val>
            <c:numRef>
              <c:f>'Metas de Resultado'!$E$27:$G$27</c:f>
              <c:numCache>
                <c:formatCode>#,##0</c:formatCode>
                <c:ptCount val="3"/>
                <c:pt idx="0">
                  <c:v>76.13</c:v>
                </c:pt>
                <c:pt idx="1">
                  <c:v>78.97</c:v>
                </c:pt>
                <c:pt idx="2">
                  <c:v>79.989999999999995</c:v>
                </c:pt>
              </c:numCache>
            </c:numRef>
          </c:val>
          <c:smooth val="0"/>
        </c:ser>
        <c:ser>
          <c:idx val="1"/>
          <c:order val="1"/>
          <c:tx>
            <c:strRef>
              <c:f>'Metas de Resultado'!$B$26:$C$26</c:f>
              <c:strCache>
                <c:ptCount val="2"/>
                <c:pt idx="0">
                  <c:v>PROG _ ACUMULADO</c:v>
                </c:pt>
              </c:strCache>
            </c:strRef>
          </c:tx>
          <c:spPr>
            <a:ln w="12700" cap="rnd" cmpd="sng" algn="ctr">
              <a:solidFill>
                <a:schemeClr val="accent1"/>
              </a:solidFill>
              <a:round/>
            </a:ln>
            <a:effectLst/>
          </c:spPr>
          <c:marker>
            <c:symbol val="square"/>
            <c:size val="4"/>
            <c:spPr>
              <a:solidFill>
                <a:schemeClr val="accent1"/>
              </a:solidFill>
              <a:ln>
                <a:solidFill>
                  <a:schemeClr val="accent1"/>
                </a:solidFill>
              </a:ln>
              <a:effectLst/>
            </c:spPr>
          </c:marker>
          <c:dLbls>
            <c:dLbl>
              <c:idx val="0"/>
              <c:layout>
                <c:manualLayout>
                  <c:x val="-7.1913080668406987E-2"/>
                  <c:y val="9.143232583521475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12700">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2"/>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'Metas de Resultado'!$E$24:$H$24</c:f>
              <c:numCache>
                <c:formatCode>General</c:formatCode>
                <c:ptCount val="4"/>
                <c:pt idx="0">
                  <c:v>2012</c:v>
                </c:pt>
                <c:pt idx="1">
                  <c:v>2013</c:v>
                </c:pt>
                <c:pt idx="2">
                  <c:v>2014</c:v>
                </c:pt>
                <c:pt idx="3">
                  <c:v>2015</c:v>
                </c:pt>
              </c:numCache>
            </c:numRef>
          </c:cat>
          <c:val>
            <c:numRef>
              <c:f>'Metas de Resultado'!$E$26:$H$26</c:f>
              <c:numCache>
                <c:formatCode>#,##0</c:formatCode>
                <c:ptCount val="4"/>
                <c:pt idx="0">
                  <c:v>76.95</c:v>
                </c:pt>
                <c:pt idx="1">
                  <c:v>77.600000000000009</c:v>
                </c:pt>
                <c:pt idx="2">
                  <c:v>78.250000000000014</c:v>
                </c:pt>
                <c:pt idx="3">
                  <c:v>78.90000000000002</c:v>
                </c:pt>
              </c:numCache>
            </c:numRef>
          </c:val>
          <c:smooth val="0"/>
        </c:ser>
        <c:dLbls>
          <c:dLblPos val="ctr"/>
          <c:showLegendKey val="0"/>
          <c:showVal val="1"/>
          <c:showCatName val="0"/>
          <c:showSerName val="0"/>
          <c:showPercent val="0"/>
          <c:showBubbleSize val="0"/>
        </c:dLbls>
        <c:marker val="1"/>
        <c:smooth val="0"/>
        <c:axId val="180822912"/>
        <c:axId val="180823304"/>
      </c:lineChart>
      <c:catAx>
        <c:axId val="180822912"/>
        <c:scaling>
          <c:orientation val="minMax"/>
        </c:scaling>
        <c:delete val="0"/>
        <c:axPos val="b"/>
        <c:majorGridlines>
          <c:spPr>
            <a:ln>
              <a:solidFill>
                <a:schemeClr val="dk1">
                  <a:lumMod val="15000"/>
                  <a:lumOff val="85000"/>
                </a:schemeClr>
              </a:solidFill>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s-CO"/>
          </a:p>
        </c:txPr>
        <c:crossAx val="180823304"/>
        <c:crosses val="autoZero"/>
        <c:auto val="1"/>
        <c:lblAlgn val="ctr"/>
        <c:lblOffset val="100"/>
        <c:noMultiLvlLbl val="0"/>
      </c:catAx>
      <c:valAx>
        <c:axId val="180823304"/>
        <c:scaling>
          <c:orientation val="minMax"/>
        </c:scaling>
        <c:delete val="1"/>
        <c:axPos val="l"/>
        <c:majorGridlines>
          <c:spPr>
            <a:ln>
              <a:solidFill>
                <a:schemeClr val="dk1">
                  <a:lumMod val="15000"/>
                  <a:lumOff val="85000"/>
                </a:schemeClr>
              </a:solidFill>
            </a:ln>
            <a:effectLst/>
          </c:spPr>
        </c:majorGridlines>
        <c:numFmt formatCode="#,##0" sourceLinked="1"/>
        <c:majorTickMark val="out"/>
        <c:minorTickMark val="none"/>
        <c:tickLblPos val="nextTo"/>
        <c:crossAx val="18082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solidFill>
      <a:schemeClr val="bg1">
        <a:lumMod val="9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xdr:col>
      <xdr:colOff>0</xdr:colOff>
      <xdr:row>2</xdr:row>
      <xdr:rowOff>217710</xdr:rowOff>
    </xdr:from>
    <xdr:to>
      <xdr:col>14</xdr:col>
      <xdr:colOff>328083</xdr:colOff>
      <xdr:row>4</xdr:row>
      <xdr:rowOff>0</xdr:rowOff>
    </xdr:to>
    <xdr:sp macro="" textlink="">
      <xdr:nvSpPr>
        <xdr:cNvPr id="2" name="35 Flecha izquierda"/>
        <xdr:cNvSpPr/>
      </xdr:nvSpPr>
      <xdr:spPr bwMode="auto">
        <a:xfrm rot="10800000">
          <a:off x="9353550" y="636810"/>
          <a:ext cx="328083" cy="315690"/>
        </a:xfrm>
        <a:prstGeom prst="leftArrow">
          <a:avLst/>
        </a:prstGeom>
        <a:solidFill>
          <a:srgbClr val="FFFFFF">
            <a:alpha val="0"/>
          </a:srgbClr>
        </a:solidFill>
        <a:ln w="3175">
          <a:solidFill>
            <a:srgbClr val="FF000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wrap="square" lIns="18288" tIns="0" rIns="0" bIns="0" rtlCol="0" anchor="ctr" upright="1"/>
        <a:lstStyle/>
        <a:p>
          <a:pPr algn="r"/>
          <a:endParaRPr lang="es-CO" sz="1100"/>
        </a:p>
      </xdr:txBody>
    </xdr:sp>
    <xdr:clientData/>
  </xdr:twoCellAnchor>
  <xdr:twoCellAnchor>
    <xdr:from>
      <xdr:col>7</xdr:col>
      <xdr:colOff>10949</xdr:colOff>
      <xdr:row>26</xdr:row>
      <xdr:rowOff>43795</xdr:rowOff>
    </xdr:from>
    <xdr:to>
      <xdr:col>12</xdr:col>
      <xdr:colOff>273707</xdr:colOff>
      <xdr:row>38</xdr:row>
      <xdr:rowOff>175172</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208017</xdr:colOff>
      <xdr:row>26</xdr:row>
      <xdr:rowOff>43792</xdr:rowOff>
    </xdr:from>
    <xdr:to>
      <xdr:col>15</xdr:col>
      <xdr:colOff>351439</xdr:colOff>
      <xdr:row>38</xdr:row>
      <xdr:rowOff>175171</xdr:rowOff>
    </xdr:to>
    <xdr:graphicFrame macro="">
      <xdr:nvGraphicFramePr>
        <xdr:cNvPr id="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68035</xdr:colOff>
      <xdr:row>1</xdr:row>
      <xdr:rowOff>158748</xdr:rowOff>
    </xdr:from>
    <xdr:to>
      <xdr:col>12</xdr:col>
      <xdr:colOff>544287</xdr:colOff>
      <xdr:row>3</xdr:row>
      <xdr:rowOff>42332</xdr:rowOff>
    </xdr:to>
    <xdr:sp macro="" textlink="">
      <xdr:nvSpPr>
        <xdr:cNvPr id="5" name="35 Flecha izquierda"/>
        <xdr:cNvSpPr/>
      </xdr:nvSpPr>
      <xdr:spPr bwMode="auto">
        <a:xfrm rot="10800000">
          <a:off x="7411810" y="396873"/>
          <a:ext cx="476252" cy="302684"/>
        </a:xfrm>
        <a:prstGeom prst="leftArrow">
          <a:avLst/>
        </a:prstGeom>
        <a:solidFill>
          <a:schemeClr val="accent1">
            <a:lumMod val="60000"/>
            <a:lumOff val="40000"/>
            <a:alpha val="0"/>
          </a:schemeClr>
        </a:solidFill>
        <a:ln w="3175">
          <a:solidFill>
            <a:srgbClr val="FF0000"/>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wrap="square" lIns="18288" tIns="0" rIns="0" bIns="0" rtlCol="0" anchor="ctr" upright="1"/>
        <a:lstStyle/>
        <a:p>
          <a:pPr algn="ctr"/>
          <a:endParaRPr lang="es-CO" sz="1100"/>
        </a:p>
      </xdr:txBody>
    </xdr:sp>
    <xdr:clientData/>
  </xdr:twoCellAnchor>
  <xdr:oneCellAnchor>
    <xdr:from>
      <xdr:col>1</xdr:col>
      <xdr:colOff>448879</xdr:colOff>
      <xdr:row>2</xdr:row>
      <xdr:rowOff>164223</xdr:rowOff>
    </xdr:from>
    <xdr:ext cx="3886640" cy="208017"/>
    <xdr:sp macro="" textlink="">
      <xdr:nvSpPr>
        <xdr:cNvPr id="6" name="3 Rectángulo"/>
        <xdr:cNvSpPr/>
      </xdr:nvSpPr>
      <xdr:spPr>
        <a:xfrm>
          <a:off x="448879" y="583323"/>
          <a:ext cx="3886640" cy="208017"/>
        </a:xfrm>
        <a:prstGeom prst="rect">
          <a:avLst/>
        </a:prstGeom>
        <a:noFill/>
        <a:effectLst>
          <a:glow rad="127000">
            <a:srgbClr val="7D4199"/>
          </a:glow>
          <a:outerShdw blurRad="50800" dist="38100" dir="2700000" algn="tl" rotWithShape="0">
            <a:prstClr val="black">
              <a:alpha val="40000"/>
            </a:prstClr>
          </a:outerShdw>
        </a:effectLst>
      </xdr:spPr>
      <xdr:txBody>
        <a:bodyPr wrap="square" lIns="91440" tIns="45720" rIns="91440" bIns="45720">
          <a:noAutofit/>
        </a:bodyPr>
        <a:lstStyle/>
        <a:p>
          <a:pPr algn="ctr">
            <a:lnSpc>
              <a:spcPts val="1300"/>
            </a:lnSpc>
          </a:pPr>
          <a:r>
            <a:rPr lang="es-ES" sz="2000" b="1" cap="none" spc="50" baseline="0">
              <a:ln w="13500">
                <a:solidFill>
                  <a:schemeClr val="accent1">
                    <a:shade val="2500"/>
                    <a:alpha val="6500"/>
                  </a:schemeClr>
                </a:solidFill>
                <a:prstDash val="solid"/>
              </a:ln>
              <a:solidFill>
                <a:srgbClr val="C00000">
                  <a:alpha val="95000"/>
                </a:srgbClr>
              </a:solidFill>
              <a:effectLst>
                <a:innerShdw blurRad="50900" dist="38500" dir="13500000">
                  <a:srgbClr val="000000">
                    <a:alpha val="60000"/>
                  </a:srgbClr>
                </a:innerShdw>
              </a:effectLst>
              <a:latin typeface="+mn-lt"/>
              <a:ea typeface="+mn-ea"/>
              <a:cs typeface="+mn-cs"/>
            </a:rPr>
            <a:t>Abril 01 </a:t>
          </a:r>
          <a:r>
            <a:rPr lang="es-ES" sz="2000" b="1" cap="none" spc="50" baseline="0">
              <a:ln w="13500">
                <a:solidFill>
                  <a:schemeClr val="accent1">
                    <a:shade val="2500"/>
                    <a:alpha val="6500"/>
                  </a:schemeClr>
                </a:solidFill>
                <a:prstDash val="solid"/>
              </a:ln>
              <a:solidFill>
                <a:srgbClr val="C00000">
                  <a:alpha val="95000"/>
                </a:srgbClr>
              </a:solidFill>
              <a:effectLst>
                <a:innerShdw blurRad="50900" dist="38500" dir="13500000">
                  <a:srgbClr val="000000">
                    <a:alpha val="60000"/>
                  </a:srgbClr>
                </a:innerShdw>
              </a:effectLst>
            </a:rPr>
            <a:t>-   Junio 30 de 2015</a:t>
          </a:r>
        </a:p>
        <a:p>
          <a:pPr algn="ctr">
            <a:lnSpc>
              <a:spcPts val="1300"/>
            </a:lnSpc>
          </a:pPr>
          <a:endParaRPr lang="es-ES" sz="2000" b="1" cap="none" spc="50">
            <a:ln w="13500">
              <a:solidFill>
                <a:schemeClr val="accent1">
                  <a:shade val="2500"/>
                  <a:alpha val="6500"/>
                </a:schemeClr>
              </a:solidFill>
              <a:prstDash val="solid"/>
            </a:ln>
            <a:solidFill>
              <a:srgbClr val="C00000">
                <a:alpha val="95000"/>
              </a:srgbClr>
            </a:solidFill>
            <a:effectLst>
              <a:innerShdw blurRad="50900" dist="38500" dir="13500000">
                <a:srgbClr val="000000">
                  <a:alpha val="60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190500</xdr:colOff>
      <xdr:row>23</xdr:row>
      <xdr:rowOff>22151</xdr:rowOff>
    </xdr:from>
    <xdr:to>
      <xdr:col>16</xdr:col>
      <xdr:colOff>971550</xdr:colOff>
      <xdr:row>33</xdr:row>
      <xdr:rowOff>120723</xdr:rowOff>
    </xdr:to>
    <xdr:graphicFrame macro="">
      <xdr:nvGraphicFramePr>
        <xdr:cNvPr id="467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31897</xdr:colOff>
      <xdr:row>23</xdr:row>
      <xdr:rowOff>39650</xdr:rowOff>
    </xdr:from>
    <xdr:to>
      <xdr:col>13</xdr:col>
      <xdr:colOff>132906</xdr:colOff>
      <xdr:row>33</xdr:row>
      <xdr:rowOff>153950</xdr:rowOff>
    </xdr:to>
    <xdr:graphicFrame macro="">
      <xdr:nvGraphicFramePr>
        <xdr:cNvPr id="4671"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228600</xdr:colOff>
      <xdr:row>4</xdr:row>
      <xdr:rowOff>133350</xdr:rowOff>
    </xdr:from>
    <xdr:to>
      <xdr:col>15</xdr:col>
      <xdr:colOff>676275</xdr:colOff>
      <xdr:row>4</xdr:row>
      <xdr:rowOff>142875</xdr:rowOff>
    </xdr:to>
    <xdr:cxnSp macro="">
      <xdr:nvCxnSpPr>
        <xdr:cNvPr id="4672" name="Conector recto de flecha 2"/>
        <xdr:cNvCxnSpPr>
          <a:cxnSpLocks noChangeShapeType="1"/>
        </xdr:cNvCxnSpPr>
      </xdr:nvCxnSpPr>
      <xdr:spPr bwMode="auto">
        <a:xfrm>
          <a:off x="9267825" y="857250"/>
          <a:ext cx="447675" cy="9525"/>
        </a:xfrm>
        <a:prstGeom prst="straightConnector1">
          <a:avLst/>
        </a:prstGeom>
        <a:noFill/>
        <a:ln w="3810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8200</xdr:colOff>
      <xdr:row>2</xdr:row>
      <xdr:rowOff>142876</xdr:rowOff>
    </xdr:from>
    <xdr:to>
      <xdr:col>18</xdr:col>
      <xdr:colOff>22151</xdr:colOff>
      <xdr:row>2</xdr:row>
      <xdr:rowOff>143982</xdr:rowOff>
    </xdr:to>
    <xdr:cxnSp macro="">
      <xdr:nvCxnSpPr>
        <xdr:cNvPr id="4673" name="Conector recto de flecha 17"/>
        <xdr:cNvCxnSpPr>
          <a:cxnSpLocks noChangeShapeType="1"/>
        </xdr:cNvCxnSpPr>
      </xdr:nvCxnSpPr>
      <xdr:spPr bwMode="auto">
        <a:xfrm flipH="1" flipV="1">
          <a:off x="10817967" y="596975"/>
          <a:ext cx="434824" cy="1106"/>
        </a:xfrm>
        <a:prstGeom prst="straightConnector1">
          <a:avLst/>
        </a:prstGeom>
        <a:noFill/>
        <a:ln w="63500" algn="ctr">
          <a:solidFill>
            <a:schemeClr val="accent2"/>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3</xdr:col>
      <xdr:colOff>166133</xdr:colOff>
      <xdr:row>4</xdr:row>
      <xdr:rowOff>22151</xdr:rowOff>
    </xdr:from>
    <xdr:ext cx="3886640" cy="208017"/>
    <xdr:sp macro="" textlink="">
      <xdr:nvSpPr>
        <xdr:cNvPr id="8" name="3 Rectángulo"/>
        <xdr:cNvSpPr/>
      </xdr:nvSpPr>
      <xdr:spPr>
        <a:xfrm>
          <a:off x="1738866" y="753139"/>
          <a:ext cx="3886640" cy="208017"/>
        </a:xfrm>
        <a:prstGeom prst="rect">
          <a:avLst/>
        </a:prstGeom>
        <a:noFill/>
        <a:effectLst>
          <a:glow rad="127000">
            <a:srgbClr val="7D4199"/>
          </a:glow>
          <a:outerShdw blurRad="50800" dist="38100" dir="2700000" algn="tl" rotWithShape="0">
            <a:prstClr val="black">
              <a:alpha val="40000"/>
            </a:prstClr>
          </a:outerShdw>
        </a:effectLst>
      </xdr:spPr>
      <xdr:txBody>
        <a:bodyPr wrap="square" lIns="91440" tIns="45720" rIns="91440" bIns="45720">
          <a:noAutofit/>
        </a:bodyPr>
        <a:lstStyle/>
        <a:p>
          <a:pPr algn="ctr">
            <a:lnSpc>
              <a:spcPts val="1300"/>
            </a:lnSpc>
          </a:pPr>
          <a:r>
            <a:rPr lang="es-ES" sz="2000" b="1" cap="none" spc="50" baseline="0">
              <a:ln w="13500">
                <a:solidFill>
                  <a:schemeClr val="accent1">
                    <a:shade val="2500"/>
                    <a:alpha val="6500"/>
                  </a:schemeClr>
                </a:solidFill>
                <a:prstDash val="solid"/>
              </a:ln>
              <a:solidFill>
                <a:srgbClr val="C00000">
                  <a:alpha val="95000"/>
                </a:srgbClr>
              </a:solidFill>
              <a:effectLst>
                <a:innerShdw blurRad="50900" dist="38500" dir="13500000">
                  <a:srgbClr val="000000">
                    <a:alpha val="60000"/>
                  </a:srgbClr>
                </a:innerShdw>
              </a:effectLst>
              <a:latin typeface="+mn-lt"/>
              <a:ea typeface="+mn-ea"/>
              <a:cs typeface="+mn-cs"/>
            </a:rPr>
            <a:t>Enero 01 </a:t>
          </a:r>
          <a:r>
            <a:rPr lang="es-ES" sz="2000" b="1" cap="none" spc="50" baseline="0">
              <a:ln w="13500">
                <a:solidFill>
                  <a:schemeClr val="accent1">
                    <a:shade val="2500"/>
                    <a:alpha val="6500"/>
                  </a:schemeClr>
                </a:solidFill>
                <a:prstDash val="solid"/>
              </a:ln>
              <a:solidFill>
                <a:srgbClr val="C00000">
                  <a:alpha val="95000"/>
                </a:srgbClr>
              </a:solidFill>
              <a:effectLst>
                <a:innerShdw blurRad="50900" dist="38500" dir="13500000">
                  <a:srgbClr val="000000">
                    <a:alpha val="60000"/>
                  </a:srgbClr>
                </a:innerShdw>
              </a:effectLst>
            </a:rPr>
            <a:t>-   Marzo 31 de 2015</a:t>
          </a:r>
        </a:p>
        <a:p>
          <a:pPr algn="ctr">
            <a:lnSpc>
              <a:spcPts val="1300"/>
            </a:lnSpc>
          </a:pPr>
          <a:endParaRPr lang="es-ES" sz="2000" b="1" cap="none" spc="50">
            <a:ln w="13500">
              <a:solidFill>
                <a:schemeClr val="accent1">
                  <a:shade val="2500"/>
                  <a:alpha val="6500"/>
                </a:schemeClr>
              </a:solidFill>
              <a:prstDash val="solid"/>
            </a:ln>
            <a:solidFill>
              <a:srgbClr val="C00000">
                <a:alpha val="95000"/>
              </a:srgbClr>
            </a:solidFill>
            <a:effectLst>
              <a:innerShdw blurRad="50900" dist="38500" dir="13500000">
                <a:srgbClr val="000000">
                  <a:alpha val="60000"/>
                </a:srgbClr>
              </a:inn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mailto:NI&#209;@S" TargetMode="External"/><Relationship Id="rId2" Type="http://schemas.openxmlformats.org/officeDocument/2006/relationships/hyperlink" Target="mailto:NI&#209;@S" TargetMode="External"/><Relationship Id="rId1" Type="http://schemas.openxmlformats.org/officeDocument/2006/relationships/hyperlink" Target="mailto:NI&#209;@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CD24"/>
  <sheetViews>
    <sheetView topLeftCell="P1" workbookViewId="0">
      <selection activeCell="T27" sqref="T27"/>
    </sheetView>
  </sheetViews>
  <sheetFormatPr baseColWidth="10" defaultRowHeight="12.75" x14ac:dyDescent="0.2"/>
  <cols>
    <col min="1" max="1" width="4.140625" customWidth="1"/>
    <col min="2" max="2" width="2.7109375" bestFit="1" customWidth="1"/>
    <col min="3" max="3" width="14.42578125" customWidth="1"/>
    <col min="4" max="4" width="50.28515625" bestFit="1" customWidth="1"/>
    <col min="5" max="5" width="70.85546875" customWidth="1"/>
    <col min="6" max="6" width="18" bestFit="1" customWidth="1"/>
    <col min="7" max="7" width="29" bestFit="1" customWidth="1"/>
    <col min="8" max="8" width="21.5703125" bestFit="1" customWidth="1"/>
    <col min="9" max="9" width="18.7109375" bestFit="1" customWidth="1"/>
    <col min="10" max="10" width="16.28515625" bestFit="1" customWidth="1"/>
    <col min="11" max="13" width="14.7109375" bestFit="1" customWidth="1"/>
    <col min="14" max="14" width="18.7109375" bestFit="1" customWidth="1"/>
    <col min="15" max="15" width="21.28515625" bestFit="1" customWidth="1"/>
    <col min="16" max="16" width="19.28515625" bestFit="1" customWidth="1"/>
    <col min="17" max="18" width="9.5703125" bestFit="1" customWidth="1"/>
    <col min="19" max="19" width="12.85546875" bestFit="1" customWidth="1"/>
    <col min="20" max="20" width="13.28515625" bestFit="1" customWidth="1"/>
    <col min="21" max="21" width="18.7109375" bestFit="1" customWidth="1"/>
    <col min="22" max="22" width="16.28515625" bestFit="1" customWidth="1"/>
    <col min="23" max="23" width="14.7109375" bestFit="1" customWidth="1"/>
    <col min="24" max="24" width="10.85546875" bestFit="1" customWidth="1"/>
    <col min="25" max="25" width="9.7109375" bestFit="1" customWidth="1"/>
    <col min="26" max="26" width="12.85546875" bestFit="1" customWidth="1"/>
    <col min="27" max="27" width="13.28515625" bestFit="1" customWidth="1"/>
    <col min="28" max="28" width="17.5703125" bestFit="1" customWidth="1"/>
    <col min="29" max="29" width="16.28515625" bestFit="1" customWidth="1"/>
    <col min="30" max="30" width="14.7109375" bestFit="1" customWidth="1"/>
    <col min="31" max="31" width="9" bestFit="1" customWidth="1"/>
    <col min="32" max="32" width="9.42578125" bestFit="1" customWidth="1"/>
    <col min="33" max="33" width="12.85546875" bestFit="1" customWidth="1"/>
    <col min="34" max="34" width="13.28515625" bestFit="1" customWidth="1"/>
    <col min="35" max="35" width="46.7109375" bestFit="1" customWidth="1"/>
    <col min="36" max="38" width="7.85546875" customWidth="1"/>
    <col min="39" max="39" width="48.5703125" bestFit="1" customWidth="1"/>
    <col min="40" max="40" width="7" bestFit="1" customWidth="1"/>
    <col min="41" max="42" width="7" customWidth="1"/>
    <col min="43" max="43" width="60" bestFit="1" customWidth="1"/>
    <col min="44" max="44" width="7" bestFit="1" customWidth="1"/>
    <col min="45" max="46" width="7" customWidth="1"/>
    <col min="47" max="47" width="53.140625" bestFit="1" customWidth="1"/>
    <col min="48" max="48" width="7.85546875" bestFit="1" customWidth="1"/>
    <col min="49" max="50" width="7.85546875" customWidth="1"/>
    <col min="51" max="51" width="43.28515625" bestFit="1" customWidth="1"/>
    <col min="52" max="52" width="7" bestFit="1" customWidth="1"/>
    <col min="53" max="54" width="7" customWidth="1"/>
    <col min="55" max="55" width="31.5703125" bestFit="1" customWidth="1"/>
    <col min="56" max="56" width="8.7109375" bestFit="1" customWidth="1"/>
    <col min="57" max="58" width="8.7109375" customWidth="1"/>
    <col min="59" max="59" width="53.5703125" bestFit="1" customWidth="1"/>
    <col min="60" max="62" width="7.85546875" customWidth="1"/>
    <col min="63" max="63" width="40.28515625" bestFit="1" customWidth="1"/>
    <col min="64" max="64" width="8.7109375" bestFit="1" customWidth="1"/>
    <col min="65" max="66" width="8.7109375" customWidth="1"/>
    <col min="67" max="67" width="40.5703125" bestFit="1" customWidth="1"/>
    <col min="68" max="70" width="7.85546875" customWidth="1"/>
    <col min="71" max="71" width="56.85546875" bestFit="1" customWidth="1"/>
    <col min="72" max="72" width="10.140625" bestFit="1" customWidth="1"/>
    <col min="73" max="74" width="10.140625" customWidth="1"/>
    <col min="75" max="75" width="9.42578125" customWidth="1"/>
    <col min="76" max="78" width="6.5703125" customWidth="1"/>
  </cols>
  <sheetData>
    <row r="2" spans="2:82" x14ac:dyDescent="0.2">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c r="AW2">
        <v>47</v>
      </c>
      <c r="AX2">
        <v>48</v>
      </c>
      <c r="AY2">
        <v>49</v>
      </c>
      <c r="AZ2">
        <v>50</v>
      </c>
      <c r="BA2">
        <v>51</v>
      </c>
      <c r="BB2">
        <v>52</v>
      </c>
      <c r="BC2">
        <v>53</v>
      </c>
      <c r="BD2">
        <v>54</v>
      </c>
      <c r="BE2">
        <v>55</v>
      </c>
      <c r="BF2">
        <v>56</v>
      </c>
      <c r="BG2">
        <v>57</v>
      </c>
      <c r="BH2">
        <v>58</v>
      </c>
      <c r="BI2">
        <v>59</v>
      </c>
      <c r="BJ2">
        <v>60</v>
      </c>
      <c r="BK2">
        <v>61</v>
      </c>
      <c r="BL2">
        <v>62</v>
      </c>
      <c r="BM2">
        <v>63</v>
      </c>
      <c r="BN2">
        <v>64</v>
      </c>
      <c r="BO2">
        <v>65</v>
      </c>
      <c r="BP2">
        <v>66</v>
      </c>
      <c r="BQ2">
        <v>67</v>
      </c>
      <c r="BR2">
        <v>68</v>
      </c>
      <c r="BS2">
        <v>69</v>
      </c>
      <c r="BT2">
        <v>70</v>
      </c>
      <c r="BU2">
        <v>71</v>
      </c>
      <c r="BV2">
        <v>72</v>
      </c>
      <c r="BW2">
        <v>73</v>
      </c>
      <c r="BX2">
        <v>74</v>
      </c>
      <c r="BY2">
        <v>75</v>
      </c>
      <c r="BZ2">
        <v>76</v>
      </c>
      <c r="CA2">
        <v>77</v>
      </c>
    </row>
    <row r="4" spans="2:82" ht="18.75" x14ac:dyDescent="0.3">
      <c r="B4" s="33">
        <v>1</v>
      </c>
      <c r="C4" s="33" t="s">
        <v>2</v>
      </c>
      <c r="D4" s="47" t="s">
        <v>191</v>
      </c>
      <c r="E4" s="47" t="s">
        <v>192</v>
      </c>
      <c r="F4" s="47" t="s">
        <v>93</v>
      </c>
      <c r="G4" s="66" t="s">
        <v>129</v>
      </c>
      <c r="H4" s="66" t="s">
        <v>130</v>
      </c>
      <c r="I4" s="59" t="s">
        <v>125</v>
      </c>
      <c r="J4" s="59" t="s">
        <v>118</v>
      </c>
      <c r="K4" s="59" t="s">
        <v>43</v>
      </c>
      <c r="L4" s="59" t="s">
        <v>126</v>
      </c>
      <c r="M4" s="59" t="s">
        <v>127</v>
      </c>
      <c r="N4" s="60" t="s">
        <v>124</v>
      </c>
      <c r="O4" s="60" t="s">
        <v>119</v>
      </c>
      <c r="P4" s="60" t="s">
        <v>44</v>
      </c>
      <c r="Q4" s="60" t="s">
        <v>94</v>
      </c>
      <c r="R4" s="60" t="s">
        <v>95</v>
      </c>
      <c r="S4" s="60" t="s">
        <v>96</v>
      </c>
      <c r="T4" s="60" t="s">
        <v>97</v>
      </c>
      <c r="U4" s="61" t="s">
        <v>123</v>
      </c>
      <c r="V4" s="61" t="s">
        <v>120</v>
      </c>
      <c r="W4" s="61" t="s">
        <v>46</v>
      </c>
      <c r="X4" s="61" t="s">
        <v>94</v>
      </c>
      <c r="Y4" s="61" t="s">
        <v>95</v>
      </c>
      <c r="Z4" s="61" t="s">
        <v>96</v>
      </c>
      <c r="AA4" s="61" t="s">
        <v>97</v>
      </c>
      <c r="AB4" s="62" t="s">
        <v>122</v>
      </c>
      <c r="AC4" s="62" t="s">
        <v>121</v>
      </c>
      <c r="AD4" s="62" t="s">
        <v>45</v>
      </c>
      <c r="AE4" s="62" t="s">
        <v>94</v>
      </c>
      <c r="AF4" s="62" t="s">
        <v>95</v>
      </c>
      <c r="AG4" s="62" t="s">
        <v>96</v>
      </c>
      <c r="AH4" s="62" t="s">
        <v>97</v>
      </c>
      <c r="AI4" s="67" t="s">
        <v>167</v>
      </c>
      <c r="AJ4" s="67" t="s">
        <v>177</v>
      </c>
      <c r="AK4" s="67" t="s">
        <v>197</v>
      </c>
      <c r="AL4" s="67" t="s">
        <v>198</v>
      </c>
      <c r="AM4" s="67" t="s">
        <v>168</v>
      </c>
      <c r="AN4" s="67" t="s">
        <v>178</v>
      </c>
      <c r="AO4" s="67" t="s">
        <v>197</v>
      </c>
      <c r="AP4" s="67" t="s">
        <v>198</v>
      </c>
      <c r="AQ4" s="67" t="s">
        <v>169</v>
      </c>
      <c r="AR4" s="67" t="s">
        <v>179</v>
      </c>
      <c r="AS4" s="67" t="s">
        <v>197</v>
      </c>
      <c r="AT4" s="67" t="s">
        <v>198</v>
      </c>
      <c r="AU4" s="67" t="s">
        <v>170</v>
      </c>
      <c r="AV4" s="67" t="s">
        <v>180</v>
      </c>
      <c r="AW4" s="67" t="s">
        <v>197</v>
      </c>
      <c r="AX4" s="67" t="s">
        <v>198</v>
      </c>
      <c r="AY4" s="67" t="s">
        <v>171</v>
      </c>
      <c r="AZ4" s="67" t="s">
        <v>181</v>
      </c>
      <c r="BA4" s="67" t="s">
        <v>197</v>
      </c>
      <c r="BB4" s="67" t="s">
        <v>198</v>
      </c>
      <c r="BC4" s="67" t="s">
        <v>172</v>
      </c>
      <c r="BD4" s="67" t="s">
        <v>182</v>
      </c>
      <c r="BE4" s="67" t="s">
        <v>197</v>
      </c>
      <c r="BF4" s="67" t="s">
        <v>198</v>
      </c>
      <c r="BG4" s="67" t="s">
        <v>173</v>
      </c>
      <c r="BH4" s="67" t="s">
        <v>183</v>
      </c>
      <c r="BI4" s="67" t="s">
        <v>197</v>
      </c>
      <c r="BJ4" s="67" t="s">
        <v>198</v>
      </c>
      <c r="BK4" s="67" t="s">
        <v>174</v>
      </c>
      <c r="BL4" s="67" t="s">
        <v>184</v>
      </c>
      <c r="BM4" s="67" t="s">
        <v>197</v>
      </c>
      <c r="BN4" s="67" t="s">
        <v>198</v>
      </c>
      <c r="BO4" s="67" t="s">
        <v>175</v>
      </c>
      <c r="BP4" s="67" t="s">
        <v>185</v>
      </c>
      <c r="BQ4" s="67" t="s">
        <v>197</v>
      </c>
      <c r="BR4" s="67" t="s">
        <v>198</v>
      </c>
      <c r="BS4" s="67" t="s">
        <v>176</v>
      </c>
      <c r="BT4" s="67" t="s">
        <v>186</v>
      </c>
      <c r="BU4" s="67" t="s">
        <v>197</v>
      </c>
      <c r="BV4" s="67" t="s">
        <v>198</v>
      </c>
      <c r="BW4" s="67" t="s">
        <v>187</v>
      </c>
    </row>
    <row r="5" spans="2:82" ht="22.5" x14ac:dyDescent="0.2">
      <c r="B5" s="42">
        <v>2</v>
      </c>
      <c r="C5" s="68" t="s">
        <v>107</v>
      </c>
      <c r="D5" s="320" t="s">
        <v>108</v>
      </c>
      <c r="E5" s="320" t="s">
        <v>114</v>
      </c>
      <c r="F5" s="54">
        <v>49.504519999999843</v>
      </c>
      <c r="G5" s="65">
        <v>31.590484041832859</v>
      </c>
      <c r="H5" s="65">
        <v>37.118978916457813</v>
      </c>
      <c r="I5" s="54">
        <v>8.4783727812718599</v>
      </c>
      <c r="J5" s="56">
        <v>6.9936094051783488</v>
      </c>
      <c r="K5" s="57"/>
      <c r="L5" s="55">
        <v>848592.15342500003</v>
      </c>
      <c r="M5" s="228">
        <v>789442.06737199996</v>
      </c>
      <c r="N5" s="54">
        <v>13.382637561805321</v>
      </c>
      <c r="O5" s="323">
        <v>11.730373124828052</v>
      </c>
      <c r="P5" s="58"/>
      <c r="Q5" s="227">
        <v>833223.91149500001</v>
      </c>
      <c r="R5" s="227">
        <v>758737.20787699998</v>
      </c>
      <c r="S5" s="227">
        <v>53157.949654999997</v>
      </c>
      <c r="T5" s="227">
        <v>32791.712186999997</v>
      </c>
      <c r="U5" s="56">
        <v>14.466252551656599</v>
      </c>
      <c r="V5" s="56">
        <v>12.866501511826376</v>
      </c>
      <c r="W5" s="56"/>
      <c r="X5" s="55">
        <v>915020.43498300004</v>
      </c>
      <c r="Y5" s="55">
        <v>355626.24038700003</v>
      </c>
      <c r="Z5" s="55">
        <v>0</v>
      </c>
      <c r="AA5" s="55">
        <v>5524.8846540000004</v>
      </c>
      <c r="AB5" s="54">
        <v>13.177257105266163</v>
      </c>
      <c r="AC5" s="44"/>
      <c r="AD5" s="44"/>
      <c r="AE5" s="44"/>
      <c r="AF5" s="44"/>
      <c r="AG5" s="44"/>
      <c r="AH5" s="44"/>
      <c r="AI5" s="63" t="s">
        <v>135</v>
      </c>
      <c r="AJ5" s="106">
        <v>3.3940000000000001</v>
      </c>
      <c r="AK5" s="523">
        <v>2.5210659372519837</v>
      </c>
      <c r="AL5" s="107">
        <v>2.1606528202569102</v>
      </c>
      <c r="AM5" s="63" t="s">
        <v>132</v>
      </c>
      <c r="AN5" s="111">
        <v>5.6610000000000005</v>
      </c>
      <c r="AO5" s="112">
        <v>4.0674792222935894</v>
      </c>
      <c r="AP5" s="112">
        <v>3.6723047378183558</v>
      </c>
      <c r="AQ5" s="63" t="s">
        <v>140</v>
      </c>
      <c r="AR5" s="114">
        <v>7.5500000000000007</v>
      </c>
      <c r="AS5" s="115">
        <v>5.7772813594972545</v>
      </c>
      <c r="AT5" s="115">
        <v>5.0777886687032057</v>
      </c>
      <c r="AU5" s="63" t="s">
        <v>136</v>
      </c>
      <c r="AV5" s="111">
        <v>6.3704000000000018</v>
      </c>
      <c r="AW5" s="112">
        <v>4.5411890527538947</v>
      </c>
      <c r="AX5" s="112">
        <v>4.0669487484043172</v>
      </c>
      <c r="AY5" s="63" t="s">
        <v>131</v>
      </c>
      <c r="AZ5" s="111">
        <v>3.3270000000000004</v>
      </c>
      <c r="BA5" s="112">
        <v>2.5143704805617855</v>
      </c>
      <c r="BB5" s="112">
        <v>2.3344439108756823</v>
      </c>
      <c r="BC5" s="63" t="s">
        <v>138</v>
      </c>
      <c r="BD5" s="114">
        <v>2.6306400000000001</v>
      </c>
      <c r="BE5" s="115">
        <v>1.6794250824896102</v>
      </c>
      <c r="BF5" s="115">
        <v>1.5708900106505299</v>
      </c>
      <c r="BG5" s="63" t="s">
        <v>134</v>
      </c>
      <c r="BH5" s="111">
        <v>7.7260000000000009</v>
      </c>
      <c r="BI5" s="112">
        <v>5.5758800371805242</v>
      </c>
      <c r="BJ5" s="112">
        <v>3.8261026479732725</v>
      </c>
      <c r="BK5" s="63" t="s">
        <v>137</v>
      </c>
      <c r="BL5" s="114">
        <v>1.4940000000000002</v>
      </c>
      <c r="BM5" s="115">
        <v>1.267978448275862</v>
      </c>
      <c r="BN5" s="115">
        <v>0.86072189655172426</v>
      </c>
      <c r="BO5" s="63" t="s">
        <v>133</v>
      </c>
      <c r="BP5" s="324">
        <v>1.82548</v>
      </c>
      <c r="BQ5" s="325">
        <v>1.1567738095238096</v>
      </c>
      <c r="BR5" s="325">
        <v>0.87815952380952367</v>
      </c>
      <c r="BS5" s="63" t="s">
        <v>139</v>
      </c>
      <c r="BT5" s="114">
        <v>9.5259999999999927</v>
      </c>
      <c r="BU5" s="115">
        <v>7.053741166762352</v>
      </c>
      <c r="BV5" s="115">
        <v>5.9630505898723163</v>
      </c>
      <c r="BW5" s="524">
        <f>+BT5+BP5+BL5+BH5+BD5+AZ5+AV5+AR5+AN5+AJ5</f>
        <v>49.504519999999992</v>
      </c>
      <c r="BX5" s="64"/>
      <c r="BY5" s="64"/>
      <c r="BZ5" s="64"/>
      <c r="CA5" s="64"/>
      <c r="CB5" s="64"/>
      <c r="CC5" s="64"/>
      <c r="CD5" s="64"/>
    </row>
    <row r="6" spans="2:82" ht="18.75" x14ac:dyDescent="0.3">
      <c r="B6" s="33">
        <v>3</v>
      </c>
      <c r="C6" s="68" t="s">
        <v>188</v>
      </c>
      <c r="D6" s="320" t="s">
        <v>109</v>
      </c>
      <c r="E6" s="320" t="s">
        <v>115</v>
      </c>
      <c r="F6" s="54">
        <v>16.571999999999971</v>
      </c>
      <c r="G6" s="65">
        <v>9.5469531920350885</v>
      </c>
      <c r="H6" s="65">
        <v>11.991511953149919</v>
      </c>
      <c r="I6" s="54">
        <v>1.7600931077330504</v>
      </c>
      <c r="J6" s="56">
        <v>1.6332402192422308</v>
      </c>
      <c r="K6" s="57"/>
      <c r="L6" s="228">
        <v>91618.692670999997</v>
      </c>
      <c r="M6" s="228">
        <v>77785.065642999994</v>
      </c>
      <c r="N6" s="54">
        <v>4.7525805836407482</v>
      </c>
      <c r="O6" s="323">
        <v>4.0660030836407497</v>
      </c>
      <c r="P6" s="58"/>
      <c r="Q6" s="227">
        <v>98804.722846999997</v>
      </c>
      <c r="R6" s="227">
        <v>92454.167096000005</v>
      </c>
      <c r="S6" s="227">
        <v>15826.416987000001</v>
      </c>
      <c r="T6" s="227">
        <v>14902.431987</v>
      </c>
      <c r="U6" s="56">
        <v>4.8346237570752475</v>
      </c>
      <c r="V6" s="56">
        <v>3.8477098891521084</v>
      </c>
      <c r="W6" s="56"/>
      <c r="X6" s="55">
        <v>93099.690191000002</v>
      </c>
      <c r="Y6" s="55">
        <v>45350.419443999999</v>
      </c>
      <c r="Z6" s="55">
        <v>22323.17224</v>
      </c>
      <c r="AA6" s="55">
        <v>0</v>
      </c>
      <c r="AB6" s="54">
        <v>5.2247025515509433</v>
      </c>
      <c r="AC6" s="44"/>
      <c r="AD6" s="44"/>
      <c r="AE6" s="44"/>
      <c r="AF6" s="44"/>
      <c r="AG6" s="44"/>
      <c r="AH6" s="44"/>
      <c r="AI6" s="63" t="s">
        <v>141</v>
      </c>
      <c r="AJ6" s="108">
        <v>1.1600000000000001</v>
      </c>
      <c r="AK6" s="108">
        <v>0.55300000000000005</v>
      </c>
      <c r="AL6" s="108">
        <v>0.52</v>
      </c>
      <c r="AM6" s="63" t="s">
        <v>142</v>
      </c>
      <c r="AN6" s="108">
        <v>2.3149999999999999</v>
      </c>
      <c r="AO6" s="108">
        <v>1.7567500000000003</v>
      </c>
      <c r="AP6" s="108">
        <v>1.5100950862068965</v>
      </c>
      <c r="AQ6" s="63" t="s">
        <v>143</v>
      </c>
      <c r="AR6" s="108">
        <v>2.74</v>
      </c>
      <c r="AS6" s="108">
        <v>1.6248774272427244</v>
      </c>
      <c r="AT6" s="108">
        <v>1.1110531746899608</v>
      </c>
      <c r="AU6" s="63" t="s">
        <v>144</v>
      </c>
      <c r="AV6" s="108">
        <v>2.7340000000000004</v>
      </c>
      <c r="AW6" s="108">
        <v>2.0905</v>
      </c>
      <c r="AX6" s="108">
        <v>1.8133062991943361</v>
      </c>
      <c r="AY6" s="63" t="s">
        <v>145</v>
      </c>
      <c r="AZ6" s="108">
        <v>2.15</v>
      </c>
      <c r="BA6" s="108">
        <v>1.559368827160494</v>
      </c>
      <c r="BB6" s="108">
        <v>1.2460053162292948</v>
      </c>
      <c r="BC6" s="63" t="s">
        <v>165</v>
      </c>
      <c r="BD6" s="108">
        <v>1.2530000000000001</v>
      </c>
      <c r="BE6" s="108">
        <v>0.67429565217391318</v>
      </c>
      <c r="BF6" s="108">
        <v>0.5957956531573898</v>
      </c>
      <c r="BG6" s="63" t="s">
        <v>166</v>
      </c>
      <c r="BH6" s="108">
        <v>2.15</v>
      </c>
      <c r="BI6" s="108">
        <v>1.5380055418719214</v>
      </c>
      <c r="BJ6" s="108">
        <v>1.4691262315270937</v>
      </c>
      <c r="BK6" s="63" t="s">
        <v>148</v>
      </c>
      <c r="BL6" s="108">
        <v>2.0700000000000003</v>
      </c>
      <c r="BM6" s="108">
        <v>1.5505</v>
      </c>
      <c r="BN6" s="108">
        <v>1.2815714310301203</v>
      </c>
      <c r="BO6" s="64"/>
      <c r="BP6" s="64"/>
      <c r="BQ6" s="64"/>
      <c r="BR6" s="64"/>
      <c r="BS6" s="64"/>
      <c r="BT6" s="64"/>
      <c r="BU6" s="64"/>
      <c r="BV6" s="64"/>
      <c r="BW6" s="525">
        <f>+BT6+BP6+BL6+BH6+BD6+AZ6+AV6+AR6+AN6+AJ6</f>
        <v>16.572000000000003</v>
      </c>
      <c r="BX6" s="64"/>
      <c r="BY6" s="64"/>
      <c r="BZ6" s="64"/>
      <c r="CA6" s="64"/>
      <c r="CB6" s="64"/>
      <c r="CC6" s="64"/>
      <c r="CD6" s="64"/>
    </row>
    <row r="7" spans="2:82" ht="22.5" x14ac:dyDescent="0.2">
      <c r="B7" s="42">
        <v>4</v>
      </c>
      <c r="C7" s="68" t="s">
        <v>189</v>
      </c>
      <c r="D7" s="320" t="s">
        <v>110</v>
      </c>
      <c r="E7" s="320" t="s">
        <v>116</v>
      </c>
      <c r="F7" s="54">
        <v>15.166639999999989</v>
      </c>
      <c r="G7" s="65">
        <v>9.3391362395119106</v>
      </c>
      <c r="H7" s="65">
        <v>12.562522531584223</v>
      </c>
      <c r="I7" s="54">
        <v>2.3287545909338525</v>
      </c>
      <c r="J7" s="56">
        <v>1.7631943705037452</v>
      </c>
      <c r="K7" s="57"/>
      <c r="L7" s="228">
        <v>156581.559783</v>
      </c>
      <c r="M7" s="228">
        <v>144612.98992699999</v>
      </c>
      <c r="N7" s="54">
        <v>4.4760210168133554</v>
      </c>
      <c r="O7" s="323">
        <v>3.97075904021237</v>
      </c>
      <c r="P7" s="58"/>
      <c r="Q7" s="227">
        <v>183452.76885699999</v>
      </c>
      <c r="R7" s="227">
        <v>181036.095516</v>
      </c>
      <c r="S7" s="227">
        <v>114163.673818</v>
      </c>
      <c r="T7" s="227">
        <v>36905.343904000001</v>
      </c>
      <c r="U7" s="56">
        <v>4.6187288905579864</v>
      </c>
      <c r="V7" s="56">
        <v>3.6051828287957974</v>
      </c>
      <c r="W7" s="56"/>
      <c r="X7" s="55">
        <v>169339.15081399999</v>
      </c>
      <c r="Y7" s="55">
        <v>48064.202250000002</v>
      </c>
      <c r="Z7" s="55">
        <v>13107.743952999999</v>
      </c>
      <c r="AA7" s="55">
        <v>22291.704922000001</v>
      </c>
      <c r="AB7" s="54">
        <v>3.7431355016948089</v>
      </c>
      <c r="AC7" s="44"/>
      <c r="AD7" s="44"/>
      <c r="AE7" s="44"/>
      <c r="AF7" s="44"/>
      <c r="AG7" s="44"/>
      <c r="AH7" s="44"/>
      <c r="AI7" s="63" t="s">
        <v>149</v>
      </c>
      <c r="AJ7" s="109">
        <v>2.3250000000000002</v>
      </c>
      <c r="AK7" s="109">
        <v>1.9081023809523807</v>
      </c>
      <c r="AL7" s="109">
        <v>1.392115238095238</v>
      </c>
      <c r="AM7" s="63" t="s">
        <v>150</v>
      </c>
      <c r="AN7" s="113">
        <v>0.99500000000000011</v>
      </c>
      <c r="AO7" s="113">
        <v>0.77950000000000008</v>
      </c>
      <c r="AP7" s="113">
        <v>0.62440000004917384</v>
      </c>
      <c r="AQ7" s="63" t="s">
        <v>151</v>
      </c>
      <c r="AR7" s="113">
        <v>1.2450000000000001</v>
      </c>
      <c r="AS7" s="113">
        <v>0.92041666666666666</v>
      </c>
      <c r="AT7" s="113">
        <v>0.64673611111111118</v>
      </c>
      <c r="AU7" s="63" t="s">
        <v>152</v>
      </c>
      <c r="AV7" s="113">
        <v>4.3766400000000001</v>
      </c>
      <c r="AW7" s="113">
        <v>3.0114944250451194</v>
      </c>
      <c r="AX7" s="113">
        <v>2.3999588656286415</v>
      </c>
      <c r="AY7" s="63" t="s">
        <v>153</v>
      </c>
      <c r="AZ7" s="113">
        <v>3.74</v>
      </c>
      <c r="BA7" s="113">
        <v>2.9143333333333334</v>
      </c>
      <c r="BB7" s="113">
        <v>2.616583332320054</v>
      </c>
      <c r="BC7" s="63" t="s">
        <v>154</v>
      </c>
      <c r="BD7" s="113">
        <v>1.8200000000000003</v>
      </c>
      <c r="BE7" s="113">
        <v>1.3568499999999999</v>
      </c>
      <c r="BF7" s="113">
        <v>1.1265350000000001</v>
      </c>
      <c r="BG7" s="63" t="s">
        <v>155</v>
      </c>
      <c r="BH7" s="113">
        <v>0.66500000000000004</v>
      </c>
      <c r="BI7" s="113">
        <v>0.53280769230769232</v>
      </c>
      <c r="BJ7" s="113">
        <v>0.53280769230769232</v>
      </c>
      <c r="BK7" s="64"/>
      <c r="BO7" s="64"/>
      <c r="BP7" s="64"/>
      <c r="BQ7" s="64"/>
      <c r="BR7" s="64"/>
      <c r="BS7" s="64"/>
      <c r="BT7" s="64"/>
      <c r="BU7" s="64"/>
      <c r="BV7" s="64"/>
      <c r="BW7" s="525">
        <f>+BT7+BP7+BL7+BH7+BD7+AZ7+AV7+AR7+AN7+AJ7</f>
        <v>15.166640000000001</v>
      </c>
      <c r="BX7" s="64"/>
      <c r="BY7" s="64"/>
      <c r="BZ7" s="64"/>
      <c r="CA7" s="64"/>
      <c r="CB7" s="64"/>
      <c r="CC7" s="64"/>
      <c r="CD7" s="64"/>
    </row>
    <row r="8" spans="2:82" ht="33.75" x14ac:dyDescent="0.3">
      <c r="B8" s="33">
        <v>5</v>
      </c>
      <c r="C8" s="68" t="s">
        <v>190</v>
      </c>
      <c r="D8" s="320" t="s">
        <v>111</v>
      </c>
      <c r="E8" s="320" t="s">
        <v>117</v>
      </c>
      <c r="F8" s="54">
        <v>18.761639999999979</v>
      </c>
      <c r="G8" s="65">
        <v>10.97120078108199</v>
      </c>
      <c r="H8" s="65">
        <v>15.031955795510124</v>
      </c>
      <c r="I8" s="54">
        <v>2.8772563218559633</v>
      </c>
      <c r="J8" s="56">
        <v>2.1606887505333403</v>
      </c>
      <c r="K8" s="57"/>
      <c r="L8" s="228">
        <v>327954.54921799997</v>
      </c>
      <c r="M8" s="228">
        <v>309242.35819499998</v>
      </c>
      <c r="N8" s="54">
        <v>5.6963237669069029</v>
      </c>
      <c r="O8" s="323">
        <v>4.517059474031238</v>
      </c>
      <c r="P8" s="58"/>
      <c r="Q8" s="227">
        <v>393509.94781300001</v>
      </c>
      <c r="R8" s="227">
        <v>346760.93192399997</v>
      </c>
      <c r="S8" s="227">
        <v>450</v>
      </c>
      <c r="T8" s="227">
        <v>291.79999900000001</v>
      </c>
      <c r="U8" s="56">
        <v>5.5818964986106723</v>
      </c>
      <c r="V8" s="56">
        <v>4.2934525565174102</v>
      </c>
      <c r="W8" s="56"/>
      <c r="X8" s="55">
        <v>317389.20458800002</v>
      </c>
      <c r="Y8" s="55">
        <v>110476.000776</v>
      </c>
      <c r="Z8" s="55">
        <v>1125</v>
      </c>
      <c r="AA8" s="55">
        <v>0</v>
      </c>
      <c r="AB8" s="54">
        <v>4.6061634126264561</v>
      </c>
      <c r="AC8" s="44"/>
      <c r="AD8" s="44"/>
      <c r="AE8" s="44"/>
      <c r="AF8" s="44"/>
      <c r="AG8" s="44"/>
      <c r="AH8" s="44"/>
      <c r="AI8" s="63" t="s">
        <v>162</v>
      </c>
      <c r="AJ8" s="110">
        <v>2.5009999999999999</v>
      </c>
      <c r="AK8" s="110">
        <v>1.9190801724137936</v>
      </c>
      <c r="AL8" s="110">
        <v>1.3977728116710877</v>
      </c>
      <c r="AM8" s="63" t="s">
        <v>156</v>
      </c>
      <c r="AN8" s="110">
        <v>3.7356400000000001</v>
      </c>
      <c r="AO8" s="110">
        <v>2.9297853035211525</v>
      </c>
      <c r="AP8" s="110">
        <v>2.5464184666496421</v>
      </c>
      <c r="AQ8" s="63" t="s">
        <v>157</v>
      </c>
      <c r="AR8" s="110">
        <v>1.673</v>
      </c>
      <c r="AS8" s="110">
        <v>1.3451499999999998</v>
      </c>
      <c r="AT8" s="110">
        <v>1.0372833333333333</v>
      </c>
      <c r="AU8" s="63" t="s">
        <v>158</v>
      </c>
      <c r="AV8" s="110">
        <v>2.1590000000000003</v>
      </c>
      <c r="AW8" s="110">
        <v>1.7890889081931389</v>
      </c>
      <c r="AX8" s="110">
        <v>1.3537393642864932</v>
      </c>
      <c r="AY8" s="63" t="s">
        <v>159</v>
      </c>
      <c r="AZ8" s="110">
        <v>0.58400000000000007</v>
      </c>
      <c r="BA8" s="110">
        <v>0.42699999999999999</v>
      </c>
      <c r="BB8" s="110">
        <v>0.41049999999999998</v>
      </c>
      <c r="BC8" s="63" t="s">
        <v>160</v>
      </c>
      <c r="BD8" s="110">
        <v>5.7990000000000004</v>
      </c>
      <c r="BE8" s="110">
        <v>4.2003829175311731</v>
      </c>
      <c r="BF8" s="110">
        <v>3.0969064479985766</v>
      </c>
      <c r="BG8" s="63" t="s">
        <v>161</v>
      </c>
      <c r="BH8" s="110">
        <v>0.82500000000000007</v>
      </c>
      <c r="BI8" s="110">
        <v>0.57915000000000005</v>
      </c>
      <c r="BJ8" s="110">
        <v>0.419375</v>
      </c>
      <c r="BK8" s="63" t="s">
        <v>163</v>
      </c>
      <c r="BL8" s="110">
        <v>1.4850000000000001</v>
      </c>
      <c r="BM8" s="110">
        <v>0.96583928571428579</v>
      </c>
      <c r="BN8" s="110">
        <v>0.70920535714285715</v>
      </c>
      <c r="BO8" s="64"/>
      <c r="BP8" s="64"/>
      <c r="BQ8" s="64"/>
      <c r="BR8" s="64"/>
      <c r="BS8" s="64"/>
      <c r="BT8" s="64"/>
      <c r="BU8" s="64"/>
      <c r="BV8" s="64"/>
      <c r="BW8" s="525">
        <f>+BT8+BP8+BL8+BH8+BD8+AZ8+AV8+AR8+AN8+AJ8</f>
        <v>18.761640000000003</v>
      </c>
      <c r="BX8" s="64"/>
      <c r="BY8" s="64"/>
      <c r="BZ8" s="64"/>
      <c r="CA8" s="64"/>
      <c r="CB8" s="64"/>
      <c r="CC8" s="64"/>
      <c r="CD8" s="64"/>
    </row>
    <row r="9" spans="2:82" ht="18.75" x14ac:dyDescent="0.2">
      <c r="B9" s="42"/>
      <c r="C9" s="42"/>
      <c r="D9" s="30"/>
      <c r="E9" s="43" t="s">
        <v>128</v>
      </c>
      <c r="F9" s="321">
        <f>SUM(F5:F8)</f>
        <v>100.00479999999979</v>
      </c>
      <c r="G9" s="321">
        <f>SUM(G5:G8)</f>
        <v>61.447774254461848</v>
      </c>
      <c r="H9" s="321">
        <f>SUM(H5:H8)</f>
        <v>76.704969196702081</v>
      </c>
      <c r="I9" s="321">
        <f>SUM(I5:I8)</f>
        <v>15.444476801794726</v>
      </c>
      <c r="J9" s="321">
        <f>SUM(J5:J8)</f>
        <v>12.550732745457665</v>
      </c>
      <c r="K9" s="321">
        <f t="shared" ref="K9:AH9" si="0">SUM(K5:K8)</f>
        <v>0</v>
      </c>
      <c r="L9" s="322">
        <f t="shared" si="0"/>
        <v>1424746.9550969999</v>
      </c>
      <c r="M9" s="322">
        <f t="shared" si="0"/>
        <v>1321082.481137</v>
      </c>
      <c r="N9" s="321">
        <f t="shared" si="0"/>
        <v>28.307562929166327</v>
      </c>
      <c r="O9" s="321">
        <f t="shared" si="0"/>
        <v>24.28419472271241</v>
      </c>
      <c r="P9" s="321">
        <f t="shared" si="0"/>
        <v>0</v>
      </c>
      <c r="Q9" s="322">
        <f t="shared" si="0"/>
        <v>1508991.3510120001</v>
      </c>
      <c r="R9" s="322">
        <f t="shared" si="0"/>
        <v>1378988.4024129999</v>
      </c>
      <c r="S9" s="322">
        <f t="shared" si="0"/>
        <v>183598.04045999999</v>
      </c>
      <c r="T9" s="322">
        <f t="shared" si="0"/>
        <v>84891.28807699999</v>
      </c>
      <c r="U9" s="321">
        <f t="shared" si="0"/>
        <v>29.501501697900501</v>
      </c>
      <c r="V9" s="321">
        <f t="shared" si="0"/>
        <v>24.612846786291691</v>
      </c>
      <c r="W9" s="321">
        <f t="shared" si="0"/>
        <v>0</v>
      </c>
      <c r="X9" s="322">
        <f t="shared" si="0"/>
        <v>1494848.4805759999</v>
      </c>
      <c r="Y9" s="322">
        <f t="shared" si="0"/>
        <v>559516.86285699997</v>
      </c>
      <c r="Z9" s="322">
        <f t="shared" si="0"/>
        <v>36555.916192999997</v>
      </c>
      <c r="AA9" s="322">
        <f t="shared" si="0"/>
        <v>27816.589576000002</v>
      </c>
      <c r="AB9" s="321">
        <f t="shared" si="0"/>
        <v>26.751258571138372</v>
      </c>
      <c r="AC9" s="321">
        <f t="shared" si="0"/>
        <v>0</v>
      </c>
      <c r="AD9" s="321">
        <f t="shared" si="0"/>
        <v>0</v>
      </c>
      <c r="AE9" s="321">
        <f t="shared" si="0"/>
        <v>0</v>
      </c>
      <c r="AF9" s="321">
        <f t="shared" si="0"/>
        <v>0</v>
      </c>
      <c r="AG9" s="321">
        <f t="shared" si="0"/>
        <v>0</v>
      </c>
      <c r="AH9" s="321">
        <f t="shared" si="0"/>
        <v>0</v>
      </c>
      <c r="AI9" s="45"/>
      <c r="AJ9" s="86"/>
      <c r="AK9" s="45"/>
      <c r="AL9" s="45"/>
      <c r="AM9" s="45"/>
      <c r="AN9" s="45"/>
      <c r="AO9" s="45"/>
      <c r="AP9" s="45"/>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f>SUM(BW5:BW8)</f>
        <v>100.00479999999999</v>
      </c>
      <c r="BX9" s="64"/>
      <c r="BY9" s="64"/>
      <c r="BZ9" s="64"/>
      <c r="CA9" s="64"/>
      <c r="CB9" s="64"/>
      <c r="CC9" s="64"/>
      <c r="CD9" s="64"/>
    </row>
    <row r="15" spans="2:82" x14ac:dyDescent="0.2">
      <c r="Q15" s="226"/>
      <c r="R15" s="226"/>
      <c r="S15" s="226"/>
      <c r="T15" s="226"/>
    </row>
    <row r="16" spans="2:82" x14ac:dyDescent="0.2">
      <c r="Q16" s="226"/>
      <c r="R16" s="226"/>
      <c r="S16" s="226"/>
      <c r="T16" s="226"/>
    </row>
    <row r="17" spans="12:20" x14ac:dyDescent="0.2">
      <c r="Q17" s="226"/>
      <c r="R17" s="226"/>
      <c r="S17" s="226"/>
      <c r="T17" s="226"/>
    </row>
    <row r="18" spans="12:20" x14ac:dyDescent="0.2">
      <c r="L18" s="226"/>
      <c r="M18" s="226"/>
      <c r="Q18" s="226"/>
      <c r="R18" s="226"/>
      <c r="S18" s="226"/>
      <c r="T18" s="226"/>
    </row>
    <row r="19" spans="12:20" x14ac:dyDescent="0.2">
      <c r="L19" s="226"/>
      <c r="M19" s="226"/>
    </row>
    <row r="20" spans="12:20" x14ac:dyDescent="0.2">
      <c r="L20" s="226"/>
      <c r="M20" s="226"/>
    </row>
    <row r="21" spans="12:20" x14ac:dyDescent="0.2">
      <c r="L21" s="226"/>
      <c r="M21" s="226"/>
      <c r="Q21" s="226"/>
      <c r="R21" s="226"/>
      <c r="S21" s="226"/>
      <c r="T21" s="226"/>
    </row>
    <row r="22" spans="12:20" x14ac:dyDescent="0.2">
      <c r="Q22" s="226"/>
      <c r="R22" s="226"/>
      <c r="S22" s="226"/>
      <c r="T22" s="226"/>
    </row>
    <row r="23" spans="12:20" x14ac:dyDescent="0.2">
      <c r="Q23" s="226"/>
      <c r="R23" s="226"/>
      <c r="S23" s="226"/>
      <c r="T23" s="226"/>
    </row>
    <row r="24" spans="12:20" x14ac:dyDescent="0.2">
      <c r="Q24" s="226"/>
      <c r="R24" s="226"/>
      <c r="S24" s="226"/>
      <c r="T24" s="2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7030A0"/>
  </sheetPr>
  <dimension ref="A1:DQ652"/>
  <sheetViews>
    <sheetView zoomScale="90" zoomScaleNormal="90" workbookViewId="0">
      <pane xSplit="5" ySplit="3" topLeftCell="M28" activePane="bottomRight" state="frozen"/>
      <selection pane="topRight" activeCell="F1" sqref="F1"/>
      <selection pane="bottomLeft" activeCell="A4" sqref="A4"/>
      <selection pane="bottomRight" activeCell="D29" sqref="D29:D36"/>
    </sheetView>
  </sheetViews>
  <sheetFormatPr baseColWidth="10" defaultColWidth="0" defaultRowHeight="11.25" x14ac:dyDescent="0.2"/>
  <cols>
    <col min="1" max="1" width="7.28515625" style="20" bestFit="1" customWidth="1"/>
    <col min="2" max="2" width="32.28515625" style="15" customWidth="1"/>
    <col min="3" max="3" width="34" style="14" customWidth="1"/>
    <col min="4" max="4" width="7.42578125" style="15" customWidth="1"/>
    <col min="5" max="5" width="56.140625" style="15" customWidth="1"/>
    <col min="6" max="6" width="8.85546875" style="15" customWidth="1"/>
    <col min="7" max="14" width="6" style="15" bestFit="1" customWidth="1"/>
    <col min="15" max="15" width="7" style="15" bestFit="1" customWidth="1"/>
    <col min="16" max="16" width="18.7109375" style="15" bestFit="1" customWidth="1"/>
    <col min="17" max="17" width="16.28515625" style="15" bestFit="1" customWidth="1"/>
    <col min="18" max="18" width="14.7109375" style="15" bestFit="1" customWidth="1"/>
    <col min="19" max="20" width="14.5703125" style="15" bestFit="1" customWidth="1"/>
    <col min="21" max="21" width="18.7109375" style="15" bestFit="1" customWidth="1"/>
    <col min="22" max="22" width="16.28515625" style="15" bestFit="1" customWidth="1"/>
    <col min="23" max="23" width="14.7109375" style="15" bestFit="1" customWidth="1"/>
    <col min="24" max="25" width="14.5703125" style="15" bestFit="1" customWidth="1"/>
    <col min="26" max="27" width="13.5703125" style="15" bestFit="1" customWidth="1"/>
    <col min="28" max="28" width="18.7109375" style="15" bestFit="1" customWidth="1"/>
    <col min="29" max="29" width="16.28515625" style="15" bestFit="1" customWidth="1"/>
    <col min="30" max="30" width="14.7109375" style="15" bestFit="1" customWidth="1"/>
    <col min="31" max="32" width="14.5703125" style="15" bestFit="1" customWidth="1"/>
    <col min="33" max="34" width="13.5703125" style="15" bestFit="1" customWidth="1"/>
    <col min="35" max="35" width="17.5703125" style="7" bestFit="1" customWidth="1"/>
    <col min="36" max="36" width="16.28515625" style="7" bestFit="1" customWidth="1"/>
    <col min="37" max="37" width="14.7109375" style="7" bestFit="1" customWidth="1"/>
    <col min="38" max="38" width="9" style="7" bestFit="1" customWidth="1"/>
    <col min="39" max="39" width="9.42578125" style="7" bestFit="1" customWidth="1"/>
    <col min="40" max="40" width="12.85546875" style="7" bestFit="1" customWidth="1"/>
    <col min="41" max="41" width="13.28515625" style="7" bestFit="1" customWidth="1"/>
    <col min="42" max="42" width="31" style="7" bestFit="1" customWidth="1"/>
    <col min="43" max="43" width="30" style="7" bestFit="1" customWidth="1"/>
    <col min="44" max="44" width="29.7109375" style="7" bestFit="1" customWidth="1"/>
    <col min="45" max="45" width="26.140625" style="7" bestFit="1" customWidth="1"/>
    <col min="46" max="46" width="27.140625" style="7" bestFit="1" customWidth="1"/>
    <col min="47" max="47" width="26.140625" style="7" bestFit="1" customWidth="1"/>
    <col min="48" max="48" width="24.7109375" style="7" bestFit="1" customWidth="1"/>
    <col min="49" max="49" width="26.140625" style="7" bestFit="1" customWidth="1"/>
    <col min="50" max="50" width="11.5703125" style="7" bestFit="1" customWidth="1"/>
    <col min="51" max="51" width="31" style="7" bestFit="1" customWidth="1"/>
    <col min="52" max="52" width="9.85546875" style="7" bestFit="1" customWidth="1"/>
    <col min="53" max="53" width="10.28515625" style="7" bestFit="1" customWidth="1"/>
    <col min="54" max="54" width="19" style="7" bestFit="1" customWidth="1"/>
    <col min="55" max="55" width="12.7109375" style="7" bestFit="1" customWidth="1"/>
    <col min="56" max="56" width="12.7109375" style="18" bestFit="1" customWidth="1"/>
    <col min="57" max="57" width="12.7109375" style="7" bestFit="1" customWidth="1"/>
    <col min="58" max="61" width="14.42578125" style="7" bestFit="1" customWidth="1"/>
    <col min="62" max="65" width="13.85546875" style="7" bestFit="1" customWidth="1"/>
    <col min="66" max="69" width="16" style="7" bestFit="1" customWidth="1"/>
    <col min="70" max="73" width="12.7109375" style="7" bestFit="1" customWidth="1"/>
    <col min="74" max="77" width="15.28515625" style="7" bestFit="1" customWidth="1"/>
    <col min="78" max="81" width="10.42578125" style="7" bestFit="1" customWidth="1"/>
    <col min="82" max="90" width="7" style="7" bestFit="1" customWidth="1"/>
    <col min="91" max="99" width="7.85546875" style="7" bestFit="1" customWidth="1"/>
    <col min="100" max="106" width="5.7109375" style="7" bestFit="1" customWidth="1"/>
    <col min="107" max="120" width="11.42578125" style="7" customWidth="1"/>
    <col min="121" max="252" width="11.42578125" style="105" customWidth="1"/>
    <col min="253" max="253" width="7.7109375" style="105" customWidth="1"/>
    <col min="254" max="16384" width="0" style="105" hidden="1"/>
  </cols>
  <sheetData>
    <row r="1" spans="1:121" s="21" customFormat="1" x14ac:dyDescent="0.2">
      <c r="A1" s="20"/>
      <c r="B1" s="22">
        <v>1</v>
      </c>
      <c r="C1" s="22">
        <v>2</v>
      </c>
      <c r="D1" s="22">
        <v>3</v>
      </c>
      <c r="E1" s="22">
        <v>4</v>
      </c>
      <c r="F1" s="22">
        <v>5</v>
      </c>
      <c r="G1" s="22">
        <v>6</v>
      </c>
      <c r="H1" s="22">
        <v>7</v>
      </c>
      <c r="I1" s="22">
        <v>8</v>
      </c>
      <c r="J1" s="22">
        <v>9</v>
      </c>
      <c r="K1" s="22">
        <v>10</v>
      </c>
      <c r="L1" s="22">
        <v>11</v>
      </c>
      <c r="M1" s="22">
        <v>12</v>
      </c>
      <c r="N1" s="22">
        <v>13</v>
      </c>
      <c r="O1" s="22">
        <v>14</v>
      </c>
      <c r="P1" s="22">
        <v>15</v>
      </c>
      <c r="Q1" s="22">
        <v>16</v>
      </c>
      <c r="R1" s="22">
        <v>17</v>
      </c>
      <c r="S1" s="22">
        <v>18</v>
      </c>
      <c r="T1" s="22">
        <v>19</v>
      </c>
      <c r="U1" s="22">
        <v>20</v>
      </c>
      <c r="V1" s="22">
        <v>21</v>
      </c>
      <c r="W1" s="22">
        <v>22</v>
      </c>
      <c r="X1" s="22">
        <v>23</v>
      </c>
      <c r="Y1" s="22">
        <v>24</v>
      </c>
      <c r="Z1" s="22">
        <v>25</v>
      </c>
      <c r="AA1" s="22">
        <v>26</v>
      </c>
      <c r="AB1" s="22">
        <v>27</v>
      </c>
      <c r="AC1" s="22">
        <v>28</v>
      </c>
      <c r="AD1" s="22">
        <v>29</v>
      </c>
      <c r="AE1" s="22">
        <v>30</v>
      </c>
      <c r="AF1" s="22">
        <v>31</v>
      </c>
      <c r="AG1" s="22">
        <v>32</v>
      </c>
      <c r="AH1" s="22">
        <v>33</v>
      </c>
      <c r="AI1" s="22">
        <v>34</v>
      </c>
      <c r="AJ1" s="22">
        <v>35</v>
      </c>
      <c r="AK1" s="22">
        <v>36</v>
      </c>
      <c r="AL1" s="22">
        <v>37</v>
      </c>
      <c r="AM1" s="22">
        <v>38</v>
      </c>
      <c r="AN1" s="22">
        <v>39</v>
      </c>
      <c r="AO1" s="22">
        <v>40</v>
      </c>
      <c r="AP1" s="22">
        <v>41</v>
      </c>
      <c r="AQ1" s="22">
        <v>42</v>
      </c>
      <c r="AR1" s="22">
        <v>43</v>
      </c>
      <c r="AS1" s="22">
        <v>44</v>
      </c>
      <c r="AT1" s="22">
        <v>45</v>
      </c>
      <c r="AU1" s="22">
        <v>46</v>
      </c>
      <c r="AV1" s="22">
        <v>47</v>
      </c>
      <c r="AW1" s="22">
        <v>48</v>
      </c>
      <c r="AX1" s="22">
        <v>49</v>
      </c>
      <c r="AY1" s="22">
        <v>50</v>
      </c>
      <c r="AZ1" s="22">
        <v>51</v>
      </c>
      <c r="BA1" s="22">
        <v>52</v>
      </c>
      <c r="BB1" s="22">
        <v>53</v>
      </c>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row>
    <row r="2" spans="1:121" s="7" customFormat="1" x14ac:dyDescent="0.2">
      <c r="A2" s="20"/>
      <c r="AR2" s="1062"/>
      <c r="AS2" s="1062"/>
      <c r="AT2" s="1062"/>
      <c r="AU2" s="1062"/>
      <c r="AV2" s="1062"/>
      <c r="AW2" s="1062"/>
      <c r="AX2" s="1062"/>
      <c r="AY2" s="1062"/>
      <c r="AZ2" s="1062"/>
    </row>
    <row r="3" spans="1:121" s="276" customFormat="1" ht="18" x14ac:dyDescent="0.25">
      <c r="A3" s="265">
        <v>1</v>
      </c>
      <c r="B3" s="318" t="s">
        <v>1</v>
      </c>
      <c r="C3" s="318" t="s">
        <v>2</v>
      </c>
      <c r="D3" s="319" t="s">
        <v>93</v>
      </c>
      <c r="E3" s="266" t="s">
        <v>107</v>
      </c>
      <c r="F3" s="266" t="s">
        <v>83</v>
      </c>
      <c r="G3" s="266" t="s">
        <v>84</v>
      </c>
      <c r="H3" s="266" t="s">
        <v>85</v>
      </c>
      <c r="I3" s="266" t="s">
        <v>86</v>
      </c>
      <c r="J3" s="266" t="s">
        <v>87</v>
      </c>
      <c r="K3" s="266" t="s">
        <v>88</v>
      </c>
      <c r="L3" s="266" t="s">
        <v>89</v>
      </c>
      <c r="M3" s="266" t="s">
        <v>90</v>
      </c>
      <c r="N3" s="266" t="s">
        <v>91</v>
      </c>
      <c r="O3" s="266" t="s">
        <v>92</v>
      </c>
      <c r="P3" s="268" t="s">
        <v>125</v>
      </c>
      <c r="Q3" s="268" t="s">
        <v>118</v>
      </c>
      <c r="R3" s="268" t="s">
        <v>43</v>
      </c>
      <c r="S3" s="268" t="s">
        <v>94</v>
      </c>
      <c r="T3" s="268" t="s">
        <v>95</v>
      </c>
      <c r="U3" s="269" t="s">
        <v>124</v>
      </c>
      <c r="V3" s="269" t="s">
        <v>119</v>
      </c>
      <c r="W3" s="269" t="s">
        <v>44</v>
      </c>
      <c r="X3" s="269" t="s">
        <v>94</v>
      </c>
      <c r="Y3" s="269" t="s">
        <v>95</v>
      </c>
      <c r="Z3" s="269" t="s">
        <v>96</v>
      </c>
      <c r="AA3" s="269" t="s">
        <v>97</v>
      </c>
      <c r="AB3" s="270" t="s">
        <v>123</v>
      </c>
      <c r="AC3" s="270" t="s">
        <v>120</v>
      </c>
      <c r="AD3" s="270" t="s">
        <v>46</v>
      </c>
      <c r="AE3" s="270" t="s">
        <v>94</v>
      </c>
      <c r="AF3" s="270" t="s">
        <v>95</v>
      </c>
      <c r="AG3" s="270" t="s">
        <v>96</v>
      </c>
      <c r="AH3" s="270" t="s">
        <v>97</v>
      </c>
      <c r="AI3" s="271" t="s">
        <v>122</v>
      </c>
      <c r="AJ3" s="271" t="s">
        <v>121</v>
      </c>
      <c r="AK3" s="271" t="s">
        <v>45</v>
      </c>
      <c r="AL3" s="271" t="s">
        <v>94</v>
      </c>
      <c r="AM3" s="271" t="s">
        <v>95</v>
      </c>
      <c r="AN3" s="271" t="s">
        <v>96</v>
      </c>
      <c r="AO3" s="271" t="s">
        <v>97</v>
      </c>
      <c r="AP3" s="272" t="s">
        <v>101</v>
      </c>
      <c r="AQ3" s="272" t="s">
        <v>31</v>
      </c>
      <c r="AR3" s="272" t="s">
        <v>32</v>
      </c>
      <c r="AS3" s="272" t="s">
        <v>33</v>
      </c>
      <c r="AT3" s="272" t="s">
        <v>34</v>
      </c>
      <c r="AU3" s="272" t="s">
        <v>35</v>
      </c>
      <c r="AV3" s="272" t="s">
        <v>36</v>
      </c>
      <c r="AW3" s="272" t="s">
        <v>37</v>
      </c>
      <c r="AX3" s="272" t="s">
        <v>38</v>
      </c>
      <c r="AY3" s="272" t="s">
        <v>39</v>
      </c>
      <c r="AZ3" s="272" t="s">
        <v>40</v>
      </c>
      <c r="BA3" s="272" t="s">
        <v>41</v>
      </c>
      <c r="BB3" s="272" t="s">
        <v>42</v>
      </c>
      <c r="BC3" s="273"/>
      <c r="BD3" s="273"/>
      <c r="BE3" s="273"/>
      <c r="BF3" s="274"/>
      <c r="BG3" s="274"/>
      <c r="BH3" s="274"/>
      <c r="BI3" s="274"/>
      <c r="BJ3" s="273"/>
      <c r="BK3" s="273"/>
      <c r="BL3" s="273"/>
      <c r="BM3" s="273"/>
      <c r="BN3" s="273"/>
      <c r="BO3" s="273"/>
      <c r="BP3" s="273"/>
      <c r="BQ3" s="273"/>
      <c r="BR3" s="273"/>
      <c r="BS3" s="273"/>
      <c r="BT3" s="273"/>
      <c r="BU3" s="273"/>
      <c r="BV3" s="273"/>
      <c r="BW3" s="273"/>
      <c r="BX3" s="273"/>
      <c r="BY3" s="273"/>
      <c r="BZ3" s="274"/>
      <c r="CA3" s="274"/>
      <c r="CB3" s="274"/>
      <c r="CC3" s="274"/>
      <c r="CD3" s="275"/>
      <c r="CE3" s="275"/>
      <c r="CF3" s="275"/>
      <c r="CG3" s="275"/>
      <c r="CH3" s="275"/>
      <c r="CI3" s="275"/>
      <c r="CJ3" s="275"/>
      <c r="CK3" s="275"/>
      <c r="CL3" s="275"/>
      <c r="CM3" s="275"/>
      <c r="CN3" s="275"/>
      <c r="CO3" s="275"/>
      <c r="CP3" s="275"/>
      <c r="CQ3" s="275"/>
      <c r="CR3" s="275"/>
      <c r="CS3" s="275"/>
      <c r="CT3" s="275"/>
      <c r="CU3" s="275"/>
    </row>
    <row r="4" spans="1:121" s="276" customFormat="1" ht="60" x14ac:dyDescent="0.2">
      <c r="A4" s="277">
        <v>2</v>
      </c>
      <c r="B4" s="264" t="s">
        <v>135</v>
      </c>
      <c r="C4" s="264" t="s">
        <v>108</v>
      </c>
      <c r="D4" s="278">
        <v>3.3940000000000001</v>
      </c>
      <c r="E4" s="267" t="s">
        <v>50</v>
      </c>
      <c r="F4" s="279">
        <v>1</v>
      </c>
      <c r="G4" s="279">
        <v>2</v>
      </c>
      <c r="H4" s="279">
        <v>3</v>
      </c>
      <c r="I4" s="279">
        <v>4</v>
      </c>
      <c r="J4" s="279">
        <v>5</v>
      </c>
      <c r="K4" s="279">
        <v>6</v>
      </c>
      <c r="L4" s="279">
        <v>7</v>
      </c>
      <c r="M4" s="279">
        <v>8</v>
      </c>
      <c r="N4" s="279">
        <v>9</v>
      </c>
      <c r="O4" s="279">
        <v>10</v>
      </c>
      <c r="P4" s="278">
        <v>0.56202111111111119</v>
      </c>
      <c r="Q4" s="278">
        <v>0.38848662835249043</v>
      </c>
      <c r="R4" s="278"/>
      <c r="S4" s="280">
        <v>7257462310</v>
      </c>
      <c r="T4" s="280">
        <v>5490931839</v>
      </c>
      <c r="U4" s="278">
        <v>1.0409103467261904</v>
      </c>
      <c r="V4" s="278">
        <v>0.93479921248973741</v>
      </c>
      <c r="W4" s="278"/>
      <c r="X4" s="280">
        <v>10812303114</v>
      </c>
      <c r="Y4" s="280">
        <v>8255324807</v>
      </c>
      <c r="Z4" s="280">
        <v>9000000000</v>
      </c>
      <c r="AA4" s="280">
        <v>3000000000</v>
      </c>
      <c r="AB4" s="278">
        <v>0.91813447941468251</v>
      </c>
      <c r="AC4" s="278">
        <v>0.83736697941468252</v>
      </c>
      <c r="AD4" s="278"/>
      <c r="AE4" s="280">
        <v>8797031400</v>
      </c>
      <c r="AF4" s="280">
        <v>4082880634</v>
      </c>
      <c r="AG4" s="280">
        <v>0</v>
      </c>
      <c r="AH4" s="280">
        <v>0</v>
      </c>
      <c r="AI4" s="281">
        <v>0.87293406274801588</v>
      </c>
      <c r="AJ4" s="281"/>
      <c r="AK4" s="282">
        <v>0</v>
      </c>
      <c r="AL4" s="283"/>
      <c r="AM4" s="283"/>
      <c r="AN4" s="284"/>
      <c r="AO4" s="284"/>
      <c r="AP4" s="285" t="s">
        <v>10</v>
      </c>
      <c r="AQ4" s="285" t="s">
        <v>3</v>
      </c>
      <c r="AR4" s="285" t="s">
        <v>7</v>
      </c>
      <c r="AS4" s="285" t="s">
        <v>8</v>
      </c>
      <c r="AT4" s="285" t="s">
        <v>9</v>
      </c>
      <c r="AU4" s="285" t="s">
        <v>104</v>
      </c>
      <c r="AW4" s="286"/>
      <c r="AX4" s="286"/>
      <c r="AY4" s="287"/>
      <c r="AZ4" s="287"/>
      <c r="BA4" s="288"/>
      <c r="BB4" s="287"/>
      <c r="BC4" s="289"/>
      <c r="BD4" s="290"/>
      <c r="BE4" s="290"/>
      <c r="BF4" s="291"/>
      <c r="BG4" s="292"/>
      <c r="BH4" s="289"/>
      <c r="BI4" s="293"/>
      <c r="BJ4" s="293"/>
      <c r="BK4" s="293"/>
      <c r="BL4" s="293"/>
      <c r="BM4" s="293"/>
      <c r="BN4" s="293"/>
      <c r="BO4" s="293"/>
      <c r="BP4" s="293"/>
      <c r="BQ4" s="293"/>
      <c r="BR4" s="293"/>
      <c r="BS4" s="293"/>
      <c r="BT4" s="293"/>
      <c r="BU4" s="293"/>
      <c r="BV4" s="294"/>
      <c r="BW4" s="295"/>
      <c r="BX4" s="288"/>
      <c r="BY4" s="288"/>
      <c r="BZ4" s="288"/>
      <c r="CA4" s="288"/>
      <c r="CB4" s="296"/>
      <c r="CC4" s="296"/>
      <c r="CD4" s="297"/>
      <c r="CE4" s="297"/>
      <c r="CF4" s="297"/>
      <c r="CG4" s="297"/>
      <c r="CH4" s="297"/>
      <c r="CI4" s="298"/>
      <c r="CJ4" s="298"/>
      <c r="CK4" s="298"/>
      <c r="CL4" s="298"/>
      <c r="CM4" s="298"/>
      <c r="CN4" s="298"/>
      <c r="CO4" s="298"/>
      <c r="CP4" s="298"/>
      <c r="CQ4" s="298"/>
      <c r="CR4" s="298"/>
      <c r="CS4" s="298"/>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300"/>
    </row>
    <row r="5" spans="1:121" s="276" customFormat="1" ht="72" x14ac:dyDescent="0.2">
      <c r="A5" s="277">
        <v>3</v>
      </c>
      <c r="B5" s="264" t="s">
        <v>132</v>
      </c>
      <c r="C5" s="264" t="s">
        <v>108</v>
      </c>
      <c r="D5" s="278">
        <v>5.6610000000000005</v>
      </c>
      <c r="E5" s="267" t="s">
        <v>51</v>
      </c>
      <c r="F5" s="279">
        <v>33</v>
      </c>
      <c r="G5" s="279">
        <v>34</v>
      </c>
      <c r="H5" s="279">
        <v>35</v>
      </c>
      <c r="I5" s="279">
        <v>36</v>
      </c>
      <c r="J5" s="279">
        <v>37</v>
      </c>
      <c r="K5" s="279">
        <v>38</v>
      </c>
      <c r="L5" s="279">
        <v>39</v>
      </c>
      <c r="M5" s="279">
        <v>40</v>
      </c>
      <c r="N5" s="267"/>
      <c r="O5" s="267"/>
      <c r="P5" s="278">
        <v>1.1676534522333837</v>
      </c>
      <c r="Q5" s="278">
        <v>0.9806649608540734</v>
      </c>
      <c r="R5" s="278"/>
      <c r="S5" s="280">
        <v>445761590691</v>
      </c>
      <c r="T5" s="280">
        <v>408608092869</v>
      </c>
      <c r="U5" s="278">
        <v>1.4236090760896329</v>
      </c>
      <c r="V5" s="278">
        <v>1.2954353691930811</v>
      </c>
      <c r="W5" s="278"/>
      <c r="X5" s="280">
        <v>493590926738</v>
      </c>
      <c r="Y5" s="280">
        <v>455392522712</v>
      </c>
      <c r="Z5" s="280">
        <v>12354562786</v>
      </c>
      <c r="AA5" s="280">
        <v>7172235139</v>
      </c>
      <c r="AB5" s="278">
        <v>1.4762166939705745</v>
      </c>
      <c r="AC5" s="278">
        <v>1.3962044077712019</v>
      </c>
      <c r="AD5" s="278"/>
      <c r="AE5" s="280">
        <v>555800945210</v>
      </c>
      <c r="AF5" s="280">
        <v>226027863371</v>
      </c>
      <c r="AG5" s="280">
        <v>0</v>
      </c>
      <c r="AH5" s="280">
        <v>5452735357</v>
      </c>
      <c r="AI5" s="278">
        <v>1.5935207777064095</v>
      </c>
      <c r="AJ5" s="278"/>
      <c r="AK5" s="278">
        <v>0</v>
      </c>
      <c r="AL5" s="284"/>
      <c r="AM5" s="284"/>
      <c r="AN5" s="284"/>
      <c r="AP5" s="285" t="s">
        <v>8</v>
      </c>
      <c r="AQ5" s="285" t="s">
        <v>104</v>
      </c>
      <c r="AR5" s="285" t="s">
        <v>3</v>
      </c>
      <c r="AS5" s="285" t="s">
        <v>12</v>
      </c>
      <c r="AT5" s="285" t="s">
        <v>7</v>
      </c>
      <c r="AU5" s="285" t="s">
        <v>11</v>
      </c>
      <c r="AV5" s="285" t="s">
        <v>9</v>
      </c>
      <c r="AW5" s="285" t="s">
        <v>10</v>
      </c>
      <c r="AX5" s="301"/>
      <c r="AY5" s="302"/>
      <c r="AZ5" s="287"/>
      <c r="BA5" s="303"/>
      <c r="BB5" s="287"/>
      <c r="BC5" s="289"/>
      <c r="BD5" s="304"/>
      <c r="BE5" s="290"/>
      <c r="BF5" s="291"/>
      <c r="BG5" s="305"/>
      <c r="BH5" s="289"/>
      <c r="BI5" s="293"/>
      <c r="BJ5" s="293"/>
      <c r="BK5" s="293"/>
      <c r="BL5" s="293"/>
      <c r="BM5" s="293"/>
      <c r="BN5" s="293"/>
      <c r="BO5" s="293"/>
      <c r="BP5" s="293"/>
      <c r="BQ5" s="293"/>
      <c r="BR5" s="293"/>
      <c r="BS5" s="293"/>
      <c r="BT5" s="293"/>
      <c r="BU5" s="293"/>
      <c r="BV5" s="294"/>
      <c r="BW5" s="295"/>
      <c r="BX5" s="288"/>
      <c r="BY5" s="288"/>
      <c r="BZ5" s="288"/>
      <c r="CA5" s="288"/>
      <c r="CB5" s="296"/>
      <c r="CC5" s="296"/>
      <c r="CD5" s="297"/>
      <c r="CE5" s="297"/>
      <c r="CF5" s="297"/>
      <c r="CG5" s="297"/>
      <c r="CH5" s="298"/>
      <c r="CI5" s="298"/>
      <c r="CJ5" s="298"/>
      <c r="CK5" s="298"/>
      <c r="CL5" s="298"/>
      <c r="CM5" s="298"/>
      <c r="CN5" s="298"/>
      <c r="CO5" s="298"/>
      <c r="CP5" s="298"/>
      <c r="CQ5" s="298"/>
      <c r="CR5" s="298"/>
      <c r="CS5" s="298"/>
      <c r="CT5" s="299"/>
      <c r="CU5" s="299"/>
      <c r="CV5" s="299"/>
      <c r="CW5" s="299"/>
      <c r="CX5" s="299"/>
      <c r="CY5" s="299"/>
      <c r="CZ5" s="299"/>
      <c r="DA5" s="299"/>
      <c r="DB5" s="299"/>
      <c r="DC5" s="299"/>
      <c r="DD5" s="299"/>
      <c r="DE5" s="299"/>
      <c r="DF5" s="299"/>
      <c r="DG5" s="299"/>
      <c r="DH5" s="299"/>
      <c r="DI5" s="299"/>
      <c r="DJ5" s="299"/>
      <c r="DK5" s="299"/>
      <c r="DL5" s="299"/>
      <c r="DM5" s="299"/>
      <c r="DN5" s="299"/>
      <c r="DO5" s="299"/>
      <c r="DP5" s="299"/>
      <c r="DQ5" s="300"/>
    </row>
    <row r="6" spans="1:121" s="276" customFormat="1" ht="84" x14ac:dyDescent="0.2">
      <c r="A6" s="306">
        <v>4</v>
      </c>
      <c r="B6" s="30" t="s">
        <v>140</v>
      </c>
      <c r="C6" s="264" t="s">
        <v>108</v>
      </c>
      <c r="D6" s="278">
        <v>7.5500000000000007</v>
      </c>
      <c r="E6" s="267" t="s">
        <v>52</v>
      </c>
      <c r="F6" s="279">
        <v>72</v>
      </c>
      <c r="G6" s="279">
        <v>73</v>
      </c>
      <c r="H6" s="279">
        <v>74</v>
      </c>
      <c r="I6" s="279">
        <v>75</v>
      </c>
      <c r="J6" s="279">
        <v>76</v>
      </c>
      <c r="K6" s="279">
        <v>77</v>
      </c>
      <c r="L6" s="279">
        <v>78</v>
      </c>
      <c r="M6" s="279">
        <v>79</v>
      </c>
      <c r="N6" s="267"/>
      <c r="O6" s="267"/>
      <c r="P6" s="278">
        <v>1.4781169657872952</v>
      </c>
      <c r="Q6" s="278">
        <v>1.1460175798223831</v>
      </c>
      <c r="R6" s="278"/>
      <c r="S6" s="280">
        <v>20037526988</v>
      </c>
      <c r="T6" s="280">
        <v>18621193799</v>
      </c>
      <c r="U6" s="278">
        <v>2.385526974665114</v>
      </c>
      <c r="V6" s="278">
        <v>2.1997819746651133</v>
      </c>
      <c r="W6" s="278"/>
      <c r="X6" s="280">
        <v>22918653278</v>
      </c>
      <c r="Y6" s="280">
        <v>20013821448</v>
      </c>
      <c r="Z6" s="280">
        <v>17539029869</v>
      </c>
      <c r="AA6" s="280">
        <v>9364276048</v>
      </c>
      <c r="AB6" s="278">
        <v>1.9136374190448457</v>
      </c>
      <c r="AC6" s="278">
        <v>1.7319891142157098</v>
      </c>
      <c r="AD6" s="278"/>
      <c r="AE6" s="280">
        <v>34926544759</v>
      </c>
      <c r="AF6" s="280">
        <v>10976811220</v>
      </c>
      <c r="AG6" s="280">
        <v>0</v>
      </c>
      <c r="AH6" s="280">
        <v>72149297</v>
      </c>
      <c r="AI6" s="278">
        <v>1.772718640502746</v>
      </c>
      <c r="AJ6" s="278"/>
      <c r="AK6" s="278">
        <v>0</v>
      </c>
      <c r="AL6" s="284"/>
      <c r="AM6" s="284"/>
      <c r="AN6" s="284"/>
      <c r="AO6" s="284"/>
      <c r="AP6" s="285" t="s">
        <v>8</v>
      </c>
      <c r="AQ6" s="285" t="s">
        <v>104</v>
      </c>
      <c r="AR6" s="285" t="s">
        <v>3</v>
      </c>
      <c r="AS6" s="285" t="s">
        <v>12</v>
      </c>
      <c r="AT6" s="285" t="s">
        <v>7</v>
      </c>
      <c r="AU6" s="285" t="s">
        <v>9</v>
      </c>
      <c r="AV6" s="285" t="s">
        <v>10</v>
      </c>
      <c r="AW6" s="285" t="s">
        <v>11</v>
      </c>
      <c r="AY6" s="302"/>
      <c r="AZ6" s="287"/>
      <c r="BA6" s="303"/>
      <c r="BB6" s="287"/>
      <c r="BC6" s="289"/>
      <c r="BD6" s="304"/>
      <c r="BE6" s="290"/>
      <c r="BF6" s="291"/>
      <c r="BG6" s="292"/>
      <c r="BH6" s="289"/>
      <c r="BI6" s="293"/>
      <c r="BJ6" s="293"/>
      <c r="BK6" s="293"/>
      <c r="BL6" s="293"/>
      <c r="BM6" s="293"/>
      <c r="BN6" s="293"/>
      <c r="BO6" s="293"/>
      <c r="BP6" s="293"/>
      <c r="BQ6" s="293"/>
      <c r="BR6" s="293"/>
      <c r="BS6" s="293"/>
      <c r="BT6" s="293"/>
      <c r="BU6" s="293"/>
      <c r="BV6" s="294"/>
      <c r="BW6" s="295"/>
      <c r="BX6" s="288"/>
      <c r="BY6" s="288"/>
      <c r="BZ6" s="288"/>
      <c r="CA6" s="288"/>
      <c r="CB6" s="296"/>
      <c r="CC6" s="296"/>
      <c r="CD6" s="297"/>
      <c r="CE6" s="297"/>
      <c r="CF6" s="297"/>
      <c r="CG6" s="298"/>
      <c r="CH6" s="298"/>
      <c r="CI6" s="298"/>
      <c r="CJ6" s="298"/>
      <c r="CK6" s="298"/>
      <c r="CL6" s="298"/>
      <c r="CM6" s="298"/>
      <c r="CN6" s="298"/>
      <c r="CO6" s="298"/>
      <c r="CP6" s="298"/>
      <c r="CQ6" s="298"/>
      <c r="CR6" s="298"/>
      <c r="CS6" s="298"/>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300"/>
    </row>
    <row r="7" spans="1:121" s="276" customFormat="1" ht="72" x14ac:dyDescent="0.2">
      <c r="A7" s="277">
        <v>5</v>
      </c>
      <c r="B7" s="30" t="s">
        <v>136</v>
      </c>
      <c r="C7" s="264" t="s">
        <v>108</v>
      </c>
      <c r="D7" s="278">
        <v>6.370400000000001</v>
      </c>
      <c r="E7" s="267" t="s">
        <v>53</v>
      </c>
      <c r="F7" s="279">
        <v>115</v>
      </c>
      <c r="G7" s="279">
        <v>116</v>
      </c>
      <c r="H7" s="279">
        <v>117</v>
      </c>
      <c r="I7" s="279">
        <v>118</v>
      </c>
      <c r="J7" s="279">
        <v>119</v>
      </c>
      <c r="K7" s="267"/>
      <c r="L7" s="267"/>
      <c r="M7" s="267"/>
      <c r="N7" s="267"/>
      <c r="O7" s="267"/>
      <c r="P7" s="278">
        <v>0.94042711823388148</v>
      </c>
      <c r="Q7" s="278">
        <v>0.84103196636472255</v>
      </c>
      <c r="R7" s="278"/>
      <c r="S7" s="280">
        <v>10557424814</v>
      </c>
      <c r="T7" s="280">
        <v>8974811383</v>
      </c>
      <c r="U7" s="278">
        <v>1.5701729954926735</v>
      </c>
      <c r="V7" s="278">
        <v>1.4836043496593403</v>
      </c>
      <c r="W7" s="278"/>
      <c r="X7" s="280">
        <v>6829164927</v>
      </c>
      <c r="Y7" s="280">
        <v>5813765665</v>
      </c>
      <c r="Z7" s="280"/>
      <c r="AA7" s="280"/>
      <c r="AB7" s="278">
        <v>2.0305889390273415</v>
      </c>
      <c r="AC7" s="278">
        <v>1.7423124323802557</v>
      </c>
      <c r="AD7" s="278"/>
      <c r="AE7" s="280">
        <v>31030772237</v>
      </c>
      <c r="AF7" s="280">
        <v>2560744692</v>
      </c>
      <c r="AG7" s="280"/>
      <c r="AH7" s="280"/>
      <c r="AI7" s="278">
        <v>1.829210947246104</v>
      </c>
      <c r="AJ7" s="278"/>
      <c r="AK7" s="278">
        <v>0</v>
      </c>
      <c r="AL7" s="284"/>
      <c r="AM7" s="284"/>
      <c r="AN7" s="284"/>
      <c r="AO7" s="284"/>
      <c r="AP7" s="285" t="s">
        <v>7</v>
      </c>
      <c r="AQ7" s="285" t="s">
        <v>3</v>
      </c>
      <c r="AR7" s="285" t="s">
        <v>12</v>
      </c>
      <c r="AS7" s="285" t="s">
        <v>13</v>
      </c>
      <c r="AT7" s="285" t="s">
        <v>8</v>
      </c>
      <c r="AU7" s="285" t="s">
        <v>9</v>
      </c>
      <c r="AV7" s="285" t="s">
        <v>10</v>
      </c>
      <c r="AW7" s="285" t="s">
        <v>104</v>
      </c>
      <c r="AY7" s="302"/>
      <c r="AZ7" s="287"/>
      <c r="BA7" s="303"/>
      <c r="BB7" s="287"/>
      <c r="BC7" s="289"/>
      <c r="BD7" s="304"/>
      <c r="BE7" s="290"/>
      <c r="BF7" s="291"/>
      <c r="BG7" s="292"/>
      <c r="BH7" s="289"/>
      <c r="BI7" s="293"/>
      <c r="BJ7" s="293"/>
      <c r="BK7" s="293"/>
      <c r="BL7" s="293"/>
      <c r="BM7" s="293"/>
      <c r="BN7" s="293"/>
      <c r="BO7" s="293"/>
      <c r="BP7" s="293"/>
      <c r="BQ7" s="293"/>
      <c r="BR7" s="293"/>
      <c r="BS7" s="293"/>
      <c r="BT7" s="293"/>
      <c r="BU7" s="293"/>
      <c r="BV7" s="294"/>
      <c r="BW7" s="295"/>
      <c r="BX7" s="288"/>
      <c r="BY7" s="288"/>
      <c r="BZ7" s="288"/>
      <c r="CA7" s="288"/>
      <c r="CB7" s="296"/>
      <c r="CC7" s="296"/>
      <c r="CD7" s="297"/>
      <c r="CE7" s="298"/>
      <c r="CF7" s="298"/>
      <c r="CG7" s="298"/>
      <c r="CH7" s="298"/>
      <c r="CI7" s="298"/>
      <c r="CJ7" s="298"/>
      <c r="CK7" s="298"/>
      <c r="CL7" s="298"/>
      <c r="CM7" s="298"/>
      <c r="CN7" s="298"/>
      <c r="CO7" s="298"/>
      <c r="CP7" s="298"/>
      <c r="CQ7" s="298"/>
      <c r="CR7" s="298"/>
      <c r="CS7" s="298"/>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300"/>
    </row>
    <row r="8" spans="1:121" s="276" customFormat="1" ht="48" x14ac:dyDescent="0.2">
      <c r="A8" s="277">
        <v>6</v>
      </c>
      <c r="B8" s="264" t="s">
        <v>131</v>
      </c>
      <c r="C8" s="264" t="s">
        <v>108</v>
      </c>
      <c r="D8" s="278">
        <v>3.3270000000000004</v>
      </c>
      <c r="E8" s="267" t="s">
        <v>54</v>
      </c>
      <c r="F8" s="279">
        <v>158</v>
      </c>
      <c r="G8" s="279">
        <v>159</v>
      </c>
      <c r="H8" s="279">
        <v>160</v>
      </c>
      <c r="I8" s="285"/>
      <c r="J8" s="285"/>
      <c r="K8" s="285"/>
      <c r="L8" s="285"/>
      <c r="M8" s="285"/>
      <c r="N8" s="285"/>
      <c r="O8" s="285"/>
      <c r="P8" s="278">
        <v>0.57272736395414137</v>
      </c>
      <c r="Q8" s="278">
        <v>0.54663900188517589</v>
      </c>
      <c r="R8" s="278"/>
      <c r="S8" s="280">
        <v>4478635355</v>
      </c>
      <c r="T8" s="280">
        <v>3826736355</v>
      </c>
      <c r="U8" s="278">
        <v>1.0693898444562022</v>
      </c>
      <c r="V8" s="278">
        <v>0.99213984445620218</v>
      </c>
      <c r="W8" s="278"/>
      <c r="X8" s="280">
        <v>2274075841</v>
      </c>
      <c r="Y8" s="280">
        <v>1791093729</v>
      </c>
      <c r="Z8" s="280"/>
      <c r="AA8" s="280"/>
      <c r="AB8" s="278">
        <v>0.87225327215144166</v>
      </c>
      <c r="AC8" s="278">
        <v>0.79566506453430386</v>
      </c>
      <c r="AD8" s="278"/>
      <c r="AE8" s="280">
        <v>3304785625</v>
      </c>
      <c r="AF8" s="280">
        <v>1252561279</v>
      </c>
      <c r="AG8" s="280"/>
      <c r="AH8" s="280"/>
      <c r="AI8" s="278">
        <v>0.81262951943821504</v>
      </c>
      <c r="AJ8" s="278"/>
      <c r="AK8" s="278">
        <v>0</v>
      </c>
      <c r="AL8" s="284"/>
      <c r="AM8" s="284"/>
      <c r="AN8" s="284"/>
      <c r="AO8" s="284"/>
      <c r="AP8" s="285" t="s">
        <v>7</v>
      </c>
      <c r="AQ8" s="285" t="s">
        <v>3</v>
      </c>
      <c r="AR8" s="285" t="s">
        <v>12</v>
      </c>
      <c r="AS8" s="285" t="s">
        <v>104</v>
      </c>
      <c r="AT8" s="285" t="s">
        <v>8</v>
      </c>
      <c r="AU8" s="285" t="s">
        <v>9</v>
      </c>
      <c r="AV8" s="285" t="s">
        <v>10</v>
      </c>
      <c r="AW8" s="286"/>
      <c r="AX8" s="301"/>
      <c r="AY8" s="302"/>
      <c r="AZ8" s="294"/>
      <c r="BA8" s="303"/>
      <c r="BB8" s="287"/>
      <c r="BC8" s="293"/>
      <c r="BD8" s="304"/>
      <c r="BE8" s="290"/>
      <c r="BF8" s="291"/>
      <c r="BG8" s="305"/>
      <c r="BH8" s="289"/>
      <c r="BI8" s="293"/>
      <c r="BJ8" s="293"/>
      <c r="BK8" s="293"/>
      <c r="BL8" s="293"/>
      <c r="BM8" s="293"/>
      <c r="BN8" s="293"/>
      <c r="BO8" s="293"/>
      <c r="BP8" s="293"/>
      <c r="BQ8" s="293"/>
      <c r="BR8" s="293"/>
      <c r="BS8" s="293"/>
      <c r="BT8" s="293"/>
      <c r="BU8" s="293"/>
      <c r="BV8" s="294"/>
      <c r="BW8" s="295"/>
      <c r="BX8" s="288"/>
      <c r="BY8" s="288"/>
      <c r="BZ8" s="288"/>
      <c r="CA8" s="288"/>
      <c r="CB8" s="296"/>
      <c r="CC8" s="296"/>
      <c r="CD8" s="298"/>
      <c r="CE8" s="298"/>
      <c r="CF8" s="298"/>
      <c r="CG8" s="298"/>
      <c r="CH8" s="298"/>
      <c r="CI8" s="298"/>
      <c r="CJ8" s="298"/>
      <c r="CK8" s="298"/>
      <c r="CL8" s="298"/>
      <c r="CM8" s="298"/>
      <c r="CN8" s="298"/>
      <c r="CO8" s="298"/>
      <c r="CP8" s="298"/>
      <c r="CQ8" s="298"/>
      <c r="CR8" s="298"/>
      <c r="CS8" s="298"/>
      <c r="CT8" s="299"/>
      <c r="CU8" s="299"/>
      <c r="CV8" s="299"/>
      <c r="CW8" s="299"/>
      <c r="CX8" s="299"/>
      <c r="CY8" s="299"/>
      <c r="CZ8" s="299"/>
      <c r="DA8" s="299"/>
      <c r="DB8" s="299"/>
      <c r="DC8" s="299"/>
      <c r="DD8" s="299"/>
      <c r="DE8" s="299"/>
      <c r="DF8" s="299"/>
      <c r="DG8" s="299"/>
      <c r="DH8" s="299"/>
      <c r="DI8" s="299"/>
      <c r="DJ8" s="299"/>
      <c r="DK8" s="299"/>
      <c r="DL8" s="299"/>
      <c r="DM8" s="299"/>
      <c r="DN8" s="299"/>
      <c r="DO8" s="299"/>
      <c r="DP8" s="299"/>
      <c r="DQ8" s="300"/>
    </row>
    <row r="9" spans="1:121" s="276" customFormat="1" ht="48" x14ac:dyDescent="0.2">
      <c r="A9" s="306">
        <v>7</v>
      </c>
      <c r="B9" s="30" t="s">
        <v>138</v>
      </c>
      <c r="C9" s="264" t="s">
        <v>108</v>
      </c>
      <c r="D9" s="278">
        <v>2.6306400000000005</v>
      </c>
      <c r="E9" s="267" t="s">
        <v>55</v>
      </c>
      <c r="F9" s="279">
        <v>177</v>
      </c>
      <c r="G9" s="279">
        <v>178</v>
      </c>
      <c r="H9" s="279">
        <v>179</v>
      </c>
      <c r="I9" s="285"/>
      <c r="J9" s="285"/>
      <c r="K9" s="267"/>
      <c r="L9" s="267"/>
      <c r="M9" s="267"/>
      <c r="N9" s="267"/>
      <c r="O9" s="267"/>
      <c r="P9" s="278">
        <v>0.37725230924256847</v>
      </c>
      <c r="Q9" s="278">
        <v>0.33600230924256846</v>
      </c>
      <c r="R9" s="278"/>
      <c r="S9" s="280">
        <v>110777236617</v>
      </c>
      <c r="T9" s="280">
        <v>109176639676</v>
      </c>
      <c r="U9" s="278">
        <v>0.48116302352828277</v>
      </c>
      <c r="V9" s="278">
        <v>0.4783488568616161</v>
      </c>
      <c r="W9" s="278"/>
      <c r="X9" s="280">
        <v>49391941995</v>
      </c>
      <c r="Y9" s="280">
        <v>47060761690</v>
      </c>
      <c r="Z9" s="280"/>
      <c r="AA9" s="280"/>
      <c r="AB9" s="278">
        <v>0.82100974971875895</v>
      </c>
      <c r="AC9" s="278">
        <v>0.75653884454634512</v>
      </c>
      <c r="AD9" s="278"/>
      <c r="AE9" s="280">
        <v>50563712660</v>
      </c>
      <c r="AF9" s="280">
        <v>26767688665</v>
      </c>
      <c r="AG9" s="280"/>
      <c r="AH9" s="280"/>
      <c r="AI9" s="278">
        <v>0.95121491751038989</v>
      </c>
      <c r="AJ9" s="278"/>
      <c r="AK9" s="278">
        <v>0</v>
      </c>
      <c r="AL9" s="284"/>
      <c r="AM9" s="284"/>
      <c r="AN9" s="284"/>
      <c r="AP9" s="285" t="s">
        <v>7</v>
      </c>
      <c r="AQ9" s="285" t="s">
        <v>104</v>
      </c>
      <c r="AR9" s="285" t="s">
        <v>3</v>
      </c>
      <c r="AS9" s="285" t="s">
        <v>11</v>
      </c>
      <c r="AT9" s="285" t="s">
        <v>10</v>
      </c>
      <c r="AU9" s="30"/>
      <c r="AV9" s="307"/>
      <c r="AW9" s="286"/>
      <c r="AX9" s="301"/>
      <c r="AY9" s="302"/>
      <c r="AZ9" s="294"/>
      <c r="BA9" s="303"/>
      <c r="BB9" s="287"/>
      <c r="BC9" s="293"/>
      <c r="BD9" s="304"/>
      <c r="BE9" s="290"/>
      <c r="BF9" s="291"/>
      <c r="BG9" s="305"/>
      <c r="BH9" s="289"/>
      <c r="BI9" s="293"/>
      <c r="BJ9" s="293"/>
      <c r="BK9" s="293"/>
      <c r="BL9" s="293"/>
      <c r="BM9" s="293"/>
      <c r="BN9" s="293"/>
      <c r="BO9" s="293"/>
      <c r="BP9" s="293"/>
      <c r="BQ9" s="293"/>
      <c r="BR9" s="293"/>
      <c r="BS9" s="293"/>
      <c r="BT9" s="293"/>
      <c r="BU9" s="293"/>
      <c r="BV9" s="294"/>
      <c r="BW9" s="295"/>
      <c r="BX9" s="288"/>
      <c r="BY9" s="288"/>
      <c r="BZ9" s="288"/>
      <c r="CA9" s="288"/>
      <c r="CB9" s="296"/>
      <c r="CC9" s="296"/>
      <c r="CD9" s="297"/>
      <c r="CE9" s="298"/>
      <c r="CF9" s="298"/>
      <c r="CG9" s="298"/>
      <c r="CH9" s="298"/>
      <c r="CI9" s="298"/>
      <c r="CJ9" s="298"/>
      <c r="CK9" s="298"/>
      <c r="CL9" s="298"/>
      <c r="CM9" s="298"/>
      <c r="CN9" s="298"/>
      <c r="CO9" s="298"/>
      <c r="CP9" s="298"/>
      <c r="CQ9" s="298"/>
      <c r="CR9" s="298"/>
      <c r="CS9" s="298"/>
      <c r="CT9" s="299"/>
      <c r="CU9" s="299"/>
      <c r="CV9" s="299"/>
      <c r="CW9" s="299"/>
      <c r="CX9" s="299"/>
      <c r="CY9" s="299"/>
      <c r="CZ9" s="299"/>
      <c r="DA9" s="299"/>
      <c r="DB9" s="299"/>
      <c r="DC9" s="299"/>
      <c r="DD9" s="299"/>
      <c r="DE9" s="299"/>
      <c r="DF9" s="299"/>
      <c r="DG9" s="299"/>
      <c r="DH9" s="299"/>
      <c r="DI9" s="299"/>
      <c r="DJ9" s="299"/>
      <c r="DK9" s="299"/>
      <c r="DL9" s="299"/>
      <c r="DM9" s="299"/>
      <c r="DN9" s="299"/>
      <c r="DO9" s="299"/>
      <c r="DP9" s="299"/>
      <c r="DQ9" s="300"/>
    </row>
    <row r="10" spans="1:121" s="276" customFormat="1" ht="72" x14ac:dyDescent="0.2">
      <c r="A10" s="277">
        <v>8</v>
      </c>
      <c r="B10" s="264" t="s">
        <v>134</v>
      </c>
      <c r="C10" s="264" t="s">
        <v>108</v>
      </c>
      <c r="D10" s="278">
        <v>7.7260000000000009</v>
      </c>
      <c r="E10" s="267" t="s">
        <v>56</v>
      </c>
      <c r="F10" s="279">
        <v>199</v>
      </c>
      <c r="G10" s="279">
        <v>200</v>
      </c>
      <c r="H10" s="279">
        <v>201</v>
      </c>
      <c r="I10" s="279">
        <v>202</v>
      </c>
      <c r="J10" s="279">
        <v>203</v>
      </c>
      <c r="K10" s="267"/>
      <c r="L10" s="267"/>
      <c r="M10" s="267"/>
      <c r="N10" s="267"/>
      <c r="O10" s="267"/>
      <c r="P10" s="278">
        <v>1.0868484522565556</v>
      </c>
      <c r="Q10" s="278">
        <v>0.9334529781186246</v>
      </c>
      <c r="R10" s="278"/>
      <c r="S10" s="280">
        <v>209363289518</v>
      </c>
      <c r="T10" s="280">
        <v>199311934347</v>
      </c>
      <c r="U10" s="278">
        <v>2.0354840652833759</v>
      </c>
      <c r="V10" s="278">
        <v>1.8042288528767663</v>
      </c>
      <c r="W10" s="278"/>
      <c r="X10" s="280">
        <v>191856277015</v>
      </c>
      <c r="Y10" s="280">
        <v>179239675000</v>
      </c>
      <c r="Z10" s="280">
        <v>13264357000</v>
      </c>
      <c r="AA10" s="280">
        <v>13255201000</v>
      </c>
      <c r="AB10" s="278">
        <v>2.6256258177837486</v>
      </c>
      <c r="AC10" s="278">
        <v>2.2678413038948602</v>
      </c>
      <c r="AD10" s="278"/>
      <c r="AE10" s="280">
        <v>195148044617</v>
      </c>
      <c r="AF10" s="280">
        <v>78528200682</v>
      </c>
      <c r="AG10" s="280"/>
      <c r="AH10" s="280"/>
      <c r="AI10" s="278">
        <v>1.9780416646763197</v>
      </c>
      <c r="AJ10" s="278"/>
      <c r="AK10" s="278">
        <v>0</v>
      </c>
      <c r="AL10" s="284"/>
      <c r="AM10" s="284"/>
      <c r="AN10" s="284"/>
      <c r="AO10" s="284"/>
      <c r="AP10" s="285" t="s">
        <v>7</v>
      </c>
      <c r="AQ10" s="285" t="s">
        <v>104</v>
      </c>
      <c r="AR10" s="285" t="s">
        <v>3</v>
      </c>
      <c r="AS10" s="285" t="s">
        <v>14</v>
      </c>
      <c r="AT10" s="285" t="s">
        <v>11</v>
      </c>
      <c r="AU10" s="285" t="s">
        <v>8</v>
      </c>
      <c r="AV10" s="285" t="s">
        <v>9</v>
      </c>
      <c r="AW10" s="285" t="s">
        <v>10</v>
      </c>
      <c r="AX10" s="285"/>
      <c r="AY10" s="285"/>
      <c r="AZ10" s="287"/>
      <c r="BA10" s="303"/>
      <c r="BB10" s="287"/>
      <c r="BC10" s="289"/>
      <c r="BD10" s="304"/>
      <c r="BE10" s="290"/>
      <c r="BF10" s="291"/>
      <c r="BG10" s="308"/>
      <c r="BH10" s="289"/>
      <c r="BI10" s="293"/>
      <c r="BJ10" s="293"/>
      <c r="BK10" s="293"/>
      <c r="BL10" s="293"/>
      <c r="BM10" s="293"/>
      <c r="BN10" s="293"/>
      <c r="BO10" s="293"/>
      <c r="BP10" s="293"/>
      <c r="BQ10" s="293"/>
      <c r="BR10" s="293"/>
      <c r="BS10" s="293"/>
      <c r="BT10" s="293"/>
      <c r="BU10" s="293"/>
      <c r="BV10" s="294"/>
      <c r="BW10" s="295"/>
      <c r="BX10" s="288"/>
      <c r="BY10" s="288"/>
      <c r="BZ10" s="288"/>
      <c r="CA10" s="288"/>
      <c r="CB10" s="296"/>
      <c r="CC10" s="296"/>
      <c r="CD10" s="297"/>
      <c r="CE10" s="297"/>
      <c r="CF10" s="297"/>
      <c r="CG10" s="297"/>
      <c r="CH10" s="298"/>
      <c r="CI10" s="298"/>
      <c r="CJ10" s="298"/>
      <c r="CK10" s="298"/>
      <c r="CL10" s="298"/>
      <c r="CM10" s="298"/>
      <c r="CN10" s="298"/>
      <c r="CO10" s="298"/>
      <c r="CP10" s="298"/>
      <c r="CQ10" s="298"/>
      <c r="CR10" s="298"/>
      <c r="CS10" s="298"/>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300"/>
    </row>
    <row r="11" spans="1:121" s="276" customFormat="1" ht="48" x14ac:dyDescent="0.2">
      <c r="A11" s="277">
        <v>9</v>
      </c>
      <c r="B11" s="30" t="s">
        <v>137</v>
      </c>
      <c r="C11" s="264" t="s">
        <v>108</v>
      </c>
      <c r="D11" s="278">
        <v>1.4940000000000002</v>
      </c>
      <c r="E11" s="267" t="s">
        <v>57</v>
      </c>
      <c r="F11" s="279">
        <v>247</v>
      </c>
      <c r="G11" s="285"/>
      <c r="H11" s="285"/>
      <c r="I11" s="285"/>
      <c r="J11" s="285"/>
      <c r="K11" s="267"/>
      <c r="L11" s="267"/>
      <c r="M11" s="267"/>
      <c r="N11" s="267"/>
      <c r="O11" s="267"/>
      <c r="P11" s="278">
        <v>0.39920689655172414</v>
      </c>
      <c r="Q11" s="278">
        <v>0.29281034482758617</v>
      </c>
      <c r="R11" s="278"/>
      <c r="S11" s="280">
        <v>719100000</v>
      </c>
      <c r="T11" s="280">
        <v>719020500</v>
      </c>
      <c r="U11" s="278">
        <v>0.44592241379310349</v>
      </c>
      <c r="V11" s="278">
        <v>0.32656241379310347</v>
      </c>
      <c r="W11" s="278"/>
      <c r="X11" s="280">
        <v>730000000</v>
      </c>
      <c r="Y11" s="280">
        <v>691861900</v>
      </c>
      <c r="Z11" s="280"/>
      <c r="AA11" s="280"/>
      <c r="AB11" s="278">
        <v>0.42284913793103451</v>
      </c>
      <c r="AC11" s="278">
        <v>0.24134913793103452</v>
      </c>
      <c r="AD11" s="278"/>
      <c r="AE11" s="280">
        <v>1404000000</v>
      </c>
      <c r="AF11" s="280">
        <v>474000000</v>
      </c>
      <c r="AG11" s="280"/>
      <c r="AH11" s="280"/>
      <c r="AI11" s="278">
        <v>0.22602155172413796</v>
      </c>
      <c r="AJ11" s="278"/>
      <c r="AK11" s="278">
        <v>0</v>
      </c>
      <c r="AL11" s="284"/>
      <c r="AM11" s="284"/>
      <c r="AN11" s="284"/>
      <c r="AO11" s="284"/>
      <c r="AP11" s="285" t="s">
        <v>7</v>
      </c>
      <c r="AQ11" s="285" t="s">
        <v>12</v>
      </c>
      <c r="AS11" s="285"/>
      <c r="AT11" s="285"/>
      <c r="AU11" s="285"/>
      <c r="AV11" s="285"/>
      <c r="AW11" s="285"/>
      <c r="AX11" s="285"/>
      <c r="AY11" s="285"/>
      <c r="AZ11" s="287"/>
      <c r="BA11" s="303"/>
      <c r="BB11" s="287"/>
      <c r="BC11" s="289"/>
      <c r="BD11" s="304"/>
      <c r="BE11" s="290"/>
      <c r="BF11" s="291"/>
      <c r="BG11" s="292"/>
      <c r="BH11" s="289"/>
      <c r="BI11" s="293"/>
      <c r="BJ11" s="293"/>
      <c r="BK11" s="293"/>
      <c r="BL11" s="293"/>
      <c r="BM11" s="293"/>
      <c r="BN11" s="293"/>
      <c r="BO11" s="293"/>
      <c r="BP11" s="293"/>
      <c r="BQ11" s="293"/>
      <c r="BR11" s="293"/>
      <c r="BS11" s="293"/>
      <c r="BT11" s="293"/>
      <c r="BU11" s="293"/>
      <c r="BV11" s="294"/>
      <c r="BW11" s="295"/>
      <c r="BX11" s="288"/>
      <c r="BY11" s="288"/>
      <c r="BZ11" s="288"/>
      <c r="CA11" s="288"/>
      <c r="CB11" s="296"/>
      <c r="CC11" s="296"/>
      <c r="CD11" s="297"/>
      <c r="CE11" s="297"/>
      <c r="CF11" s="297"/>
      <c r="CG11" s="297"/>
      <c r="CH11" s="298"/>
      <c r="CI11" s="298"/>
      <c r="CJ11" s="298"/>
      <c r="CK11" s="298"/>
      <c r="CL11" s="298"/>
      <c r="CM11" s="298"/>
      <c r="CN11" s="298"/>
      <c r="CO11" s="298"/>
      <c r="CP11" s="298"/>
      <c r="CQ11" s="298"/>
      <c r="CR11" s="298"/>
      <c r="CS11" s="298"/>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300"/>
    </row>
    <row r="12" spans="1:121" s="276" customFormat="1" ht="48" x14ac:dyDescent="0.2">
      <c r="A12" s="306">
        <v>10</v>
      </c>
      <c r="B12" s="264" t="s">
        <v>133</v>
      </c>
      <c r="C12" s="264" t="s">
        <v>108</v>
      </c>
      <c r="D12" s="278">
        <v>1.8254799999999998</v>
      </c>
      <c r="E12" s="267" t="s">
        <v>58</v>
      </c>
      <c r="F12" s="279">
        <v>257</v>
      </c>
      <c r="G12" s="285"/>
      <c r="H12" s="285"/>
      <c r="I12" s="285"/>
      <c r="J12" s="285"/>
      <c r="K12" s="285"/>
      <c r="L12" s="285"/>
      <c r="M12" s="285"/>
      <c r="N12" s="267"/>
      <c r="O12" s="267"/>
      <c r="P12" s="278">
        <v>0.28789761904761901</v>
      </c>
      <c r="Q12" s="278">
        <v>0.19840714285714287</v>
      </c>
      <c r="R12" s="278"/>
      <c r="S12" s="280">
        <v>34930784610</v>
      </c>
      <c r="T12" s="280">
        <v>31059462440</v>
      </c>
      <c r="U12" s="278">
        <v>0.42578333333333329</v>
      </c>
      <c r="V12" s="278">
        <v>0.2895023809523809</v>
      </c>
      <c r="W12" s="278"/>
      <c r="X12" s="280">
        <v>47262982868</v>
      </c>
      <c r="Y12" s="280">
        <v>34919334205</v>
      </c>
      <c r="Z12" s="280">
        <v>1000000000</v>
      </c>
      <c r="AA12" s="280">
        <v>0</v>
      </c>
      <c r="AB12" s="278">
        <v>0.44309285714285718</v>
      </c>
      <c r="AC12" s="278">
        <v>0.39024999999999999</v>
      </c>
      <c r="AD12" s="278"/>
      <c r="AE12" s="280">
        <v>25309492175</v>
      </c>
      <c r="AF12" s="280">
        <v>1605511981</v>
      </c>
      <c r="AG12" s="280">
        <v>0</v>
      </c>
      <c r="AH12" s="280">
        <v>0</v>
      </c>
      <c r="AI12" s="278">
        <v>0.66870619047619051</v>
      </c>
      <c r="AJ12" s="278"/>
      <c r="AK12" s="278">
        <v>0</v>
      </c>
      <c r="AL12" s="284"/>
      <c r="AM12" s="284"/>
      <c r="AN12" s="284"/>
      <c r="AO12" s="284"/>
      <c r="AP12" s="285" t="s">
        <v>15</v>
      </c>
      <c r="AQ12" s="285" t="s">
        <v>104</v>
      </c>
      <c r="AR12" s="285"/>
      <c r="AS12" s="285"/>
      <c r="AU12" s="285"/>
      <c r="AV12" s="285"/>
      <c r="AW12" s="285"/>
      <c r="AX12" s="285"/>
      <c r="AY12" s="285"/>
      <c r="AZ12" s="287"/>
      <c r="BA12" s="303"/>
      <c r="BB12" s="287"/>
      <c r="BC12" s="289"/>
      <c r="BD12" s="304"/>
      <c r="BE12" s="290"/>
      <c r="BF12" s="291"/>
      <c r="BG12" s="305"/>
      <c r="BH12" s="289"/>
      <c r="BI12" s="293"/>
      <c r="BJ12" s="293"/>
      <c r="BK12" s="293"/>
      <c r="BL12" s="293"/>
      <c r="BM12" s="293"/>
      <c r="BN12" s="293"/>
      <c r="BO12" s="293"/>
      <c r="BP12" s="293"/>
      <c r="BQ12" s="293"/>
      <c r="BR12" s="293"/>
      <c r="BS12" s="293"/>
      <c r="BT12" s="293"/>
      <c r="BU12" s="293"/>
      <c r="BV12" s="294"/>
      <c r="BW12" s="295"/>
      <c r="BX12" s="288"/>
      <c r="BY12" s="288"/>
      <c r="BZ12" s="288"/>
      <c r="CA12" s="288"/>
      <c r="CB12" s="296"/>
      <c r="CC12" s="296"/>
      <c r="CD12" s="297"/>
      <c r="CE12" s="297"/>
      <c r="CF12" s="297"/>
      <c r="CG12" s="297"/>
      <c r="CH12" s="297"/>
      <c r="CI12" s="297"/>
      <c r="CJ12" s="297"/>
      <c r="CK12" s="297"/>
      <c r="CL12" s="297"/>
      <c r="CM12" s="297"/>
      <c r="CN12" s="297"/>
      <c r="CO12" s="298"/>
      <c r="CP12" s="298"/>
      <c r="CQ12" s="298"/>
      <c r="CR12" s="298"/>
      <c r="CS12" s="298"/>
      <c r="CT12" s="299"/>
      <c r="CU12" s="299"/>
      <c r="CV12" s="299"/>
      <c r="CW12" s="299"/>
      <c r="CX12" s="299"/>
      <c r="CY12" s="299"/>
      <c r="CZ12" s="299"/>
      <c r="DA12" s="299"/>
      <c r="DB12" s="299"/>
      <c r="DC12" s="299"/>
      <c r="DD12" s="299"/>
      <c r="DE12" s="299"/>
      <c r="DF12" s="299"/>
      <c r="DG12" s="299"/>
      <c r="DH12" s="299"/>
      <c r="DI12" s="299"/>
      <c r="DJ12" s="299"/>
      <c r="DK12" s="299"/>
      <c r="DL12" s="299"/>
      <c r="DM12" s="299"/>
      <c r="DN12" s="299"/>
      <c r="DO12" s="299"/>
      <c r="DP12" s="299"/>
      <c r="DQ12" s="300"/>
    </row>
    <row r="13" spans="1:121" s="276" customFormat="1" ht="48" x14ac:dyDescent="0.2">
      <c r="A13" s="277">
        <v>11</v>
      </c>
      <c r="B13" s="30" t="s">
        <v>139</v>
      </c>
      <c r="C13" s="264" t="s">
        <v>108</v>
      </c>
      <c r="D13" s="278">
        <v>9.525999999999998</v>
      </c>
      <c r="E13" s="267" t="s">
        <v>59</v>
      </c>
      <c r="F13" s="279">
        <v>269</v>
      </c>
      <c r="G13" s="285"/>
      <c r="H13" s="285"/>
      <c r="I13" s="285"/>
      <c r="J13" s="285"/>
      <c r="K13" s="285"/>
      <c r="L13" s="285"/>
      <c r="M13" s="285"/>
      <c r="N13" s="267"/>
      <c r="O13" s="267"/>
      <c r="P13" s="278">
        <v>1.6062214928535949</v>
      </c>
      <c r="Q13" s="278">
        <v>1.330096492853595</v>
      </c>
      <c r="R13" s="278"/>
      <c r="S13" s="280">
        <v>4709102522</v>
      </c>
      <c r="T13" s="280">
        <v>3653244164</v>
      </c>
      <c r="U13" s="278">
        <v>2.504675488437428</v>
      </c>
      <c r="V13" s="278">
        <v>1.9259698698807279</v>
      </c>
      <c r="W13" s="278"/>
      <c r="X13" s="280">
        <v>7557585719</v>
      </c>
      <c r="Y13" s="280">
        <v>5559046721</v>
      </c>
      <c r="Z13" s="280">
        <v>0</v>
      </c>
      <c r="AA13" s="280">
        <v>0</v>
      </c>
      <c r="AB13" s="278">
        <v>2.9428441854713268</v>
      </c>
      <c r="AC13" s="278">
        <v>2.7069842271379936</v>
      </c>
      <c r="AD13" s="278"/>
      <c r="AE13" s="280">
        <v>8735106300</v>
      </c>
      <c r="AF13" s="280">
        <v>3349977863</v>
      </c>
      <c r="AG13" s="280"/>
      <c r="AH13" s="280"/>
      <c r="AI13" s="278">
        <v>2.4722588332376501</v>
      </c>
      <c r="AJ13" s="278"/>
      <c r="AK13" s="278">
        <v>0</v>
      </c>
      <c r="AL13" s="284"/>
      <c r="AM13" s="284"/>
      <c r="AO13" s="284"/>
      <c r="AP13" s="285" t="s">
        <v>9</v>
      </c>
      <c r="AQ13" s="285" t="s">
        <v>14</v>
      </c>
      <c r="AR13" s="285" t="s">
        <v>16</v>
      </c>
      <c r="AS13" s="285" t="s">
        <v>17</v>
      </c>
      <c r="AT13" s="285" t="s">
        <v>7</v>
      </c>
      <c r="AU13" s="285" t="s">
        <v>8</v>
      </c>
      <c r="AV13" s="285" t="s">
        <v>12</v>
      </c>
      <c r="AW13" s="285" t="s">
        <v>10</v>
      </c>
      <c r="AX13" s="285" t="s">
        <v>11</v>
      </c>
      <c r="AY13" s="285" t="s">
        <v>103</v>
      </c>
      <c r="AZ13" s="285" t="s">
        <v>15</v>
      </c>
      <c r="BA13" s="285" t="s">
        <v>3</v>
      </c>
      <c r="BB13" s="285" t="s">
        <v>104</v>
      </c>
      <c r="BG13" s="308"/>
      <c r="BH13" s="289"/>
      <c r="BI13" s="293"/>
      <c r="BJ13" s="293"/>
      <c r="BK13" s="293"/>
      <c r="BL13" s="293"/>
      <c r="BM13" s="293"/>
      <c r="BN13" s="293"/>
      <c r="BO13" s="293"/>
      <c r="BP13" s="293"/>
      <c r="BQ13" s="293"/>
      <c r="BR13" s="293"/>
      <c r="BS13" s="293"/>
      <c r="BT13" s="293"/>
      <c r="BU13" s="293"/>
      <c r="BV13" s="294"/>
      <c r="BW13" s="295"/>
      <c r="BX13" s="288"/>
      <c r="BY13" s="288"/>
      <c r="BZ13" s="288"/>
      <c r="CA13" s="288"/>
      <c r="CB13" s="296"/>
      <c r="CC13" s="296"/>
      <c r="CD13" s="297"/>
      <c r="CE13" s="298"/>
      <c r="CF13" s="298"/>
      <c r="CG13" s="298"/>
      <c r="CH13" s="298"/>
      <c r="CI13" s="298"/>
      <c r="CJ13" s="298"/>
      <c r="CK13" s="298"/>
      <c r="CL13" s="298"/>
      <c r="CM13" s="298"/>
      <c r="CN13" s="298"/>
      <c r="CO13" s="298"/>
      <c r="CP13" s="298"/>
      <c r="CQ13" s="298"/>
      <c r="CR13" s="298"/>
      <c r="CS13" s="298"/>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300"/>
    </row>
    <row r="14" spans="1:121" s="276" customFormat="1" ht="36" x14ac:dyDescent="0.2">
      <c r="A14" s="277">
        <v>12</v>
      </c>
      <c r="B14" s="30" t="s">
        <v>141</v>
      </c>
      <c r="C14" s="264" t="s">
        <v>109</v>
      </c>
      <c r="D14" s="309">
        <v>1.1600000000000001</v>
      </c>
      <c r="E14" s="267" t="s">
        <v>60</v>
      </c>
      <c r="F14" s="279">
        <v>327</v>
      </c>
      <c r="G14" s="267"/>
      <c r="H14" s="267"/>
      <c r="I14" s="267"/>
      <c r="J14" s="267"/>
      <c r="K14" s="267"/>
      <c r="L14" s="267"/>
      <c r="M14" s="267"/>
      <c r="N14" s="267"/>
      <c r="O14" s="267"/>
      <c r="P14" s="278">
        <v>0.1353</v>
      </c>
      <c r="Q14" s="278">
        <v>0.1353</v>
      </c>
      <c r="R14" s="278"/>
      <c r="S14" s="280">
        <v>563000000</v>
      </c>
      <c r="T14" s="280">
        <v>0</v>
      </c>
      <c r="U14" s="278">
        <v>0.1547</v>
      </c>
      <c r="V14" s="278">
        <v>0.1547</v>
      </c>
      <c r="W14" s="278"/>
      <c r="X14" s="280">
        <v>3362000000</v>
      </c>
      <c r="Y14" s="280">
        <v>2947940500</v>
      </c>
      <c r="Z14" s="280"/>
      <c r="AA14" s="280"/>
      <c r="AB14" s="278">
        <v>0.26300000000000001</v>
      </c>
      <c r="AC14" s="278">
        <v>0.22999999999999998</v>
      </c>
      <c r="AD14" s="278"/>
      <c r="AE14" s="280">
        <v>3939670500</v>
      </c>
      <c r="AF14" s="280">
        <v>266500600</v>
      </c>
      <c r="AG14" s="280"/>
      <c r="AH14" s="280"/>
      <c r="AI14" s="278">
        <v>0.6070000000000001</v>
      </c>
      <c r="AJ14" s="278"/>
      <c r="AK14" s="278">
        <v>0</v>
      </c>
      <c r="AL14" s="310"/>
      <c r="AM14" s="310"/>
      <c r="AN14" s="310"/>
      <c r="AO14" s="310"/>
      <c r="AP14" s="285" t="s">
        <v>19</v>
      </c>
      <c r="AQ14" s="285" t="s">
        <v>18</v>
      </c>
      <c r="AS14" s="285"/>
      <c r="AT14" s="285"/>
      <c r="AU14" s="285"/>
      <c r="AV14" s="285"/>
      <c r="AW14" s="285"/>
      <c r="AX14" s="285"/>
      <c r="AY14" s="285"/>
      <c r="AZ14" s="287"/>
      <c r="BA14" s="288"/>
      <c r="BB14" s="287"/>
      <c r="BC14" s="289"/>
      <c r="BD14" s="304"/>
      <c r="BE14" s="290"/>
      <c r="BF14" s="291"/>
      <c r="BG14" s="305"/>
      <c r="BH14" s="289"/>
      <c r="BI14" s="293"/>
      <c r="BJ14" s="293"/>
      <c r="BK14" s="293"/>
      <c r="BL14" s="293"/>
      <c r="BM14" s="293"/>
      <c r="BN14" s="293"/>
      <c r="BO14" s="293"/>
      <c r="BP14" s="293"/>
      <c r="BQ14" s="293"/>
      <c r="BR14" s="293"/>
      <c r="BS14" s="293"/>
      <c r="BT14" s="293"/>
      <c r="BU14" s="293"/>
      <c r="BV14" s="294"/>
      <c r="BW14" s="295"/>
      <c r="BX14" s="288"/>
      <c r="BY14" s="288"/>
      <c r="BZ14" s="288"/>
      <c r="CA14" s="288"/>
      <c r="CB14" s="296"/>
      <c r="CC14" s="296"/>
      <c r="CD14" s="297"/>
      <c r="CE14" s="297"/>
      <c r="CF14" s="298"/>
      <c r="CG14" s="298"/>
      <c r="CH14" s="298"/>
      <c r="CI14" s="298"/>
      <c r="CJ14" s="298"/>
      <c r="CK14" s="298"/>
      <c r="CL14" s="298"/>
      <c r="CM14" s="298"/>
      <c r="CN14" s="298"/>
      <c r="CO14" s="298"/>
      <c r="CP14" s="298"/>
      <c r="CQ14" s="298"/>
      <c r="CR14" s="298"/>
      <c r="CS14" s="298"/>
      <c r="CT14" s="299"/>
      <c r="CU14" s="299"/>
      <c r="CV14" s="299"/>
      <c r="CW14" s="299"/>
      <c r="CX14" s="299"/>
      <c r="CY14" s="299"/>
      <c r="CZ14" s="299"/>
      <c r="DA14" s="299"/>
      <c r="DB14" s="299"/>
      <c r="DC14" s="299"/>
      <c r="DD14" s="299"/>
      <c r="DE14" s="299"/>
      <c r="DF14" s="299"/>
      <c r="DG14" s="299"/>
      <c r="DH14" s="299"/>
      <c r="DI14" s="299"/>
      <c r="DJ14" s="299"/>
      <c r="DK14" s="299"/>
      <c r="DL14" s="299"/>
      <c r="DM14" s="299"/>
      <c r="DN14" s="299"/>
      <c r="DO14" s="299"/>
      <c r="DP14" s="299"/>
      <c r="DQ14" s="300"/>
    </row>
    <row r="15" spans="1:121" s="276" customFormat="1" ht="84" x14ac:dyDescent="0.2">
      <c r="A15" s="306">
        <v>13</v>
      </c>
      <c r="B15" s="30" t="s">
        <v>142</v>
      </c>
      <c r="C15" s="264" t="s">
        <v>109</v>
      </c>
      <c r="D15" s="278">
        <v>2.3149999999999999</v>
      </c>
      <c r="E15" s="267" t="s">
        <v>61</v>
      </c>
      <c r="F15" s="279">
        <v>334</v>
      </c>
      <c r="G15" s="279">
        <v>335</v>
      </c>
      <c r="H15" s="285"/>
      <c r="I15" s="285"/>
      <c r="J15" s="285"/>
      <c r="K15" s="267"/>
      <c r="L15" s="267"/>
      <c r="M15" s="267"/>
      <c r="N15" s="267"/>
      <c r="O15" s="267"/>
      <c r="P15" s="278">
        <v>0.25867499999999999</v>
      </c>
      <c r="Q15" s="278">
        <v>0.24648750000000003</v>
      </c>
      <c r="R15" s="278"/>
      <c r="S15" s="280">
        <v>13460296554</v>
      </c>
      <c r="T15" s="280">
        <v>8210722648</v>
      </c>
      <c r="U15" s="278">
        <v>0.72957499999999997</v>
      </c>
      <c r="V15" s="278">
        <v>0.66470499999999999</v>
      </c>
      <c r="W15" s="278"/>
      <c r="X15" s="280">
        <v>16268294804</v>
      </c>
      <c r="Y15" s="280">
        <v>13226356502</v>
      </c>
      <c r="Z15" s="280"/>
      <c r="AA15" s="280"/>
      <c r="AB15" s="278">
        <v>0.76850000000000007</v>
      </c>
      <c r="AC15" s="278">
        <v>0.59890258620689651</v>
      </c>
      <c r="AD15" s="278"/>
      <c r="AE15" s="280">
        <v>11550339727</v>
      </c>
      <c r="AF15" s="280">
        <v>108706320</v>
      </c>
      <c r="AG15" s="280"/>
      <c r="AH15" s="280"/>
      <c r="AI15" s="278">
        <v>0.55825000000000014</v>
      </c>
      <c r="AJ15" s="278"/>
      <c r="AK15" s="278">
        <v>0</v>
      </c>
      <c r="AL15" s="310"/>
      <c r="AM15" s="310"/>
      <c r="AN15" s="310"/>
      <c r="AO15" s="310"/>
      <c r="AP15" s="285" t="s">
        <v>13</v>
      </c>
      <c r="AQ15" s="285"/>
      <c r="AR15" s="285"/>
      <c r="AS15" s="285"/>
      <c r="AT15" s="285"/>
      <c r="AU15" s="303"/>
      <c r="AV15" s="303"/>
      <c r="AW15" s="303"/>
      <c r="AX15" s="303"/>
      <c r="AY15" s="303"/>
      <c r="AZ15" s="303"/>
      <c r="BA15" s="303"/>
      <c r="BB15" s="303"/>
      <c r="BC15" s="289"/>
      <c r="BD15" s="304"/>
      <c r="BE15" s="290"/>
      <c r="BF15" s="291"/>
      <c r="BG15" s="292"/>
      <c r="BH15" s="289"/>
      <c r="BI15" s="293"/>
      <c r="BJ15" s="293"/>
      <c r="BK15" s="293"/>
      <c r="BL15" s="293"/>
      <c r="BM15" s="293"/>
      <c r="BN15" s="293"/>
      <c r="BO15" s="293"/>
      <c r="BP15" s="293"/>
      <c r="BQ15" s="293"/>
      <c r="BR15" s="293"/>
      <c r="BS15" s="293"/>
      <c r="BT15" s="293"/>
      <c r="BU15" s="293"/>
      <c r="BV15" s="294"/>
      <c r="BW15" s="295"/>
      <c r="BX15" s="288"/>
      <c r="BY15" s="288"/>
      <c r="BZ15" s="288"/>
      <c r="CA15" s="288"/>
      <c r="CB15" s="296"/>
      <c r="CC15" s="296"/>
      <c r="CD15" s="297"/>
      <c r="CE15" s="297"/>
      <c r="CF15" s="297"/>
      <c r="CG15" s="297"/>
      <c r="CH15" s="298"/>
      <c r="CI15" s="298"/>
      <c r="CJ15" s="298"/>
      <c r="CK15" s="298"/>
      <c r="CL15" s="298"/>
      <c r="CM15" s="298"/>
      <c r="CN15" s="298"/>
      <c r="CO15" s="298"/>
      <c r="CP15" s="298"/>
      <c r="CQ15" s="298"/>
      <c r="CR15" s="298"/>
      <c r="CS15" s="298"/>
      <c r="CT15" s="299"/>
      <c r="CU15" s="299"/>
      <c r="CV15" s="299"/>
      <c r="CW15" s="299"/>
      <c r="CX15" s="299"/>
      <c r="CY15" s="299"/>
      <c r="CZ15" s="299"/>
      <c r="DA15" s="299"/>
      <c r="DB15" s="299"/>
      <c r="DC15" s="299"/>
      <c r="DD15" s="299"/>
      <c r="DE15" s="299"/>
      <c r="DF15" s="299"/>
      <c r="DG15" s="299"/>
      <c r="DH15" s="299"/>
      <c r="DI15" s="299"/>
      <c r="DJ15" s="299"/>
      <c r="DK15" s="299"/>
      <c r="DL15" s="299"/>
      <c r="DM15" s="299"/>
      <c r="DN15" s="299"/>
      <c r="DO15" s="299"/>
      <c r="DP15" s="299"/>
      <c r="DQ15" s="300"/>
    </row>
    <row r="16" spans="1:121" s="276" customFormat="1" ht="60" x14ac:dyDescent="0.2">
      <c r="A16" s="277">
        <v>14</v>
      </c>
      <c r="B16" s="30" t="s">
        <v>143</v>
      </c>
      <c r="C16" s="264" t="s">
        <v>109</v>
      </c>
      <c r="D16" s="278">
        <v>2.74</v>
      </c>
      <c r="E16" s="267" t="s">
        <v>62</v>
      </c>
      <c r="F16" s="279">
        <v>347</v>
      </c>
      <c r="G16" s="279">
        <v>348</v>
      </c>
      <c r="H16" s="267"/>
      <c r="I16" s="267"/>
      <c r="J16" s="267"/>
      <c r="K16" s="267"/>
      <c r="L16" s="267"/>
      <c r="M16" s="267"/>
      <c r="N16" s="267"/>
      <c r="O16" s="267"/>
      <c r="P16" s="278">
        <v>7.6060606060606051E-2</v>
      </c>
      <c r="Q16" s="278">
        <v>5.3333333333333337E-2</v>
      </c>
      <c r="R16" s="278"/>
      <c r="S16" s="280">
        <v>60836330397</v>
      </c>
      <c r="T16" s="280">
        <v>54647135164</v>
      </c>
      <c r="U16" s="278">
        <v>0.87595291672024345</v>
      </c>
      <c r="V16" s="278">
        <v>0.60970291672024346</v>
      </c>
      <c r="W16" s="278"/>
      <c r="X16" s="280">
        <v>56072271913</v>
      </c>
      <c r="Y16" s="280">
        <v>56072271913</v>
      </c>
      <c r="Z16" s="280">
        <v>3302867509</v>
      </c>
      <c r="AA16" s="280">
        <v>3302867509</v>
      </c>
      <c r="AB16" s="278">
        <v>0.67286390446187472</v>
      </c>
      <c r="AC16" s="278">
        <v>0.44801692463638398</v>
      </c>
      <c r="AD16" s="278"/>
      <c r="AE16" s="280">
        <v>58245463724</v>
      </c>
      <c r="AF16" s="280">
        <v>41686942990</v>
      </c>
      <c r="AG16" s="280">
        <v>15323172240</v>
      </c>
      <c r="AH16" s="280">
        <v>0</v>
      </c>
      <c r="AI16" s="278">
        <v>1.1151225727572758</v>
      </c>
      <c r="AJ16" s="278"/>
      <c r="AK16" s="278">
        <v>0</v>
      </c>
      <c r="AL16" s="310"/>
      <c r="AM16" s="310"/>
      <c r="AN16" s="310"/>
      <c r="AO16" s="310"/>
      <c r="AP16" s="285" t="s">
        <v>103</v>
      </c>
      <c r="AQ16" s="285" t="s">
        <v>105</v>
      </c>
      <c r="AS16" s="285"/>
      <c r="AT16" s="285"/>
      <c r="AU16" s="285"/>
      <c r="AV16" s="285"/>
      <c r="AW16" s="285"/>
      <c r="AX16" s="285"/>
      <c r="AY16" s="285"/>
      <c r="AZ16" s="294"/>
      <c r="BA16" s="303"/>
      <c r="BB16" s="287"/>
      <c r="BC16" s="289"/>
      <c r="BD16" s="304"/>
      <c r="BE16" s="290"/>
      <c r="BF16" s="291"/>
      <c r="BG16" s="292"/>
      <c r="BH16" s="289"/>
      <c r="BI16" s="293"/>
      <c r="BJ16" s="293"/>
      <c r="BK16" s="293"/>
      <c r="BL16" s="293"/>
      <c r="BM16" s="293"/>
      <c r="BN16" s="293"/>
      <c r="BO16" s="293"/>
      <c r="BP16" s="293"/>
      <c r="BQ16" s="293"/>
      <c r="BR16" s="293"/>
      <c r="BS16" s="293"/>
      <c r="BT16" s="293"/>
      <c r="BU16" s="293"/>
      <c r="BV16" s="294"/>
      <c r="BW16" s="295"/>
      <c r="BX16" s="288"/>
      <c r="BY16" s="288"/>
      <c r="BZ16" s="288"/>
      <c r="CA16" s="288"/>
      <c r="CB16" s="296"/>
      <c r="CC16" s="296"/>
      <c r="CD16" s="297"/>
      <c r="CE16" s="297"/>
      <c r="CF16" s="297"/>
      <c r="CG16" s="297"/>
      <c r="CH16" s="297"/>
      <c r="CI16" s="297"/>
      <c r="CJ16" s="297"/>
      <c r="CK16" s="298"/>
      <c r="CL16" s="298"/>
      <c r="CM16" s="298"/>
      <c r="CN16" s="298"/>
      <c r="CO16" s="298"/>
      <c r="CP16" s="298"/>
      <c r="CQ16" s="298"/>
      <c r="CR16" s="298"/>
      <c r="CS16" s="298"/>
      <c r="CT16" s="299"/>
      <c r="CU16" s="299"/>
      <c r="CV16" s="299"/>
      <c r="CW16" s="299"/>
      <c r="CX16" s="299"/>
      <c r="CY16" s="299"/>
      <c r="CZ16" s="299"/>
      <c r="DA16" s="299"/>
      <c r="DB16" s="299"/>
      <c r="DC16" s="299"/>
      <c r="DD16" s="299"/>
      <c r="DE16" s="299"/>
      <c r="DF16" s="299"/>
      <c r="DG16" s="299"/>
      <c r="DH16" s="299"/>
      <c r="DI16" s="299"/>
      <c r="DJ16" s="299"/>
      <c r="DK16" s="299"/>
      <c r="DL16" s="299"/>
      <c r="DM16" s="299"/>
      <c r="DN16" s="299"/>
      <c r="DO16" s="299"/>
      <c r="DP16" s="299"/>
      <c r="DQ16" s="300"/>
    </row>
    <row r="17" spans="1:121" s="276" customFormat="1" ht="48" x14ac:dyDescent="0.2">
      <c r="A17" s="277">
        <v>15</v>
      </c>
      <c r="B17" s="30" t="s">
        <v>144</v>
      </c>
      <c r="C17" s="264" t="s">
        <v>109</v>
      </c>
      <c r="D17" s="309">
        <v>2.7340000000000004</v>
      </c>
      <c r="E17" s="267" t="s">
        <v>63</v>
      </c>
      <c r="F17" s="279">
        <v>359</v>
      </c>
      <c r="G17" s="279">
        <v>360</v>
      </c>
      <c r="H17" s="267"/>
      <c r="I17" s="267"/>
      <c r="J17" s="267"/>
      <c r="K17" s="267"/>
      <c r="L17" s="267"/>
      <c r="M17" s="267"/>
      <c r="N17" s="267"/>
      <c r="O17" s="267"/>
      <c r="P17" s="278">
        <v>0.62975000000000003</v>
      </c>
      <c r="Q17" s="278">
        <v>0.58850000000000002</v>
      </c>
      <c r="R17" s="278"/>
      <c r="S17" s="280">
        <v>7761465270</v>
      </c>
      <c r="T17" s="280">
        <v>7501407180</v>
      </c>
      <c r="U17" s="278">
        <v>0.73450000000000004</v>
      </c>
      <c r="V17" s="278">
        <v>0.61234250000000001</v>
      </c>
      <c r="W17" s="278"/>
      <c r="X17" s="280">
        <v>7658287578</v>
      </c>
      <c r="Y17" s="280">
        <v>6813431934</v>
      </c>
      <c r="Z17" s="280">
        <v>12523549478</v>
      </c>
      <c r="AA17" s="280">
        <v>11599564478</v>
      </c>
      <c r="AB17" s="278">
        <v>0.72625000000000006</v>
      </c>
      <c r="AC17" s="278">
        <v>0.61246379919433602</v>
      </c>
      <c r="AD17" s="278"/>
      <c r="AE17" s="280">
        <v>6731023000</v>
      </c>
      <c r="AF17" s="280">
        <v>1028017537</v>
      </c>
      <c r="AG17" s="280">
        <v>0</v>
      </c>
      <c r="AH17" s="280">
        <v>0</v>
      </c>
      <c r="AI17" s="278">
        <v>0.64349999999999996</v>
      </c>
      <c r="AJ17" s="278"/>
      <c r="AK17" s="278">
        <v>0</v>
      </c>
      <c r="AL17" s="310"/>
      <c r="AM17" s="310"/>
      <c r="AN17" s="310"/>
      <c r="AO17" s="310"/>
      <c r="AP17" s="285" t="s">
        <v>16</v>
      </c>
      <c r="AQ17" s="285"/>
      <c r="AR17" s="285"/>
      <c r="AS17" s="285"/>
      <c r="AT17" s="285"/>
      <c r="AU17" s="285"/>
      <c r="AV17" s="285"/>
      <c r="AW17" s="285"/>
      <c r="AX17" s="285"/>
      <c r="AY17" s="285"/>
      <c r="AZ17" s="294"/>
      <c r="BA17" s="303"/>
      <c r="BB17" s="287"/>
      <c r="BC17" s="293"/>
      <c r="BD17" s="304"/>
      <c r="BE17" s="290"/>
      <c r="BF17" s="291"/>
      <c r="BG17" s="292"/>
      <c r="BH17" s="289"/>
      <c r="BI17" s="293"/>
      <c r="BJ17" s="293"/>
      <c r="BK17" s="293"/>
      <c r="BL17" s="293"/>
      <c r="BM17" s="293"/>
      <c r="BN17" s="293"/>
      <c r="BO17" s="293"/>
      <c r="BP17" s="293"/>
      <c r="BQ17" s="293"/>
      <c r="BR17" s="293"/>
      <c r="BS17" s="293"/>
      <c r="BT17" s="293"/>
      <c r="BU17" s="293"/>
      <c r="BV17" s="294"/>
      <c r="BW17" s="295"/>
      <c r="BX17" s="288"/>
      <c r="BY17" s="288"/>
      <c r="BZ17" s="288"/>
      <c r="CA17" s="288"/>
      <c r="CB17" s="296"/>
      <c r="CC17" s="296"/>
      <c r="CD17" s="297"/>
      <c r="CE17" s="297"/>
      <c r="CF17" s="297"/>
      <c r="CG17" s="297"/>
      <c r="CH17" s="297"/>
      <c r="CI17" s="297"/>
      <c r="CJ17" s="298"/>
      <c r="CK17" s="298"/>
      <c r="CL17" s="298"/>
      <c r="CM17" s="298"/>
      <c r="CN17" s="298"/>
      <c r="CO17" s="298"/>
      <c r="CP17" s="298"/>
      <c r="CQ17" s="298"/>
      <c r="CR17" s="298"/>
      <c r="CS17" s="298"/>
      <c r="CT17" s="299"/>
      <c r="CU17" s="299"/>
      <c r="CV17" s="299"/>
      <c r="CW17" s="299"/>
      <c r="CX17" s="299"/>
      <c r="CY17" s="299"/>
      <c r="CZ17" s="299"/>
      <c r="DA17" s="299"/>
      <c r="DB17" s="299"/>
      <c r="DC17" s="299"/>
      <c r="DD17" s="299"/>
      <c r="DE17" s="299"/>
      <c r="DF17" s="299"/>
      <c r="DG17" s="299"/>
      <c r="DH17" s="299"/>
      <c r="DI17" s="299"/>
      <c r="DJ17" s="299"/>
      <c r="DK17" s="299"/>
      <c r="DL17" s="299"/>
      <c r="DM17" s="299"/>
      <c r="DN17" s="299"/>
      <c r="DO17" s="299"/>
      <c r="DP17" s="299"/>
      <c r="DQ17" s="300"/>
    </row>
    <row r="18" spans="1:121" s="276" customFormat="1" ht="36" x14ac:dyDescent="0.2">
      <c r="A18" s="306">
        <v>16</v>
      </c>
      <c r="B18" s="30" t="s">
        <v>145</v>
      </c>
      <c r="C18" s="264" t="s">
        <v>109</v>
      </c>
      <c r="D18" s="309">
        <v>2.15</v>
      </c>
      <c r="E18" s="267" t="s">
        <v>64</v>
      </c>
      <c r="F18" s="279">
        <v>375</v>
      </c>
      <c r="G18" s="267"/>
      <c r="H18" s="267"/>
      <c r="I18" s="267"/>
      <c r="J18" s="267"/>
      <c r="K18" s="267"/>
      <c r="L18" s="267"/>
      <c r="M18" s="267"/>
      <c r="N18" s="267"/>
      <c r="O18" s="267"/>
      <c r="P18" s="278">
        <v>0.30430996472663147</v>
      </c>
      <c r="Q18" s="278">
        <v>0.29826470610594175</v>
      </c>
      <c r="R18" s="278"/>
      <c r="S18" s="280">
        <v>1892158973</v>
      </c>
      <c r="T18" s="280">
        <v>1886750485</v>
      </c>
      <c r="U18" s="278">
        <v>0.61171693121693127</v>
      </c>
      <c r="V18" s="278">
        <v>0.45691693121693122</v>
      </c>
      <c r="W18" s="278"/>
      <c r="X18" s="280">
        <v>3080397439</v>
      </c>
      <c r="Y18" s="280">
        <v>2705330699</v>
      </c>
      <c r="Z18" s="280"/>
      <c r="AA18" s="280"/>
      <c r="AB18" s="278">
        <v>0.64334193121693128</v>
      </c>
      <c r="AC18" s="278">
        <v>0.49082367890642226</v>
      </c>
      <c r="AD18" s="278"/>
      <c r="AE18" s="280">
        <v>2181000000</v>
      </c>
      <c r="AF18" s="280">
        <v>641940119</v>
      </c>
      <c r="AG18" s="280"/>
      <c r="AH18" s="280"/>
      <c r="AI18" s="278">
        <v>0.59063117283950628</v>
      </c>
      <c r="AJ18" s="278"/>
      <c r="AK18" s="278">
        <v>0</v>
      </c>
      <c r="AL18" s="310"/>
      <c r="AM18" s="310"/>
      <c r="AN18" s="310"/>
      <c r="AO18" s="310"/>
      <c r="AP18" s="285" t="s">
        <v>16</v>
      </c>
      <c r="AQ18" s="285"/>
      <c r="AR18" s="285"/>
      <c r="AS18" s="285"/>
      <c r="AT18" s="285"/>
      <c r="AU18" s="285"/>
      <c r="AV18" s="285"/>
      <c r="AW18" s="285"/>
      <c r="AX18" s="285"/>
      <c r="AY18" s="285"/>
      <c r="AZ18" s="287"/>
      <c r="BA18" s="303"/>
      <c r="BB18" s="287"/>
      <c r="BC18" s="289"/>
      <c r="BD18" s="304"/>
      <c r="BE18" s="290"/>
      <c r="BF18" s="291"/>
      <c r="BG18" s="305"/>
      <c r="BH18" s="289"/>
      <c r="BI18" s="293"/>
      <c r="BJ18" s="293"/>
      <c r="BK18" s="293"/>
      <c r="BL18" s="293"/>
      <c r="BM18" s="293"/>
      <c r="BN18" s="293"/>
      <c r="BO18" s="293"/>
      <c r="BP18" s="293"/>
      <c r="BQ18" s="293"/>
      <c r="BR18" s="293"/>
      <c r="BS18" s="293"/>
      <c r="BT18" s="293"/>
      <c r="BU18" s="293"/>
      <c r="BV18" s="294"/>
      <c r="BW18" s="295"/>
      <c r="BX18" s="288"/>
      <c r="BY18" s="288"/>
      <c r="BZ18" s="288"/>
      <c r="CA18" s="288"/>
      <c r="CB18" s="296"/>
      <c r="CC18" s="296"/>
      <c r="CD18" s="297"/>
      <c r="CE18" s="297"/>
      <c r="CF18" s="297"/>
      <c r="CG18" s="297"/>
      <c r="CH18" s="297"/>
      <c r="CI18" s="297"/>
      <c r="CJ18" s="297"/>
      <c r="CK18" s="298"/>
      <c r="CL18" s="298"/>
      <c r="CM18" s="298"/>
      <c r="CN18" s="298"/>
      <c r="CO18" s="298"/>
      <c r="CP18" s="298"/>
      <c r="CQ18" s="298"/>
      <c r="CR18" s="298"/>
      <c r="CS18" s="298"/>
      <c r="CT18" s="299"/>
      <c r="CU18" s="299"/>
      <c r="CV18" s="299"/>
      <c r="CW18" s="299"/>
      <c r="CX18" s="299"/>
      <c r="CY18" s="299"/>
      <c r="CZ18" s="299"/>
      <c r="DA18" s="299"/>
      <c r="DB18" s="299"/>
      <c r="DC18" s="299"/>
      <c r="DD18" s="299"/>
      <c r="DE18" s="299"/>
      <c r="DF18" s="299"/>
      <c r="DG18" s="299"/>
      <c r="DH18" s="299"/>
      <c r="DI18" s="299"/>
      <c r="DJ18" s="299"/>
      <c r="DK18" s="299"/>
      <c r="DL18" s="299"/>
      <c r="DM18" s="299"/>
      <c r="DN18" s="299"/>
      <c r="DO18" s="299"/>
      <c r="DP18" s="299"/>
      <c r="DQ18" s="300"/>
    </row>
    <row r="19" spans="1:121" s="276" customFormat="1" ht="72" x14ac:dyDescent="0.2">
      <c r="A19" s="277">
        <v>17</v>
      </c>
      <c r="B19" s="30" t="s">
        <v>146</v>
      </c>
      <c r="C19" s="264" t="s">
        <v>109</v>
      </c>
      <c r="D19" s="309">
        <v>1.2530000000000001</v>
      </c>
      <c r="E19" s="267" t="s">
        <v>66</v>
      </c>
      <c r="F19" s="279">
        <v>397</v>
      </c>
      <c r="G19" s="67">
        <v>398</v>
      </c>
      <c r="H19" s="267"/>
      <c r="I19" s="267"/>
      <c r="J19" s="267"/>
      <c r="K19" s="267"/>
      <c r="L19" s="267"/>
      <c r="M19" s="267"/>
      <c r="N19" s="267"/>
      <c r="O19" s="267"/>
      <c r="P19" s="278">
        <v>2.2249999999999999E-2</v>
      </c>
      <c r="Q19" s="278">
        <v>2.2250000000000002E-2</v>
      </c>
      <c r="R19" s="278"/>
      <c r="S19" s="280">
        <v>5624441477</v>
      </c>
      <c r="T19" s="280">
        <v>4106050166</v>
      </c>
      <c r="U19" s="278">
        <v>0.39467391304347826</v>
      </c>
      <c r="V19" s="278">
        <v>0.34917391304347828</v>
      </c>
      <c r="W19" s="278"/>
      <c r="X19" s="280">
        <v>10585471113</v>
      </c>
      <c r="Y19" s="280">
        <v>8910919968</v>
      </c>
      <c r="Z19" s="280"/>
      <c r="AA19" s="280"/>
      <c r="AB19" s="278">
        <v>0.25737173913043476</v>
      </c>
      <c r="AC19" s="278">
        <v>0.22437174011391142</v>
      </c>
      <c r="AD19" s="278"/>
      <c r="AE19" s="280">
        <v>8543466000</v>
      </c>
      <c r="AF19" s="280">
        <v>912584638</v>
      </c>
      <c r="AG19" s="280">
        <v>4000000000</v>
      </c>
      <c r="AH19" s="280">
        <v>0</v>
      </c>
      <c r="AI19" s="278">
        <v>0.57870434782608693</v>
      </c>
      <c r="AJ19" s="278"/>
      <c r="AK19" s="278">
        <v>0</v>
      </c>
      <c r="AL19" s="310"/>
      <c r="AM19" s="310"/>
      <c r="AN19" s="310"/>
      <c r="AO19" s="310"/>
      <c r="AP19" s="285" t="s">
        <v>9</v>
      </c>
      <c r="AQ19" s="285" t="s">
        <v>18</v>
      </c>
      <c r="AR19" s="285" t="s">
        <v>10</v>
      </c>
      <c r="AS19" s="285" t="s">
        <v>16</v>
      </c>
      <c r="AT19" s="285" t="s">
        <v>20</v>
      </c>
      <c r="AU19" s="285"/>
      <c r="AV19" s="285"/>
      <c r="AW19" s="285"/>
      <c r="AX19" s="285"/>
      <c r="AY19" s="285"/>
      <c r="AZ19" s="287"/>
      <c r="BA19" s="303"/>
      <c r="BB19" s="287"/>
      <c r="BC19" s="289"/>
      <c r="BD19" s="304"/>
      <c r="BE19" s="290"/>
      <c r="BF19" s="291"/>
      <c r="BG19" s="305"/>
      <c r="BH19" s="289"/>
      <c r="BI19" s="293"/>
      <c r="BJ19" s="293"/>
      <c r="BK19" s="293"/>
      <c r="BL19" s="293"/>
      <c r="BM19" s="293"/>
      <c r="BN19" s="293"/>
      <c r="BO19" s="293"/>
      <c r="BP19" s="293"/>
      <c r="BQ19" s="293"/>
      <c r="BR19" s="293"/>
      <c r="BS19" s="293"/>
      <c r="BT19" s="293"/>
      <c r="BU19" s="293"/>
      <c r="BV19" s="294"/>
      <c r="BW19" s="295"/>
      <c r="BX19" s="288"/>
      <c r="BY19" s="288"/>
      <c r="BZ19" s="288"/>
      <c r="CA19" s="288"/>
      <c r="CB19" s="296"/>
      <c r="CC19" s="296"/>
      <c r="CD19" s="297"/>
      <c r="CE19" s="297"/>
      <c r="CF19" s="298"/>
      <c r="CG19" s="298"/>
      <c r="CH19" s="298"/>
      <c r="CI19" s="298"/>
      <c r="CJ19" s="298"/>
      <c r="CK19" s="298"/>
      <c r="CL19" s="298"/>
      <c r="CM19" s="298"/>
      <c r="CN19" s="298"/>
      <c r="CO19" s="298"/>
      <c r="CP19" s="298"/>
      <c r="CQ19" s="298"/>
      <c r="CR19" s="298"/>
      <c r="CS19" s="298"/>
      <c r="CT19" s="299"/>
      <c r="CU19" s="299"/>
      <c r="CV19" s="299"/>
      <c r="CW19" s="299"/>
      <c r="CX19" s="299"/>
      <c r="CY19" s="299"/>
      <c r="CZ19" s="299"/>
      <c r="DA19" s="299"/>
      <c r="DB19" s="299"/>
      <c r="DC19" s="299"/>
      <c r="DD19" s="299"/>
      <c r="DE19" s="299"/>
      <c r="DF19" s="299"/>
      <c r="DG19" s="299"/>
      <c r="DH19" s="299"/>
      <c r="DI19" s="299"/>
      <c r="DJ19" s="299"/>
      <c r="DK19" s="299"/>
      <c r="DL19" s="299"/>
      <c r="DM19" s="299"/>
      <c r="DN19" s="299"/>
      <c r="DO19" s="299"/>
      <c r="DP19" s="299"/>
      <c r="DQ19" s="300"/>
    </row>
    <row r="20" spans="1:121" s="276" customFormat="1" ht="48" x14ac:dyDescent="0.2">
      <c r="A20" s="277">
        <v>18</v>
      </c>
      <c r="B20" s="30" t="s">
        <v>147</v>
      </c>
      <c r="C20" s="264" t="s">
        <v>109</v>
      </c>
      <c r="D20" s="309">
        <v>2.15</v>
      </c>
      <c r="E20" s="267" t="s">
        <v>65</v>
      </c>
      <c r="F20" s="279">
        <v>388</v>
      </c>
      <c r="G20" s="311"/>
      <c r="H20" s="267"/>
      <c r="I20" s="267"/>
      <c r="J20" s="267"/>
      <c r="K20" s="267"/>
      <c r="L20" s="267"/>
      <c r="M20" s="267"/>
      <c r="N20" s="267"/>
      <c r="O20" s="267"/>
      <c r="P20" s="278">
        <v>0.1923189655172414</v>
      </c>
      <c r="Q20" s="278">
        <v>0.1923189655172414</v>
      </c>
      <c r="R20" s="278"/>
      <c r="S20" s="280">
        <v>131000000</v>
      </c>
      <c r="T20" s="280">
        <v>83000000</v>
      </c>
      <c r="U20" s="278">
        <v>0.64639039408867005</v>
      </c>
      <c r="V20" s="278">
        <v>0.64639039408867005</v>
      </c>
      <c r="W20" s="278"/>
      <c r="X20" s="280">
        <v>591000000</v>
      </c>
      <c r="Y20" s="280">
        <v>590915580</v>
      </c>
      <c r="Z20" s="280"/>
      <c r="AA20" s="280"/>
      <c r="AB20" s="278">
        <v>0.69929618226600998</v>
      </c>
      <c r="AC20" s="278">
        <v>0.63041687192118223</v>
      </c>
      <c r="AD20" s="278"/>
      <c r="AE20" s="280">
        <v>841727240</v>
      </c>
      <c r="AF20" s="280">
        <v>176727240</v>
      </c>
      <c r="AG20" s="280">
        <v>3000000000</v>
      </c>
      <c r="AH20" s="280">
        <v>0</v>
      </c>
      <c r="AI20" s="278">
        <v>0.61199445812807896</v>
      </c>
      <c r="AJ20" s="278"/>
      <c r="AK20" s="278">
        <v>0</v>
      </c>
      <c r="AL20" s="310"/>
      <c r="AM20" s="310"/>
      <c r="AN20" s="310"/>
      <c r="AO20" s="310"/>
      <c r="AP20" s="285" t="s">
        <v>13</v>
      </c>
      <c r="AQ20" s="285"/>
      <c r="AR20" s="285"/>
      <c r="AS20" s="285"/>
      <c r="AT20" s="285"/>
      <c r="AU20" s="285"/>
      <c r="AV20" s="285"/>
      <c r="AW20" s="285"/>
      <c r="AX20" s="285"/>
      <c r="AY20" s="285"/>
      <c r="AZ20" s="287"/>
      <c r="BA20" s="303"/>
      <c r="BB20" s="287"/>
      <c r="BC20" s="289"/>
      <c r="BD20" s="304"/>
      <c r="BE20" s="290"/>
      <c r="BF20" s="291"/>
      <c r="BG20" s="305"/>
      <c r="BH20" s="289"/>
      <c r="BI20" s="293"/>
      <c r="BJ20" s="293"/>
      <c r="BK20" s="293"/>
      <c r="BL20" s="293"/>
      <c r="BM20" s="293"/>
      <c r="BN20" s="293"/>
      <c r="BO20" s="293"/>
      <c r="BP20" s="293"/>
      <c r="BQ20" s="293"/>
      <c r="BR20" s="293"/>
      <c r="BS20" s="293"/>
      <c r="BT20" s="293"/>
      <c r="BU20" s="293"/>
      <c r="BV20" s="294"/>
      <c r="BW20" s="295"/>
      <c r="BX20" s="288"/>
      <c r="BY20" s="288"/>
      <c r="BZ20" s="288"/>
      <c r="CA20" s="288"/>
      <c r="CB20" s="296"/>
      <c r="CC20" s="296"/>
      <c r="CD20" s="297"/>
      <c r="CE20" s="297"/>
      <c r="CF20" s="297"/>
      <c r="CG20" s="297"/>
      <c r="CH20" s="297"/>
      <c r="CI20" s="297"/>
      <c r="CJ20" s="297"/>
      <c r="CK20" s="297"/>
      <c r="CL20" s="297"/>
      <c r="CM20" s="297"/>
      <c r="CN20" s="297"/>
      <c r="CO20" s="297"/>
      <c r="CP20" s="297"/>
      <c r="CQ20" s="298"/>
      <c r="CR20" s="298"/>
      <c r="CS20" s="298"/>
      <c r="CT20" s="299"/>
      <c r="CU20" s="299"/>
      <c r="CV20" s="299"/>
      <c r="CW20" s="299"/>
      <c r="CX20" s="299"/>
      <c r="CY20" s="299"/>
      <c r="CZ20" s="299"/>
      <c r="DA20" s="299"/>
      <c r="DB20" s="299"/>
      <c r="DC20" s="299"/>
      <c r="DD20" s="299"/>
      <c r="DE20" s="299"/>
      <c r="DF20" s="299"/>
      <c r="DG20" s="299"/>
      <c r="DH20" s="299"/>
      <c r="DI20" s="299"/>
      <c r="DJ20" s="299"/>
      <c r="DK20" s="299"/>
      <c r="DL20" s="299"/>
      <c r="DM20" s="299"/>
      <c r="DN20" s="299"/>
      <c r="DO20" s="299"/>
      <c r="DP20" s="299"/>
      <c r="DQ20" s="300"/>
    </row>
    <row r="21" spans="1:121" s="276" customFormat="1" ht="60" x14ac:dyDescent="0.2">
      <c r="A21" s="306">
        <v>19</v>
      </c>
      <c r="B21" s="30" t="s">
        <v>148</v>
      </c>
      <c r="C21" s="264" t="s">
        <v>109</v>
      </c>
      <c r="D21" s="309">
        <v>2.0700000000000003</v>
      </c>
      <c r="E21" s="267" t="s">
        <v>67</v>
      </c>
      <c r="F21" s="279">
        <v>411</v>
      </c>
      <c r="G21" s="285"/>
      <c r="H21" s="285"/>
      <c r="I21" s="267"/>
      <c r="J21" s="267"/>
      <c r="K21" s="267"/>
      <c r="L21" s="267"/>
      <c r="M21" s="267"/>
      <c r="N21" s="267"/>
      <c r="O21" s="267"/>
      <c r="P21" s="278">
        <v>0.14142857142857143</v>
      </c>
      <c r="Q21" s="278">
        <v>9.678571428571428E-2</v>
      </c>
      <c r="R21" s="278"/>
      <c r="S21" s="280">
        <v>1350000000</v>
      </c>
      <c r="T21" s="280">
        <v>1350000000</v>
      </c>
      <c r="U21" s="278">
        <v>0.60507142857142859</v>
      </c>
      <c r="V21" s="278">
        <v>0.57207142857142868</v>
      </c>
      <c r="W21" s="278"/>
      <c r="X21" s="280">
        <v>1187000000</v>
      </c>
      <c r="Y21" s="280">
        <v>1187000000</v>
      </c>
      <c r="Z21" s="280"/>
      <c r="AA21" s="280"/>
      <c r="AB21" s="278">
        <v>0.80399999999999994</v>
      </c>
      <c r="AC21" s="278">
        <v>0.61271428817297735</v>
      </c>
      <c r="AD21" s="278"/>
      <c r="AE21" s="280">
        <v>1067000000</v>
      </c>
      <c r="AF21" s="280">
        <v>529000000</v>
      </c>
      <c r="AG21" s="280"/>
      <c r="AH21" s="280"/>
      <c r="AI21" s="278">
        <v>0.51949999999999996</v>
      </c>
      <c r="AJ21" s="278"/>
      <c r="AK21" s="278">
        <v>0</v>
      </c>
      <c r="AL21" s="310"/>
      <c r="AM21" s="310"/>
      <c r="AN21" s="310"/>
      <c r="AO21" s="310"/>
      <c r="AP21" s="285" t="s">
        <v>102</v>
      </c>
      <c r="AQ21" s="285"/>
      <c r="AR21" s="285"/>
      <c r="AS21" s="285"/>
      <c r="AT21" s="285"/>
      <c r="AU21" s="285"/>
      <c r="AV21" s="285"/>
      <c r="AW21" s="285"/>
      <c r="AX21" s="285"/>
      <c r="AY21" s="285"/>
      <c r="AZ21" s="287"/>
      <c r="BA21" s="303"/>
      <c r="BB21" s="287"/>
      <c r="BC21" s="293"/>
      <c r="BD21" s="304"/>
      <c r="BE21" s="290"/>
      <c r="BF21" s="291"/>
      <c r="BG21" s="292"/>
      <c r="BH21" s="289"/>
      <c r="BI21" s="293"/>
      <c r="BJ21" s="293"/>
      <c r="BK21" s="293"/>
      <c r="BL21" s="293"/>
      <c r="BM21" s="293"/>
      <c r="BN21" s="293"/>
      <c r="BO21" s="293"/>
      <c r="BP21" s="293"/>
      <c r="BQ21" s="293"/>
      <c r="BR21" s="293"/>
      <c r="BS21" s="293"/>
      <c r="BT21" s="293"/>
      <c r="BU21" s="293"/>
      <c r="BV21" s="294"/>
      <c r="BW21" s="295"/>
      <c r="BX21" s="288"/>
      <c r="BY21" s="288"/>
      <c r="BZ21" s="288"/>
      <c r="CA21" s="288"/>
      <c r="CB21" s="296"/>
      <c r="CC21" s="296"/>
      <c r="CD21" s="297"/>
      <c r="CE21" s="297"/>
      <c r="CF21" s="298"/>
      <c r="CG21" s="298"/>
      <c r="CH21" s="298"/>
      <c r="CI21" s="298"/>
      <c r="CJ21" s="298"/>
      <c r="CK21" s="298"/>
      <c r="CL21" s="298"/>
      <c r="CM21" s="298"/>
      <c r="CN21" s="298"/>
      <c r="CO21" s="298"/>
      <c r="CP21" s="298"/>
      <c r="CQ21" s="298"/>
      <c r="CR21" s="298"/>
      <c r="CS21" s="298"/>
      <c r="CT21" s="299"/>
      <c r="CU21" s="299"/>
      <c r="CV21" s="299"/>
      <c r="CW21" s="299"/>
      <c r="CX21" s="299"/>
      <c r="CY21" s="299"/>
      <c r="CZ21" s="299"/>
      <c r="DA21" s="299"/>
      <c r="DB21" s="299"/>
      <c r="DC21" s="299"/>
      <c r="DD21" s="299"/>
      <c r="DE21" s="299"/>
      <c r="DF21" s="299"/>
      <c r="DG21" s="299"/>
      <c r="DH21" s="299"/>
      <c r="DI21" s="299"/>
      <c r="DJ21" s="299"/>
      <c r="DK21" s="299"/>
      <c r="DL21" s="299"/>
      <c r="DM21" s="299"/>
      <c r="DN21" s="299"/>
      <c r="DO21" s="299"/>
      <c r="DP21" s="299"/>
      <c r="DQ21" s="300"/>
    </row>
    <row r="22" spans="1:121" s="276" customFormat="1" ht="72" x14ac:dyDescent="0.2">
      <c r="A22" s="277">
        <v>20</v>
      </c>
      <c r="B22" s="30" t="s">
        <v>149</v>
      </c>
      <c r="C22" s="264" t="s">
        <v>112</v>
      </c>
      <c r="D22" s="309">
        <v>2.3250000000000002</v>
      </c>
      <c r="E22" s="267" t="s">
        <v>68</v>
      </c>
      <c r="F22" s="279">
        <v>422</v>
      </c>
      <c r="G22" s="285"/>
      <c r="H22" s="285"/>
      <c r="I22" s="285"/>
      <c r="J22" s="285"/>
      <c r="K22" s="285"/>
      <c r="L22" s="285"/>
      <c r="M22" s="285"/>
      <c r="N22" s="285"/>
      <c r="O22" s="285"/>
      <c r="P22" s="278">
        <v>0.66139285714285712</v>
      </c>
      <c r="Q22" s="278">
        <v>0.42860285714285717</v>
      </c>
      <c r="R22" s="278"/>
      <c r="S22" s="280">
        <v>3169878000</v>
      </c>
      <c r="T22" s="280">
        <v>2920622076</v>
      </c>
      <c r="U22" s="278">
        <v>0.65624761904761908</v>
      </c>
      <c r="V22" s="278">
        <v>0.54768904761904769</v>
      </c>
      <c r="W22" s="278"/>
      <c r="X22" s="280">
        <v>3255500000</v>
      </c>
      <c r="Y22" s="280">
        <v>2869967450</v>
      </c>
      <c r="Z22" s="280">
        <v>1708104361</v>
      </c>
      <c r="AA22" s="280">
        <v>1497082091</v>
      </c>
      <c r="AB22" s="278">
        <v>0.59046190476190474</v>
      </c>
      <c r="AC22" s="278">
        <v>0.41582333333333332</v>
      </c>
      <c r="AD22" s="278"/>
      <c r="AE22" s="280">
        <v>2650000000</v>
      </c>
      <c r="AF22" s="280">
        <v>123000000</v>
      </c>
      <c r="AG22" s="280">
        <v>0</v>
      </c>
      <c r="AH22" s="280">
        <v>67368756</v>
      </c>
      <c r="AI22" s="312">
        <v>0.41689761904761902</v>
      </c>
      <c r="AJ22" s="313">
        <v>0</v>
      </c>
      <c r="AK22" s="278">
        <v>0</v>
      </c>
      <c r="AL22" s="314"/>
      <c r="AM22" s="314"/>
      <c r="AN22" s="315"/>
      <c r="AO22" s="315"/>
      <c r="AP22" s="285" t="s">
        <v>17</v>
      </c>
      <c r="AQ22" s="285"/>
      <c r="AR22" s="285"/>
      <c r="AS22" s="285"/>
      <c r="AT22" s="285"/>
      <c r="AU22" s="285"/>
      <c r="AV22" s="285"/>
      <c r="AW22" s="285"/>
      <c r="AX22" s="285"/>
      <c r="AY22" s="285"/>
      <c r="AZ22" s="287"/>
      <c r="BA22" s="288"/>
      <c r="BB22" s="287"/>
      <c r="BC22" s="289"/>
      <c r="BD22" s="304"/>
      <c r="BE22" s="290"/>
      <c r="BF22" s="291"/>
      <c r="BG22" s="292"/>
      <c r="BH22" s="289"/>
      <c r="BI22" s="293"/>
      <c r="BJ22" s="293"/>
      <c r="BK22" s="293"/>
      <c r="BL22" s="293"/>
      <c r="BM22" s="293"/>
      <c r="BN22" s="293"/>
      <c r="BO22" s="293"/>
      <c r="BP22" s="293"/>
      <c r="BQ22" s="293"/>
      <c r="BR22" s="293"/>
      <c r="BS22" s="293"/>
      <c r="BT22" s="293"/>
      <c r="BU22" s="293"/>
      <c r="BV22" s="294"/>
      <c r="BW22" s="295"/>
      <c r="BX22" s="288"/>
      <c r="BY22" s="288"/>
      <c r="BZ22" s="288"/>
      <c r="CA22" s="288"/>
      <c r="CB22" s="296"/>
      <c r="CC22" s="296"/>
      <c r="CD22" s="297"/>
      <c r="CE22" s="297"/>
      <c r="CF22" s="297"/>
      <c r="CG22" s="298"/>
      <c r="CH22" s="298"/>
      <c r="CI22" s="298"/>
      <c r="CJ22" s="298"/>
      <c r="CK22" s="298"/>
      <c r="CL22" s="298"/>
      <c r="CM22" s="298"/>
      <c r="CN22" s="298"/>
      <c r="CO22" s="298"/>
      <c r="CP22" s="298"/>
      <c r="CQ22" s="298"/>
      <c r="CR22" s="298"/>
      <c r="CS22" s="298"/>
      <c r="CT22" s="299"/>
      <c r="CU22" s="299"/>
      <c r="CV22" s="299"/>
      <c r="CW22" s="299"/>
      <c r="CX22" s="299"/>
      <c r="CY22" s="299"/>
      <c r="CZ22" s="299"/>
      <c r="DA22" s="299"/>
      <c r="DB22" s="299"/>
      <c r="DC22" s="299"/>
      <c r="DD22" s="299"/>
      <c r="DE22" s="299"/>
      <c r="DF22" s="299"/>
      <c r="DG22" s="299"/>
      <c r="DH22" s="299"/>
      <c r="DI22" s="299"/>
      <c r="DJ22" s="299"/>
      <c r="DK22" s="299"/>
      <c r="DL22" s="299"/>
      <c r="DM22" s="299"/>
      <c r="DN22" s="299"/>
      <c r="DO22" s="299"/>
      <c r="DP22" s="299"/>
      <c r="DQ22" s="300"/>
    </row>
    <row r="23" spans="1:121" s="276" customFormat="1" ht="36" x14ac:dyDescent="0.2">
      <c r="A23" s="277">
        <v>21</v>
      </c>
      <c r="B23" s="264" t="s">
        <v>150</v>
      </c>
      <c r="C23" s="264" t="s">
        <v>112</v>
      </c>
      <c r="D23" s="309">
        <v>0.99500000000000011</v>
      </c>
      <c r="E23" s="267" t="s">
        <v>69</v>
      </c>
      <c r="F23" s="279">
        <v>434</v>
      </c>
      <c r="G23" s="285"/>
      <c r="H23" s="285"/>
      <c r="I23" s="285"/>
      <c r="J23" s="285"/>
      <c r="K23" s="285"/>
      <c r="L23" s="285"/>
      <c r="M23" s="285"/>
      <c r="N23" s="267"/>
      <c r="O23" s="267"/>
      <c r="P23" s="278">
        <v>0.25700000000000001</v>
      </c>
      <c r="Q23" s="278">
        <v>0.18934999999999999</v>
      </c>
      <c r="R23" s="278"/>
      <c r="S23" s="280">
        <v>146226200</v>
      </c>
      <c r="T23" s="280">
        <v>43355240</v>
      </c>
      <c r="U23" s="278">
        <v>0.31525000000000003</v>
      </c>
      <c r="V23" s="278">
        <v>0.24925000000000003</v>
      </c>
      <c r="W23" s="278"/>
      <c r="X23" s="280">
        <v>524000000</v>
      </c>
      <c r="Y23" s="280">
        <v>522177266</v>
      </c>
      <c r="Z23" s="280"/>
      <c r="AA23" s="280"/>
      <c r="AB23" s="278">
        <v>0.20724999999999999</v>
      </c>
      <c r="AC23" s="278">
        <v>0.18580000004917385</v>
      </c>
      <c r="AD23" s="278"/>
      <c r="AE23" s="280">
        <v>800000000</v>
      </c>
      <c r="AF23" s="280">
        <v>24000000</v>
      </c>
      <c r="AG23" s="280"/>
      <c r="AH23" s="280"/>
      <c r="AI23" s="278">
        <v>0.21550000000000002</v>
      </c>
      <c r="AJ23" s="278">
        <v>0</v>
      </c>
      <c r="AK23" s="278">
        <v>0</v>
      </c>
      <c r="AL23" s="315"/>
      <c r="AM23" s="315"/>
      <c r="AN23" s="315"/>
      <c r="AO23" s="315"/>
      <c r="AP23" s="285" t="s">
        <v>17</v>
      </c>
      <c r="AQ23" s="285"/>
      <c r="AR23" s="285"/>
      <c r="AS23" s="285"/>
      <c r="AT23" s="285"/>
      <c r="AU23" s="285"/>
      <c r="AV23" s="285"/>
      <c r="AW23" s="285"/>
      <c r="AX23" s="285"/>
      <c r="AY23" s="285"/>
      <c r="AZ23" s="287"/>
      <c r="BA23" s="303"/>
      <c r="BB23" s="287"/>
      <c r="BC23" s="289"/>
      <c r="BD23" s="304"/>
      <c r="BE23" s="290"/>
      <c r="BF23" s="291"/>
      <c r="BG23" s="305"/>
      <c r="BH23" s="289"/>
      <c r="BI23" s="293"/>
      <c r="BJ23" s="293"/>
      <c r="BK23" s="293"/>
      <c r="BL23" s="293"/>
      <c r="BM23" s="293"/>
      <c r="BN23" s="293"/>
      <c r="BO23" s="293"/>
      <c r="BP23" s="293"/>
      <c r="BQ23" s="293"/>
      <c r="BR23" s="293"/>
      <c r="BS23" s="293"/>
      <c r="BT23" s="293"/>
      <c r="BU23" s="293"/>
      <c r="BV23" s="294"/>
      <c r="BW23" s="295"/>
      <c r="BX23" s="288"/>
      <c r="BY23" s="288"/>
      <c r="BZ23" s="288"/>
      <c r="CA23" s="288"/>
      <c r="CB23" s="296"/>
      <c r="CC23" s="296"/>
      <c r="CD23" s="297"/>
      <c r="CE23" s="298"/>
      <c r="CF23" s="298"/>
      <c r="CG23" s="298"/>
      <c r="CH23" s="298"/>
      <c r="CI23" s="298"/>
      <c r="CJ23" s="298"/>
      <c r="CK23" s="298"/>
      <c r="CL23" s="298"/>
      <c r="CM23" s="298"/>
      <c r="CN23" s="298"/>
      <c r="CO23" s="298"/>
      <c r="CP23" s="298"/>
      <c r="CQ23" s="298"/>
      <c r="CR23" s="298"/>
      <c r="CS23" s="298"/>
      <c r="CT23" s="299"/>
      <c r="CU23" s="299"/>
      <c r="CV23" s="299"/>
      <c r="CW23" s="299"/>
      <c r="CX23" s="299"/>
      <c r="CY23" s="299"/>
      <c r="CZ23" s="299"/>
      <c r="DA23" s="299"/>
      <c r="DB23" s="299"/>
      <c r="DC23" s="299"/>
      <c r="DD23" s="299"/>
      <c r="DE23" s="299"/>
      <c r="DF23" s="299"/>
      <c r="DG23" s="299"/>
      <c r="DH23" s="299"/>
      <c r="DI23" s="299"/>
      <c r="DJ23" s="299"/>
      <c r="DK23" s="299"/>
      <c r="DL23" s="299"/>
      <c r="DM23" s="299"/>
      <c r="DN23" s="299"/>
      <c r="DO23" s="299"/>
      <c r="DP23" s="299"/>
      <c r="DQ23" s="300"/>
    </row>
    <row r="24" spans="1:121" s="276" customFormat="1" ht="24" x14ac:dyDescent="0.2">
      <c r="A24" s="306">
        <v>22</v>
      </c>
      <c r="B24" s="264" t="s">
        <v>151</v>
      </c>
      <c r="C24" s="264" t="s">
        <v>112</v>
      </c>
      <c r="D24" s="309">
        <v>1.2450000000000001</v>
      </c>
      <c r="E24" s="267" t="s">
        <v>70</v>
      </c>
      <c r="F24" s="279">
        <v>440</v>
      </c>
      <c r="G24" s="279">
        <v>441</v>
      </c>
      <c r="H24" s="279">
        <v>442</v>
      </c>
      <c r="I24" s="267"/>
      <c r="J24" s="267"/>
      <c r="K24" s="267"/>
      <c r="L24" s="267"/>
      <c r="M24" s="267"/>
      <c r="N24" s="267"/>
      <c r="O24" s="267"/>
      <c r="P24" s="278">
        <v>0.14015277777777779</v>
      </c>
      <c r="Q24" s="278">
        <v>8.8277777777777774E-2</v>
      </c>
      <c r="R24" s="278"/>
      <c r="S24" s="280">
        <v>2535862926</v>
      </c>
      <c r="T24" s="280">
        <v>2489624479</v>
      </c>
      <c r="U24" s="278">
        <v>0.29693055555555559</v>
      </c>
      <c r="V24" s="278">
        <v>0.29693055555555559</v>
      </c>
      <c r="W24" s="278"/>
      <c r="X24" s="280">
        <v>3739084323</v>
      </c>
      <c r="Y24" s="280">
        <v>3669408043</v>
      </c>
      <c r="Z24" s="280">
        <v>3244261227</v>
      </c>
      <c r="AA24" s="280">
        <v>3244261227</v>
      </c>
      <c r="AB24" s="278">
        <v>0.48333333333333334</v>
      </c>
      <c r="AC24" s="278">
        <v>0.2615277777777778</v>
      </c>
      <c r="AD24" s="278"/>
      <c r="AE24" s="280">
        <v>2414704000</v>
      </c>
      <c r="AF24" s="280">
        <v>0</v>
      </c>
      <c r="AG24" s="280">
        <v>2118963154</v>
      </c>
      <c r="AH24" s="280">
        <v>0</v>
      </c>
      <c r="AI24" s="278">
        <v>0.32458333333333333</v>
      </c>
      <c r="AJ24" s="278">
        <v>0</v>
      </c>
      <c r="AK24" s="278">
        <v>0</v>
      </c>
      <c r="AL24" s="315"/>
      <c r="AM24" s="315"/>
      <c r="AN24" s="315"/>
      <c r="AO24" s="315"/>
      <c r="AP24" s="285" t="s">
        <v>21</v>
      </c>
      <c r="AQ24" s="285"/>
      <c r="AR24" s="285"/>
      <c r="AS24" s="285"/>
      <c r="AT24" s="307"/>
      <c r="AU24" s="316"/>
      <c r="AV24" s="307"/>
      <c r="AW24" s="286"/>
      <c r="AX24" s="301"/>
      <c r="AY24" s="302"/>
      <c r="AZ24" s="287"/>
      <c r="BA24" s="303"/>
      <c r="BB24" s="287"/>
      <c r="BC24" s="289"/>
      <c r="BD24" s="304"/>
      <c r="BE24" s="290"/>
      <c r="BF24" s="291"/>
      <c r="BG24" s="305"/>
      <c r="BH24" s="289"/>
      <c r="BI24" s="293"/>
      <c r="BJ24" s="293"/>
      <c r="BK24" s="293"/>
      <c r="BL24" s="293"/>
      <c r="BM24" s="293"/>
      <c r="BN24" s="293"/>
      <c r="BO24" s="293"/>
      <c r="BP24" s="293"/>
      <c r="BQ24" s="293"/>
      <c r="BR24" s="293"/>
      <c r="BS24" s="293"/>
      <c r="BT24" s="293"/>
      <c r="BU24" s="293"/>
      <c r="BV24" s="294"/>
      <c r="BW24" s="295"/>
      <c r="BX24" s="288"/>
      <c r="BY24" s="288"/>
      <c r="BZ24" s="288"/>
      <c r="CA24" s="288"/>
      <c r="CB24" s="296"/>
      <c r="CC24" s="296"/>
      <c r="CD24" s="297"/>
      <c r="CE24" s="297"/>
      <c r="CF24" s="297"/>
      <c r="CG24" s="297"/>
      <c r="CH24" s="297"/>
      <c r="CI24" s="297"/>
      <c r="CJ24" s="297"/>
      <c r="CK24" s="297"/>
      <c r="CL24" s="297"/>
      <c r="CM24" s="297"/>
      <c r="CN24" s="297"/>
      <c r="CO24" s="297"/>
      <c r="CP24" s="297"/>
      <c r="CQ24" s="297"/>
      <c r="CR24" s="297"/>
      <c r="CS24" s="297"/>
      <c r="CT24" s="299"/>
      <c r="CU24" s="299"/>
      <c r="CV24" s="299"/>
      <c r="CW24" s="299"/>
      <c r="CX24" s="299"/>
      <c r="CY24" s="299"/>
      <c r="CZ24" s="299"/>
      <c r="DA24" s="299"/>
      <c r="DB24" s="299"/>
      <c r="DC24" s="299"/>
      <c r="DD24" s="299"/>
      <c r="DE24" s="299"/>
      <c r="DF24" s="299"/>
      <c r="DG24" s="299"/>
      <c r="DH24" s="299"/>
      <c r="DI24" s="299"/>
      <c r="DJ24" s="299"/>
      <c r="DK24" s="299"/>
      <c r="DL24" s="299"/>
      <c r="DM24" s="299"/>
      <c r="DN24" s="299"/>
      <c r="DO24" s="299"/>
      <c r="DP24" s="299"/>
      <c r="DQ24" s="300"/>
    </row>
    <row r="25" spans="1:121" s="276" customFormat="1" ht="60" x14ac:dyDescent="0.2">
      <c r="A25" s="277">
        <v>23</v>
      </c>
      <c r="B25" s="264" t="s">
        <v>152</v>
      </c>
      <c r="C25" s="264" t="s">
        <v>112</v>
      </c>
      <c r="D25" s="309">
        <v>4.3766400000000001</v>
      </c>
      <c r="E25" s="267" t="s">
        <v>71</v>
      </c>
      <c r="F25" s="279">
        <v>449</v>
      </c>
      <c r="G25" s="279">
        <v>450</v>
      </c>
      <c r="H25" s="285"/>
      <c r="I25" s="285"/>
      <c r="J25" s="285"/>
      <c r="K25" s="267"/>
      <c r="L25" s="267"/>
      <c r="M25" s="267"/>
      <c r="N25" s="267"/>
      <c r="O25" s="267"/>
      <c r="P25" s="278">
        <v>0.69005510985937168</v>
      </c>
      <c r="Q25" s="278">
        <v>0.5410598894292642</v>
      </c>
      <c r="R25" s="278"/>
      <c r="S25" s="280">
        <v>136965363778</v>
      </c>
      <c r="T25" s="280">
        <v>134439475624</v>
      </c>
      <c r="U25" s="278">
        <v>1.1566992524665896</v>
      </c>
      <c r="V25" s="278">
        <v>1.0569958472941758</v>
      </c>
      <c r="W25" s="278"/>
      <c r="X25" s="280">
        <v>164188104153</v>
      </c>
      <c r="Y25" s="280">
        <v>163335550928</v>
      </c>
      <c r="Z25" s="280">
        <v>30132747883</v>
      </c>
      <c r="AA25" s="280">
        <v>0</v>
      </c>
      <c r="AB25" s="278">
        <v>1.1647400627191578</v>
      </c>
      <c r="AC25" s="278">
        <v>0.80190312890520132</v>
      </c>
      <c r="AD25" s="278"/>
      <c r="AE25" s="280">
        <v>151026346814</v>
      </c>
      <c r="AF25" s="280">
        <v>42476461370</v>
      </c>
      <c r="AG25" s="280">
        <v>0</v>
      </c>
      <c r="AH25" s="280">
        <v>9338248118</v>
      </c>
      <c r="AI25" s="278">
        <v>1.3651455749548806</v>
      </c>
      <c r="AJ25" s="278">
        <v>0</v>
      </c>
      <c r="AK25" s="278">
        <v>0</v>
      </c>
      <c r="AL25" s="315"/>
      <c r="AM25" s="315"/>
      <c r="AN25" s="315"/>
      <c r="AO25" s="315"/>
      <c r="AP25" s="285" t="s">
        <v>15</v>
      </c>
      <c r="AQ25" s="285" t="s">
        <v>22</v>
      </c>
      <c r="AR25" s="285"/>
      <c r="AS25" s="285"/>
      <c r="AT25" s="307"/>
      <c r="AU25" s="316"/>
      <c r="AV25" s="307"/>
      <c r="AW25" s="286"/>
      <c r="AX25" s="301"/>
      <c r="AY25" s="302"/>
      <c r="AZ25" s="287"/>
      <c r="BA25" s="303"/>
      <c r="BB25" s="287"/>
      <c r="BC25" s="289"/>
      <c r="BD25" s="304"/>
      <c r="BE25" s="290"/>
      <c r="BF25" s="291"/>
      <c r="BG25" s="292"/>
      <c r="BH25" s="289"/>
      <c r="BI25" s="293"/>
      <c r="BJ25" s="293"/>
      <c r="BK25" s="293"/>
      <c r="BL25" s="293"/>
      <c r="BM25" s="293"/>
      <c r="BN25" s="293"/>
      <c r="BO25" s="293"/>
      <c r="BP25" s="293"/>
      <c r="BQ25" s="293"/>
      <c r="BR25" s="293"/>
      <c r="BS25" s="293"/>
      <c r="BT25" s="293"/>
      <c r="BU25" s="293"/>
      <c r="BV25" s="294"/>
      <c r="BW25" s="295"/>
      <c r="BX25" s="288"/>
      <c r="BY25" s="288"/>
      <c r="BZ25" s="288"/>
      <c r="CA25" s="288"/>
      <c r="CB25" s="296"/>
      <c r="CC25" s="296"/>
      <c r="CD25" s="297"/>
      <c r="CE25" s="297"/>
      <c r="CF25" s="297"/>
      <c r="CG25" s="298"/>
      <c r="CH25" s="298"/>
      <c r="CI25" s="298"/>
      <c r="CJ25" s="298"/>
      <c r="CK25" s="298"/>
      <c r="CL25" s="298"/>
      <c r="CM25" s="298"/>
      <c r="CN25" s="298"/>
      <c r="CO25" s="298"/>
      <c r="CP25" s="298"/>
      <c r="CQ25" s="298"/>
      <c r="CR25" s="298"/>
      <c r="CS25" s="298"/>
      <c r="CT25" s="299"/>
      <c r="CU25" s="299"/>
      <c r="CV25" s="299"/>
      <c r="CW25" s="299"/>
      <c r="CX25" s="299"/>
      <c r="CY25" s="299"/>
      <c r="CZ25" s="299"/>
      <c r="DA25" s="299"/>
      <c r="DB25" s="299"/>
      <c r="DC25" s="299"/>
      <c r="DD25" s="299"/>
      <c r="DE25" s="299"/>
      <c r="DF25" s="299"/>
      <c r="DG25" s="299"/>
      <c r="DH25" s="299"/>
      <c r="DI25" s="299"/>
      <c r="DJ25" s="299"/>
      <c r="DK25" s="299"/>
      <c r="DL25" s="299"/>
      <c r="DM25" s="299"/>
      <c r="DN25" s="299"/>
      <c r="DO25" s="299"/>
      <c r="DP25" s="299"/>
      <c r="DQ25" s="300"/>
    </row>
    <row r="26" spans="1:121" s="276" customFormat="1" ht="48" x14ac:dyDescent="0.2">
      <c r="A26" s="277">
        <v>24</v>
      </c>
      <c r="B26" s="264" t="s">
        <v>153</v>
      </c>
      <c r="C26" s="264" t="s">
        <v>112</v>
      </c>
      <c r="D26" s="309">
        <v>3.74</v>
      </c>
      <c r="E26" s="267" t="s">
        <v>72</v>
      </c>
      <c r="F26" s="279">
        <v>468</v>
      </c>
      <c r="G26" s="285"/>
      <c r="H26" s="285"/>
      <c r="I26" s="285"/>
      <c r="J26" s="285"/>
      <c r="K26" s="285"/>
      <c r="L26" s="285"/>
      <c r="M26" s="285"/>
      <c r="N26" s="267"/>
      <c r="O26" s="267"/>
      <c r="P26" s="278">
        <v>0.29300000000000004</v>
      </c>
      <c r="Q26" s="278">
        <v>0.22875000000000001</v>
      </c>
      <c r="R26" s="278"/>
      <c r="S26" s="280">
        <v>2671228879</v>
      </c>
      <c r="T26" s="280">
        <v>2620000000</v>
      </c>
      <c r="U26" s="278">
        <v>1.3189166666666667</v>
      </c>
      <c r="V26" s="278">
        <v>1.1539166666666667</v>
      </c>
      <c r="W26" s="278"/>
      <c r="X26" s="280">
        <v>4593266324</v>
      </c>
      <c r="Y26" s="280">
        <v>4581919724</v>
      </c>
      <c r="Z26" s="280">
        <v>74947772992</v>
      </c>
      <c r="AA26" s="280">
        <v>28659819098</v>
      </c>
      <c r="AB26" s="278">
        <v>1.3024166666666668</v>
      </c>
      <c r="AC26" s="278">
        <v>1.2339166656533875</v>
      </c>
      <c r="AD26" s="278"/>
      <c r="AE26" s="280">
        <v>5415100000</v>
      </c>
      <c r="AF26" s="280">
        <v>4447904400</v>
      </c>
      <c r="AG26" s="280">
        <v>10988780799</v>
      </c>
      <c r="AH26" s="280">
        <v>12260070616</v>
      </c>
      <c r="AI26" s="278">
        <v>0.82566666666666666</v>
      </c>
      <c r="AJ26" s="278">
        <v>0</v>
      </c>
      <c r="AK26" s="278">
        <v>0</v>
      </c>
      <c r="AL26" s="315"/>
      <c r="AM26" s="315"/>
      <c r="AN26" s="315"/>
      <c r="AO26" s="315"/>
      <c r="AP26" s="285" t="s">
        <v>23</v>
      </c>
      <c r="AQ26" s="285" t="s">
        <v>10</v>
      </c>
      <c r="AR26" s="285"/>
      <c r="AS26" s="285"/>
      <c r="AT26" s="307"/>
      <c r="AU26" s="316"/>
      <c r="AV26" s="307"/>
      <c r="AW26" s="286"/>
      <c r="AX26" s="301"/>
      <c r="AY26" s="302"/>
      <c r="AZ26" s="287"/>
      <c r="BA26" s="303"/>
      <c r="BB26" s="287"/>
      <c r="BC26" s="289"/>
      <c r="BD26" s="304"/>
      <c r="BE26" s="290"/>
      <c r="BF26" s="291"/>
      <c r="BG26" s="292"/>
      <c r="BH26" s="289"/>
      <c r="BI26" s="293"/>
      <c r="BJ26" s="293"/>
      <c r="BK26" s="293"/>
      <c r="BL26" s="293"/>
      <c r="BM26" s="293"/>
      <c r="BN26" s="293"/>
      <c r="BO26" s="293"/>
      <c r="BP26" s="293"/>
      <c r="BQ26" s="293"/>
      <c r="BR26" s="293"/>
      <c r="BS26" s="293"/>
      <c r="BT26" s="293"/>
      <c r="BU26" s="293"/>
      <c r="BV26" s="294"/>
      <c r="BW26" s="295"/>
      <c r="BX26" s="288"/>
      <c r="BY26" s="288"/>
      <c r="BZ26" s="288"/>
      <c r="CA26" s="288"/>
      <c r="CB26" s="296"/>
      <c r="CC26" s="296"/>
      <c r="CD26" s="297"/>
      <c r="CE26" s="297"/>
      <c r="CF26" s="297"/>
      <c r="CG26" s="298"/>
      <c r="CH26" s="298"/>
      <c r="CI26" s="298"/>
      <c r="CJ26" s="298"/>
      <c r="CK26" s="298"/>
      <c r="CL26" s="298"/>
      <c r="CM26" s="298"/>
      <c r="CN26" s="298"/>
      <c r="CO26" s="298"/>
      <c r="CP26" s="298"/>
      <c r="CQ26" s="298"/>
      <c r="CR26" s="298"/>
      <c r="CS26" s="298"/>
      <c r="CT26" s="299"/>
      <c r="CU26" s="299"/>
      <c r="CV26" s="299"/>
      <c r="CW26" s="299"/>
      <c r="CX26" s="299"/>
      <c r="CY26" s="299"/>
      <c r="CZ26" s="299"/>
      <c r="DA26" s="299"/>
      <c r="DB26" s="299"/>
      <c r="DC26" s="299"/>
      <c r="DD26" s="299"/>
      <c r="DE26" s="299"/>
      <c r="DF26" s="299"/>
      <c r="DG26" s="299"/>
      <c r="DH26" s="299"/>
      <c r="DI26" s="299"/>
      <c r="DJ26" s="299"/>
      <c r="DK26" s="299"/>
      <c r="DL26" s="299"/>
      <c r="DM26" s="299"/>
      <c r="DN26" s="299"/>
      <c r="DO26" s="299"/>
      <c r="DP26" s="299"/>
      <c r="DQ26" s="300"/>
    </row>
    <row r="27" spans="1:121" s="276" customFormat="1" ht="24" x14ac:dyDescent="0.2">
      <c r="A27" s="306">
        <v>25</v>
      </c>
      <c r="B27" s="264" t="s">
        <v>154</v>
      </c>
      <c r="C27" s="264" t="s">
        <v>112</v>
      </c>
      <c r="D27" s="309">
        <v>1.8200000000000003</v>
      </c>
      <c r="E27" s="267" t="s">
        <v>73</v>
      </c>
      <c r="F27" s="279">
        <v>486</v>
      </c>
      <c r="G27" s="285"/>
      <c r="H27" s="285"/>
      <c r="I27" s="285"/>
      <c r="J27" s="285"/>
      <c r="K27" s="267"/>
      <c r="L27" s="267"/>
      <c r="M27" s="267"/>
      <c r="N27" s="267"/>
      <c r="O27" s="267"/>
      <c r="P27" s="278">
        <v>0.12946153846153846</v>
      </c>
      <c r="Q27" s="278">
        <v>0.12946153846153846</v>
      </c>
      <c r="R27" s="278"/>
      <c r="S27" s="280">
        <v>800000000</v>
      </c>
      <c r="T27" s="280">
        <v>800000000</v>
      </c>
      <c r="U27" s="278">
        <v>0.51653461538461543</v>
      </c>
      <c r="V27" s="278">
        <v>0.45053461538461537</v>
      </c>
      <c r="W27" s="278"/>
      <c r="X27" s="280">
        <v>2550000000</v>
      </c>
      <c r="Y27" s="280">
        <v>2550000000</v>
      </c>
      <c r="Z27" s="280"/>
      <c r="AA27" s="280"/>
      <c r="AB27" s="278">
        <v>0.71085384615384617</v>
      </c>
      <c r="AC27" s="278">
        <v>0.54653884615384618</v>
      </c>
      <c r="AD27" s="278"/>
      <c r="AE27" s="280">
        <v>2272000000</v>
      </c>
      <c r="AF27" s="280">
        <v>80000000</v>
      </c>
      <c r="AG27" s="280"/>
      <c r="AH27" s="280"/>
      <c r="AI27" s="278">
        <v>0.46315000000000001</v>
      </c>
      <c r="AJ27" s="278">
        <v>0</v>
      </c>
      <c r="AK27" s="278">
        <v>0</v>
      </c>
      <c r="AL27" s="315"/>
      <c r="AM27" s="315"/>
      <c r="AN27" s="315"/>
      <c r="AO27" s="315"/>
      <c r="AP27" s="285" t="s">
        <v>104</v>
      </c>
      <c r="AR27" s="285"/>
      <c r="AS27" s="285"/>
      <c r="AT27" s="285"/>
      <c r="AU27" s="285"/>
      <c r="AV27" s="285"/>
      <c r="AW27" s="285"/>
      <c r="AX27" s="285"/>
      <c r="AY27" s="285"/>
      <c r="AZ27" s="287"/>
      <c r="BA27" s="303"/>
      <c r="BB27" s="287"/>
      <c r="BC27" s="289"/>
      <c r="BD27" s="304"/>
      <c r="BE27" s="290"/>
      <c r="BF27" s="291"/>
      <c r="BG27" s="305"/>
      <c r="BH27" s="289"/>
      <c r="BI27" s="293"/>
      <c r="BJ27" s="293"/>
      <c r="BK27" s="293"/>
      <c r="BL27" s="293"/>
      <c r="BM27" s="293"/>
      <c r="BN27" s="293"/>
      <c r="BO27" s="293"/>
      <c r="BP27" s="293"/>
      <c r="BQ27" s="293"/>
      <c r="BR27" s="293"/>
      <c r="BS27" s="293"/>
      <c r="BT27" s="293"/>
      <c r="BU27" s="293"/>
      <c r="BV27" s="294"/>
      <c r="BW27" s="295"/>
      <c r="BX27" s="288"/>
      <c r="BY27" s="288"/>
      <c r="BZ27" s="288"/>
      <c r="CA27" s="288"/>
      <c r="CB27" s="296"/>
      <c r="CC27" s="296"/>
      <c r="CD27" s="297"/>
      <c r="CE27" s="297"/>
      <c r="CF27" s="297"/>
      <c r="CG27" s="297"/>
      <c r="CH27" s="297"/>
      <c r="CI27" s="297"/>
      <c r="CJ27" s="297"/>
      <c r="CK27" s="297"/>
      <c r="CL27" s="297"/>
      <c r="CM27" s="297"/>
      <c r="CN27" s="297"/>
      <c r="CO27" s="297"/>
      <c r="CP27" s="297"/>
      <c r="CQ27" s="297"/>
      <c r="CR27" s="298"/>
      <c r="CS27" s="298"/>
      <c r="CT27" s="299"/>
      <c r="CU27" s="299"/>
      <c r="CV27" s="299"/>
      <c r="CW27" s="299"/>
      <c r="CX27" s="299"/>
      <c r="CY27" s="299"/>
      <c r="CZ27" s="299"/>
      <c r="DA27" s="299"/>
      <c r="DB27" s="299"/>
      <c r="DC27" s="299"/>
      <c r="DD27" s="299"/>
      <c r="DE27" s="299"/>
      <c r="DF27" s="299"/>
      <c r="DG27" s="299"/>
      <c r="DH27" s="299"/>
      <c r="DI27" s="299"/>
      <c r="DJ27" s="299"/>
      <c r="DK27" s="299"/>
      <c r="DL27" s="299"/>
      <c r="DM27" s="299"/>
      <c r="DN27" s="299"/>
      <c r="DO27" s="299"/>
      <c r="DP27" s="299"/>
      <c r="DQ27" s="300"/>
    </row>
    <row r="28" spans="1:121" s="276" customFormat="1" ht="60" x14ac:dyDescent="0.2">
      <c r="A28" s="277">
        <v>26</v>
      </c>
      <c r="B28" s="264" t="s">
        <v>155</v>
      </c>
      <c r="C28" s="264" t="s">
        <v>112</v>
      </c>
      <c r="D28" s="309">
        <v>0.66500000000000004</v>
      </c>
      <c r="E28" s="267" t="s">
        <v>74</v>
      </c>
      <c r="F28" s="279">
        <v>497</v>
      </c>
      <c r="G28" s="285"/>
      <c r="H28" s="285"/>
      <c r="I28" s="267"/>
      <c r="J28" s="267"/>
      <c r="K28" s="267"/>
      <c r="L28" s="267"/>
      <c r="M28" s="267"/>
      <c r="N28" s="267"/>
      <c r="O28" s="267"/>
      <c r="P28" s="278">
        <v>0.15769230769230769</v>
      </c>
      <c r="Q28" s="278">
        <v>0.15769230769230769</v>
      </c>
      <c r="R28" s="278"/>
      <c r="S28" s="280">
        <v>10293000000</v>
      </c>
      <c r="T28" s="280">
        <v>1299912508</v>
      </c>
      <c r="U28" s="278">
        <v>0.21544230769230768</v>
      </c>
      <c r="V28" s="278">
        <v>0.21544230769230768</v>
      </c>
      <c r="W28" s="278"/>
      <c r="X28" s="280">
        <v>4602814057</v>
      </c>
      <c r="Y28" s="280">
        <v>3507072105</v>
      </c>
      <c r="Z28" s="280">
        <v>4130787355</v>
      </c>
      <c r="AA28" s="280">
        <v>3504181488</v>
      </c>
      <c r="AB28" s="278">
        <v>0.15967307692307692</v>
      </c>
      <c r="AC28" s="278">
        <v>0.15967307692307692</v>
      </c>
      <c r="AD28" s="278"/>
      <c r="AE28" s="280">
        <v>4761000000</v>
      </c>
      <c r="AF28" s="280">
        <v>912836480</v>
      </c>
      <c r="AG28" s="280"/>
      <c r="AH28" s="280">
        <v>626017432</v>
      </c>
      <c r="AI28" s="278">
        <v>0.13219230769230772</v>
      </c>
      <c r="AJ28" s="278">
        <v>0</v>
      </c>
      <c r="AK28" s="278">
        <v>0</v>
      </c>
      <c r="AL28" s="315"/>
      <c r="AM28" s="315"/>
      <c r="AN28" s="315"/>
      <c r="AO28" s="315"/>
      <c r="AP28" s="285" t="s">
        <v>18</v>
      </c>
      <c r="AQ28" s="285"/>
      <c r="AR28" s="285"/>
      <c r="AS28" s="285"/>
      <c r="AT28" s="285"/>
      <c r="AU28" s="285"/>
      <c r="AV28" s="285"/>
      <c r="AW28" s="285"/>
      <c r="AX28" s="285"/>
      <c r="AY28" s="285"/>
      <c r="AZ28" s="287"/>
      <c r="BA28" s="303"/>
      <c r="BB28" s="287"/>
      <c r="BC28" s="289"/>
      <c r="BD28" s="304"/>
      <c r="BE28" s="290"/>
      <c r="BF28" s="291"/>
      <c r="BG28" s="305"/>
      <c r="BH28" s="289"/>
      <c r="BI28" s="293"/>
      <c r="BJ28" s="293"/>
      <c r="BK28" s="293"/>
      <c r="BL28" s="293"/>
      <c r="BM28" s="293"/>
      <c r="BN28" s="293"/>
      <c r="BO28" s="293"/>
      <c r="BP28" s="293"/>
      <c r="BQ28" s="293"/>
      <c r="BR28" s="293"/>
      <c r="BS28" s="293"/>
      <c r="BT28" s="293"/>
      <c r="BU28" s="293"/>
      <c r="BV28" s="294"/>
      <c r="BW28" s="295"/>
      <c r="BX28" s="288"/>
      <c r="BY28" s="288"/>
      <c r="BZ28" s="288"/>
      <c r="CA28" s="288"/>
      <c r="CB28" s="296"/>
      <c r="CC28" s="296"/>
      <c r="CD28" s="297"/>
      <c r="CE28" s="298"/>
      <c r="CF28" s="298"/>
      <c r="CG28" s="298"/>
      <c r="CH28" s="298"/>
      <c r="CI28" s="298"/>
      <c r="CJ28" s="298"/>
      <c r="CK28" s="298"/>
      <c r="CL28" s="298"/>
      <c r="CM28" s="298"/>
      <c r="CN28" s="298"/>
      <c r="CO28" s="298"/>
      <c r="CP28" s="298"/>
      <c r="CQ28" s="298"/>
      <c r="CR28" s="298"/>
      <c r="CS28" s="298"/>
      <c r="CT28" s="299"/>
      <c r="CU28" s="299"/>
      <c r="CV28" s="299"/>
      <c r="CW28" s="299"/>
      <c r="CX28" s="299"/>
      <c r="CY28" s="299"/>
      <c r="CZ28" s="299"/>
      <c r="DA28" s="299"/>
      <c r="DB28" s="299"/>
      <c r="DC28" s="299"/>
      <c r="DD28" s="299"/>
      <c r="DE28" s="299"/>
      <c r="DF28" s="299"/>
      <c r="DG28" s="299"/>
      <c r="DH28" s="299"/>
      <c r="DI28" s="299"/>
      <c r="DJ28" s="299"/>
      <c r="DK28" s="299"/>
      <c r="DL28" s="299"/>
      <c r="DM28" s="299"/>
      <c r="DN28" s="299"/>
      <c r="DO28" s="299"/>
      <c r="DP28" s="299"/>
      <c r="DQ28" s="300"/>
    </row>
    <row r="29" spans="1:121" s="276" customFormat="1" ht="84" x14ac:dyDescent="0.2">
      <c r="A29" s="277">
        <v>27</v>
      </c>
      <c r="B29" s="264" t="s">
        <v>162</v>
      </c>
      <c r="C29" s="264" t="s">
        <v>113</v>
      </c>
      <c r="D29" s="309">
        <v>2.5009999999999999</v>
      </c>
      <c r="E29" s="267" t="s">
        <v>75</v>
      </c>
      <c r="F29" s="279">
        <v>611</v>
      </c>
      <c r="G29" s="267"/>
      <c r="H29" s="267"/>
      <c r="I29" s="267"/>
      <c r="J29" s="267"/>
      <c r="K29" s="267"/>
      <c r="L29" s="267"/>
      <c r="M29" s="267"/>
      <c r="N29" s="267"/>
      <c r="O29" s="267"/>
      <c r="P29" s="278">
        <v>0.35920000000000002</v>
      </c>
      <c r="Q29" s="278">
        <v>0.19419999999999998</v>
      </c>
      <c r="R29" s="278"/>
      <c r="S29" s="280">
        <v>12687308548</v>
      </c>
      <c r="T29" s="280">
        <v>7785635404</v>
      </c>
      <c r="U29" s="278">
        <v>0.68368448275862082</v>
      </c>
      <c r="V29" s="278">
        <v>0.4965021220159152</v>
      </c>
      <c r="W29" s="278"/>
      <c r="X29" s="280">
        <v>19556339271</v>
      </c>
      <c r="Y29" s="280">
        <v>18085700463</v>
      </c>
      <c r="Z29" s="280">
        <v>200000000</v>
      </c>
      <c r="AA29" s="280">
        <v>199999999</v>
      </c>
      <c r="AB29" s="278">
        <v>0.87619568965517247</v>
      </c>
      <c r="AC29" s="278">
        <v>0.7070706896551725</v>
      </c>
      <c r="AD29" s="278"/>
      <c r="AE29" s="280">
        <v>8408088000</v>
      </c>
      <c r="AF29" s="280">
        <v>2651022365</v>
      </c>
      <c r="AG29" s="280"/>
      <c r="AH29" s="280"/>
      <c r="AI29" s="278">
        <v>0.58191982758620697</v>
      </c>
      <c r="AJ29" s="278">
        <v>0</v>
      </c>
      <c r="AK29" s="278">
        <v>0</v>
      </c>
      <c r="AL29" s="317"/>
      <c r="AM29" s="317"/>
      <c r="AN29" s="317"/>
      <c r="AO29" s="317"/>
      <c r="AP29" s="285" t="s">
        <v>9</v>
      </c>
      <c r="AQ29" s="285"/>
      <c r="AR29" s="285"/>
      <c r="AS29" s="285"/>
      <c r="AT29" s="285"/>
      <c r="AU29" s="285"/>
      <c r="AV29" s="285"/>
      <c r="AW29" s="285"/>
      <c r="AX29" s="285"/>
      <c r="AY29" s="285"/>
      <c r="AZ29" s="287"/>
      <c r="BA29" s="303"/>
      <c r="BB29" s="287"/>
      <c r="BC29" s="296"/>
      <c r="BD29" s="296"/>
      <c r="BE29" s="296"/>
      <c r="BF29" s="296"/>
      <c r="BG29" s="296"/>
      <c r="BH29" s="296"/>
      <c r="BI29" s="296"/>
      <c r="BJ29" s="296"/>
      <c r="BK29" s="296"/>
      <c r="BL29" s="296"/>
      <c r="BM29" s="296"/>
      <c r="BN29" s="296"/>
      <c r="BO29" s="296"/>
      <c r="BP29" s="296"/>
      <c r="BQ29" s="296"/>
      <c r="BR29" s="296"/>
      <c r="BS29" s="296"/>
      <c r="BT29" s="296"/>
      <c r="BU29" s="296"/>
      <c r="BV29" s="294"/>
      <c r="BW29" s="295"/>
      <c r="BX29" s="288"/>
      <c r="BY29" s="288"/>
      <c r="BZ29" s="288"/>
      <c r="CA29" s="288"/>
      <c r="CB29" s="296"/>
      <c r="CC29" s="296"/>
      <c r="CD29" s="297"/>
      <c r="CE29" s="297"/>
      <c r="CF29" s="298"/>
      <c r="CG29" s="298"/>
      <c r="CH29" s="298"/>
      <c r="CI29" s="298"/>
      <c r="CJ29" s="298"/>
      <c r="CK29" s="298"/>
      <c r="CL29" s="298"/>
      <c r="CM29" s="298"/>
      <c r="CN29" s="298"/>
      <c r="CO29" s="298"/>
      <c r="CP29" s="298"/>
      <c r="CQ29" s="298"/>
      <c r="CR29" s="298"/>
      <c r="CS29" s="298"/>
      <c r="CT29" s="299"/>
      <c r="CU29" s="299"/>
      <c r="CV29" s="299"/>
      <c r="CW29" s="299"/>
      <c r="CX29" s="299"/>
      <c r="CY29" s="299"/>
      <c r="CZ29" s="299"/>
      <c r="DA29" s="299"/>
      <c r="DB29" s="299"/>
      <c r="DC29" s="299"/>
      <c r="DD29" s="299"/>
      <c r="DE29" s="299"/>
      <c r="DF29" s="299"/>
      <c r="DG29" s="299"/>
      <c r="DH29" s="299"/>
      <c r="DI29" s="299"/>
      <c r="DJ29" s="299"/>
      <c r="DK29" s="299"/>
      <c r="DL29" s="299"/>
      <c r="DM29" s="299"/>
      <c r="DN29" s="299"/>
      <c r="DO29" s="299"/>
      <c r="DP29" s="299"/>
      <c r="DQ29" s="300"/>
    </row>
    <row r="30" spans="1:121" s="276" customFormat="1" ht="48" x14ac:dyDescent="0.2">
      <c r="A30" s="306">
        <v>28</v>
      </c>
      <c r="B30" s="264" t="s">
        <v>156</v>
      </c>
      <c r="C30" s="264" t="s">
        <v>113</v>
      </c>
      <c r="D30" s="309">
        <v>3.7356400000000001</v>
      </c>
      <c r="E30" s="267" t="s">
        <v>76</v>
      </c>
      <c r="F30" s="279">
        <v>521</v>
      </c>
      <c r="G30" s="279">
        <v>612</v>
      </c>
      <c r="H30" s="279">
        <v>613</v>
      </c>
      <c r="I30" s="279">
        <v>614</v>
      </c>
      <c r="J30" s="279">
        <v>615</v>
      </c>
      <c r="K30" s="267"/>
      <c r="L30" s="267"/>
      <c r="M30" s="267"/>
      <c r="N30" s="267"/>
      <c r="O30" s="267"/>
      <c r="P30" s="278">
        <v>0.7765360473691908</v>
      </c>
      <c r="Q30" s="278">
        <v>0.63847860943727386</v>
      </c>
      <c r="R30" s="278"/>
      <c r="S30" s="280">
        <v>298020964100</v>
      </c>
      <c r="T30" s="280">
        <v>287928475674</v>
      </c>
      <c r="U30" s="278">
        <v>1.0505975596731143</v>
      </c>
      <c r="V30" s="278">
        <v>1.0002286813777472</v>
      </c>
      <c r="W30" s="278"/>
      <c r="X30" s="280">
        <v>327027618503</v>
      </c>
      <c r="Y30" s="280">
        <v>293728219399</v>
      </c>
      <c r="Z30" s="280">
        <v>250000000</v>
      </c>
      <c r="AA30" s="280">
        <v>91800000</v>
      </c>
      <c r="AB30" s="278">
        <v>1.1026516964788478</v>
      </c>
      <c r="AC30" s="278">
        <v>0.90771117583462158</v>
      </c>
      <c r="AD30" s="278"/>
      <c r="AE30" s="280">
        <v>252727842369</v>
      </c>
      <c r="AF30" s="280">
        <v>78364086233</v>
      </c>
      <c r="AG30" s="280">
        <v>1125000000</v>
      </c>
      <c r="AH30" s="280">
        <v>0</v>
      </c>
      <c r="AI30" s="278">
        <v>0.80585469647884755</v>
      </c>
      <c r="AJ30" s="278">
        <v>0</v>
      </c>
      <c r="AK30" s="278">
        <v>0</v>
      </c>
      <c r="AL30" s="317"/>
      <c r="AM30" s="317"/>
      <c r="AN30" s="317"/>
      <c r="AO30" s="317"/>
      <c r="AP30" s="285" t="s">
        <v>26</v>
      </c>
      <c r="AQ30" s="285" t="s">
        <v>25</v>
      </c>
      <c r="AR30" s="285" t="s">
        <v>24</v>
      </c>
      <c r="AS30" s="285" t="s">
        <v>27</v>
      </c>
      <c r="AT30" s="285" t="s">
        <v>28</v>
      </c>
      <c r="AU30" s="285" t="s">
        <v>19</v>
      </c>
      <c r="AV30" s="285" t="s">
        <v>29</v>
      </c>
      <c r="AW30" s="285" t="s">
        <v>10</v>
      </c>
      <c r="AX30" s="285"/>
      <c r="AY30" s="285"/>
      <c r="AZ30" s="287"/>
      <c r="BA30" s="288"/>
      <c r="BB30" s="287"/>
      <c r="BC30" s="289"/>
      <c r="BD30" s="304"/>
      <c r="BE30" s="290"/>
      <c r="BF30" s="291"/>
      <c r="BG30" s="305"/>
      <c r="BH30" s="289"/>
      <c r="BI30" s="293"/>
      <c r="BJ30" s="293"/>
      <c r="BK30" s="293"/>
      <c r="BL30" s="293"/>
      <c r="BM30" s="293"/>
      <c r="BN30" s="293"/>
      <c r="BO30" s="293"/>
      <c r="BP30" s="293"/>
      <c r="BQ30" s="293"/>
      <c r="BR30" s="293"/>
      <c r="BS30" s="293"/>
      <c r="BT30" s="293"/>
      <c r="BU30" s="293"/>
      <c r="BV30" s="294"/>
      <c r="BW30" s="295"/>
      <c r="BX30" s="288"/>
      <c r="BY30" s="288"/>
      <c r="BZ30" s="288"/>
      <c r="CA30" s="288"/>
      <c r="CB30" s="296"/>
      <c r="CC30" s="296"/>
      <c r="CD30" s="297"/>
      <c r="CE30" s="297"/>
      <c r="CF30" s="297"/>
      <c r="CG30" s="297"/>
      <c r="CH30" s="298"/>
      <c r="CI30" s="298"/>
      <c r="CJ30" s="298"/>
      <c r="CK30" s="298"/>
      <c r="CL30" s="298"/>
      <c r="CM30" s="298"/>
      <c r="CN30" s="298"/>
      <c r="CO30" s="298"/>
      <c r="CP30" s="298"/>
      <c r="CQ30" s="298"/>
      <c r="CR30" s="298"/>
      <c r="CS30" s="298"/>
      <c r="CT30" s="299"/>
      <c r="CU30" s="299"/>
      <c r="CV30" s="299"/>
      <c r="CW30" s="299"/>
      <c r="CX30" s="299"/>
      <c r="CY30" s="299"/>
      <c r="CZ30" s="299"/>
      <c r="DA30" s="299"/>
      <c r="DB30" s="299"/>
      <c r="DC30" s="299"/>
      <c r="DD30" s="299"/>
      <c r="DE30" s="299"/>
      <c r="DF30" s="299"/>
      <c r="DG30" s="299"/>
      <c r="DH30" s="299"/>
      <c r="DI30" s="299"/>
      <c r="DJ30" s="299"/>
      <c r="DK30" s="299"/>
      <c r="DL30" s="299"/>
      <c r="DM30" s="299"/>
      <c r="DN30" s="299"/>
      <c r="DO30" s="299"/>
      <c r="DP30" s="299"/>
      <c r="DQ30" s="300"/>
    </row>
    <row r="31" spans="1:121" s="276" customFormat="1" ht="48" x14ac:dyDescent="0.2">
      <c r="A31" s="277">
        <v>29</v>
      </c>
      <c r="B31" s="264" t="s">
        <v>157</v>
      </c>
      <c r="C31" s="264" t="s">
        <v>113</v>
      </c>
      <c r="D31" s="309">
        <v>1.673</v>
      </c>
      <c r="E31" s="267" t="s">
        <v>77</v>
      </c>
      <c r="F31" s="279">
        <v>616</v>
      </c>
      <c r="G31" s="279">
        <v>617</v>
      </c>
      <c r="H31" s="279">
        <v>618</v>
      </c>
      <c r="I31" s="267"/>
      <c r="J31" s="267"/>
      <c r="K31" s="267"/>
      <c r="L31" s="267"/>
      <c r="M31" s="267"/>
      <c r="N31" s="267"/>
      <c r="O31" s="267"/>
      <c r="P31" s="278">
        <v>0.31866666666666671</v>
      </c>
      <c r="Q31" s="278">
        <v>0.27741666666666664</v>
      </c>
      <c r="R31" s="278"/>
      <c r="S31" s="280">
        <v>1248177840</v>
      </c>
      <c r="T31" s="280">
        <v>1186347770</v>
      </c>
      <c r="U31" s="278">
        <v>0.40413333333333329</v>
      </c>
      <c r="V31" s="278">
        <v>0.3278833333333333</v>
      </c>
      <c r="W31" s="278"/>
      <c r="X31" s="280">
        <v>4552518905</v>
      </c>
      <c r="Y31" s="280">
        <v>2300275670</v>
      </c>
      <c r="Z31" s="280"/>
      <c r="AA31" s="280"/>
      <c r="AB31" s="278">
        <v>0.62234999999999996</v>
      </c>
      <c r="AC31" s="278">
        <v>0.43198333333333339</v>
      </c>
      <c r="AD31" s="278"/>
      <c r="AE31" s="280">
        <v>2801692300</v>
      </c>
      <c r="AF31" s="280">
        <v>1754174695</v>
      </c>
      <c r="AG31" s="280"/>
      <c r="AH31" s="280"/>
      <c r="AI31" s="278">
        <v>0.32784999999999997</v>
      </c>
      <c r="AJ31" s="278">
        <v>0</v>
      </c>
      <c r="AK31" s="278">
        <v>0</v>
      </c>
      <c r="AL31" s="317"/>
      <c r="AM31" s="317"/>
      <c r="AN31" s="317"/>
      <c r="AO31" s="317"/>
      <c r="AP31" s="285" t="s">
        <v>19</v>
      </c>
      <c r="AQ31" s="285" t="s">
        <v>9</v>
      </c>
      <c r="AS31" s="285"/>
      <c r="AT31" s="285"/>
      <c r="AU31" s="285"/>
      <c r="AV31" s="285"/>
      <c r="AW31" s="285"/>
      <c r="AX31" s="285"/>
      <c r="AY31" s="285"/>
      <c r="AZ31" s="287"/>
      <c r="BA31" s="303"/>
      <c r="BB31" s="287"/>
      <c r="BC31" s="289"/>
      <c r="BD31" s="304"/>
      <c r="BE31" s="290"/>
      <c r="BF31" s="291"/>
      <c r="BG31" s="305"/>
      <c r="BH31" s="289"/>
      <c r="BI31" s="293"/>
      <c r="BJ31" s="293"/>
      <c r="BK31" s="293"/>
      <c r="BL31" s="293"/>
      <c r="BM31" s="293"/>
      <c r="BN31" s="293"/>
      <c r="BO31" s="293"/>
      <c r="BP31" s="293"/>
      <c r="BQ31" s="293"/>
      <c r="BR31" s="293"/>
      <c r="BS31" s="293"/>
      <c r="BT31" s="293"/>
      <c r="BU31" s="293"/>
      <c r="BV31" s="294"/>
      <c r="BW31" s="295"/>
      <c r="BX31" s="288"/>
      <c r="BY31" s="288"/>
      <c r="BZ31" s="288"/>
      <c r="CA31" s="288"/>
      <c r="CB31" s="296"/>
      <c r="CC31" s="296"/>
      <c r="CD31" s="297"/>
      <c r="CE31" s="297"/>
      <c r="CF31" s="297"/>
      <c r="CG31" s="297"/>
      <c r="CH31" s="298"/>
      <c r="CI31" s="298"/>
      <c r="CJ31" s="298"/>
      <c r="CK31" s="298"/>
      <c r="CL31" s="298"/>
      <c r="CM31" s="298"/>
      <c r="CN31" s="298"/>
      <c r="CO31" s="298"/>
      <c r="CP31" s="298"/>
      <c r="CQ31" s="298"/>
      <c r="CR31" s="298"/>
      <c r="CS31" s="298"/>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300"/>
    </row>
    <row r="32" spans="1:121" s="276" customFormat="1" ht="60" x14ac:dyDescent="0.2">
      <c r="A32" s="277">
        <v>30</v>
      </c>
      <c r="B32" s="264" t="s">
        <v>158</v>
      </c>
      <c r="C32" s="264" t="s">
        <v>113</v>
      </c>
      <c r="D32" s="309">
        <v>2.1590000000000003</v>
      </c>
      <c r="E32" s="267" t="s">
        <v>78</v>
      </c>
      <c r="F32" s="279">
        <v>619</v>
      </c>
      <c r="G32" s="285"/>
      <c r="H32" s="285"/>
      <c r="I32" s="285"/>
      <c r="J32" s="285"/>
      <c r="K32" s="267"/>
      <c r="L32" s="267"/>
      <c r="M32" s="267"/>
      <c r="N32" s="267"/>
      <c r="O32" s="267"/>
      <c r="P32" s="278">
        <v>0.23181443893437895</v>
      </c>
      <c r="Q32" s="278">
        <v>0.21931443893437894</v>
      </c>
      <c r="R32" s="278"/>
      <c r="S32" s="280">
        <v>5300983154</v>
      </c>
      <c r="T32" s="280">
        <v>5101606919</v>
      </c>
      <c r="U32" s="278">
        <v>0.9143706517323037</v>
      </c>
      <c r="V32" s="278">
        <v>0.68642082856696351</v>
      </c>
      <c r="W32" s="278"/>
      <c r="X32" s="280">
        <v>9723450000</v>
      </c>
      <c r="Y32" s="280">
        <v>9300681134</v>
      </c>
      <c r="Z32" s="280"/>
      <c r="AA32" s="280"/>
      <c r="AB32" s="278">
        <v>0.64290381752645587</v>
      </c>
      <c r="AC32" s="278">
        <v>0.44800409678515085</v>
      </c>
      <c r="AD32" s="278"/>
      <c r="AE32" s="280">
        <v>4410805000</v>
      </c>
      <c r="AF32" s="280">
        <v>670730000</v>
      </c>
      <c r="AG32" s="280"/>
      <c r="AH32" s="280"/>
      <c r="AI32" s="278">
        <v>0.36991109180686144</v>
      </c>
      <c r="AJ32" s="278">
        <v>0</v>
      </c>
      <c r="AK32" s="278">
        <v>0</v>
      </c>
      <c r="AL32" s="317"/>
      <c r="AM32" s="317"/>
      <c r="AN32" s="317"/>
      <c r="AO32" s="317"/>
      <c r="AP32" s="285" t="s">
        <v>12</v>
      </c>
      <c r="AQ32" s="285" t="s">
        <v>7</v>
      </c>
      <c r="AR32" s="285" t="s">
        <v>9</v>
      </c>
      <c r="AS32" s="285" t="s">
        <v>19</v>
      </c>
      <c r="AT32" s="285" t="s">
        <v>10</v>
      </c>
      <c r="AU32" s="285"/>
      <c r="AV32" s="285"/>
      <c r="AW32" s="285"/>
      <c r="AX32" s="285"/>
      <c r="AY32" s="285"/>
      <c r="AZ32" s="287"/>
      <c r="BA32" s="303"/>
      <c r="BB32" s="287"/>
      <c r="BC32" s="289"/>
      <c r="BD32" s="304"/>
      <c r="BE32" s="290"/>
      <c r="BF32" s="291"/>
      <c r="BG32" s="292"/>
      <c r="BH32" s="289"/>
      <c r="BI32" s="293"/>
      <c r="BJ32" s="293"/>
      <c r="BK32" s="293"/>
      <c r="BL32" s="293"/>
      <c r="BM32" s="293"/>
      <c r="BN32" s="293"/>
      <c r="BO32" s="293"/>
      <c r="BP32" s="293"/>
      <c r="BQ32" s="293"/>
      <c r="BR32" s="293"/>
      <c r="BS32" s="293"/>
      <c r="BT32" s="293"/>
      <c r="BU32" s="293"/>
      <c r="BV32" s="294"/>
      <c r="BW32" s="295"/>
      <c r="BX32" s="288"/>
      <c r="BY32" s="288"/>
      <c r="BZ32" s="288"/>
      <c r="CA32" s="288"/>
      <c r="CB32" s="296"/>
      <c r="CC32" s="296"/>
      <c r="CD32" s="297"/>
      <c r="CE32" s="297"/>
      <c r="CF32" s="297"/>
      <c r="CG32" s="297"/>
      <c r="CH32" s="297"/>
      <c r="CI32" s="297"/>
      <c r="CJ32" s="297"/>
      <c r="CK32" s="298"/>
      <c r="CL32" s="298"/>
      <c r="CM32" s="298"/>
      <c r="CN32" s="298"/>
      <c r="CO32" s="298"/>
      <c r="CP32" s="298"/>
      <c r="CQ32" s="298"/>
      <c r="CR32" s="298"/>
      <c r="CS32" s="298"/>
      <c r="CT32" s="299"/>
      <c r="CU32" s="299"/>
      <c r="CV32" s="299"/>
      <c r="CW32" s="299"/>
      <c r="CX32" s="299"/>
      <c r="CY32" s="299"/>
      <c r="CZ32" s="299"/>
      <c r="DA32" s="299"/>
      <c r="DB32" s="299"/>
      <c r="DC32" s="299"/>
      <c r="DD32" s="299"/>
      <c r="DE32" s="299"/>
      <c r="DF32" s="299"/>
      <c r="DG32" s="299"/>
      <c r="DH32" s="299"/>
      <c r="DI32" s="299"/>
      <c r="DJ32" s="299"/>
      <c r="DK32" s="299"/>
      <c r="DL32" s="299"/>
      <c r="DM32" s="299"/>
      <c r="DN32" s="299"/>
      <c r="DO32" s="299"/>
      <c r="DP32" s="299"/>
      <c r="DQ32" s="300"/>
    </row>
    <row r="33" spans="1:121" s="276" customFormat="1" ht="48" x14ac:dyDescent="0.2">
      <c r="A33" s="306">
        <v>31</v>
      </c>
      <c r="B33" s="264" t="s">
        <v>159</v>
      </c>
      <c r="C33" s="264" t="s">
        <v>113</v>
      </c>
      <c r="D33" s="309">
        <v>0.58400000000000007</v>
      </c>
      <c r="E33" s="267" t="s">
        <v>79</v>
      </c>
      <c r="F33" s="279">
        <v>620</v>
      </c>
      <c r="G33" s="267"/>
      <c r="H33" s="267"/>
      <c r="I33" s="267"/>
      <c r="J33" s="267"/>
      <c r="K33" s="267"/>
      <c r="L33" s="267"/>
      <c r="M33" s="267"/>
      <c r="N33" s="267"/>
      <c r="O33" s="267"/>
      <c r="P33" s="278">
        <v>3.875E-2</v>
      </c>
      <c r="Q33" s="278">
        <v>2.2250000000000002E-2</v>
      </c>
      <c r="R33" s="278"/>
      <c r="S33" s="280">
        <v>384094232</v>
      </c>
      <c r="T33" s="280">
        <v>384094232</v>
      </c>
      <c r="U33" s="278">
        <v>0.19</v>
      </c>
      <c r="V33" s="278">
        <v>0.19</v>
      </c>
      <c r="W33" s="278"/>
      <c r="X33" s="280">
        <v>995328261</v>
      </c>
      <c r="Y33" s="280">
        <v>427000000</v>
      </c>
      <c r="Z33" s="280"/>
      <c r="AA33" s="280"/>
      <c r="AB33" s="278">
        <v>0.19824999999999998</v>
      </c>
      <c r="AC33" s="278">
        <v>0.19824999999999998</v>
      </c>
      <c r="AD33" s="278"/>
      <c r="AE33" s="280">
        <v>1187933225</v>
      </c>
      <c r="AF33" s="280">
        <v>0</v>
      </c>
      <c r="AG33" s="280"/>
      <c r="AH33" s="280"/>
      <c r="AI33" s="278">
        <v>0.15699999999999997</v>
      </c>
      <c r="AJ33" s="278">
        <v>0</v>
      </c>
      <c r="AK33" s="278">
        <v>0</v>
      </c>
      <c r="AL33" s="317"/>
      <c r="AM33" s="317"/>
      <c r="AN33" s="317"/>
      <c r="AO33" s="317"/>
      <c r="AP33" s="285" t="s">
        <v>104</v>
      </c>
      <c r="AQ33" s="285"/>
      <c r="AR33" s="285"/>
      <c r="AS33" s="285"/>
      <c r="AT33" s="285"/>
      <c r="AU33" s="285"/>
      <c r="AV33" s="285"/>
      <c r="AW33" s="285"/>
      <c r="AX33" s="285"/>
      <c r="AY33" s="285"/>
      <c r="AZ33" s="287"/>
      <c r="BA33" s="303"/>
      <c r="BB33" s="287"/>
      <c r="BC33" s="289"/>
      <c r="BD33" s="304"/>
      <c r="BE33" s="290"/>
      <c r="BF33" s="291"/>
      <c r="BG33" s="292"/>
      <c r="BH33" s="289"/>
      <c r="BI33" s="293"/>
      <c r="BJ33" s="293"/>
      <c r="BK33" s="293"/>
      <c r="BL33" s="293"/>
      <c r="BM33" s="293"/>
      <c r="BN33" s="293"/>
      <c r="BO33" s="293"/>
      <c r="BP33" s="293"/>
      <c r="BQ33" s="293"/>
      <c r="BR33" s="293"/>
      <c r="BS33" s="293"/>
      <c r="BT33" s="293"/>
      <c r="BU33" s="293"/>
      <c r="BV33" s="294"/>
      <c r="BW33" s="295"/>
      <c r="BX33" s="288"/>
      <c r="BY33" s="288"/>
      <c r="BZ33" s="288"/>
      <c r="CA33" s="288"/>
      <c r="CB33" s="296"/>
      <c r="CC33" s="296"/>
      <c r="CD33" s="297"/>
      <c r="CE33" s="297"/>
      <c r="CF33" s="297"/>
      <c r="CG33" s="297"/>
      <c r="CH33" s="297"/>
      <c r="CI33" s="297"/>
      <c r="CJ33" s="297"/>
      <c r="CK33" s="297"/>
      <c r="CL33" s="297"/>
      <c r="CM33" s="297"/>
      <c r="CN33" s="297"/>
      <c r="CO33" s="297"/>
      <c r="CP33" s="297"/>
      <c r="CQ33" s="297"/>
      <c r="CR33" s="297"/>
      <c r="CS33" s="297"/>
      <c r="CT33" s="297"/>
      <c r="CU33" s="297"/>
      <c r="CV33" s="297"/>
      <c r="CW33" s="297"/>
      <c r="CX33" s="299"/>
      <c r="CY33" s="299"/>
      <c r="CZ33" s="299"/>
      <c r="DA33" s="299"/>
      <c r="DB33" s="299"/>
      <c r="DC33" s="299"/>
      <c r="DD33" s="299"/>
      <c r="DE33" s="299"/>
      <c r="DF33" s="299"/>
      <c r="DG33" s="299"/>
      <c r="DH33" s="299"/>
      <c r="DI33" s="299"/>
      <c r="DJ33" s="299"/>
      <c r="DK33" s="299"/>
      <c r="DL33" s="299"/>
      <c r="DM33" s="299"/>
      <c r="DN33" s="299"/>
      <c r="DO33" s="299"/>
      <c r="DP33" s="299"/>
      <c r="DQ33" s="300"/>
    </row>
    <row r="34" spans="1:121" s="276" customFormat="1" ht="60" x14ac:dyDescent="0.2">
      <c r="A34" s="277">
        <v>32</v>
      </c>
      <c r="B34" s="264" t="s">
        <v>160</v>
      </c>
      <c r="C34" s="264" t="s">
        <v>113</v>
      </c>
      <c r="D34" s="309">
        <v>5.7990000000000004</v>
      </c>
      <c r="E34" s="267" t="s">
        <v>80</v>
      </c>
      <c r="F34" s="279">
        <v>574</v>
      </c>
      <c r="G34" s="279">
        <v>621</v>
      </c>
      <c r="H34" s="267"/>
      <c r="I34" s="267"/>
      <c r="J34" s="267"/>
      <c r="K34" s="267"/>
      <c r="L34" s="267"/>
      <c r="M34" s="267"/>
      <c r="N34" s="267"/>
      <c r="O34" s="267"/>
      <c r="P34" s="278">
        <v>0.71052131174286992</v>
      </c>
      <c r="Q34" s="278">
        <v>0.56092010692359284</v>
      </c>
      <c r="R34" s="278"/>
      <c r="S34" s="280">
        <v>8481862175</v>
      </c>
      <c r="T34" s="280">
        <v>6017767669</v>
      </c>
      <c r="U34" s="278">
        <v>1.8694770251238193</v>
      </c>
      <c r="V34" s="278">
        <v>1.3454012944515663</v>
      </c>
      <c r="W34" s="278"/>
      <c r="X34" s="280">
        <v>29957692873</v>
      </c>
      <c r="Y34" s="280">
        <v>22395759225</v>
      </c>
      <c r="Z34" s="280">
        <v>0</v>
      </c>
      <c r="AA34" s="280">
        <v>0</v>
      </c>
      <c r="AB34" s="278">
        <v>1.6203845806644845</v>
      </c>
      <c r="AC34" s="278">
        <v>1.190585046623418</v>
      </c>
      <c r="AD34" s="278"/>
      <c r="AE34" s="280">
        <v>46310339694</v>
      </c>
      <c r="AF34" s="280">
        <v>26480463358</v>
      </c>
      <c r="AG34" s="280"/>
      <c r="AH34" s="280"/>
      <c r="AI34" s="278">
        <v>1.5986170824688266</v>
      </c>
      <c r="AJ34" s="278">
        <v>0</v>
      </c>
      <c r="AK34" s="278">
        <v>0</v>
      </c>
      <c r="AL34" s="317"/>
      <c r="AM34" s="317"/>
      <c r="AN34" s="317"/>
      <c r="AO34" s="317"/>
      <c r="AP34" s="285" t="s">
        <v>30</v>
      </c>
      <c r="AQ34" s="285" t="s">
        <v>28</v>
      </c>
      <c r="AR34" s="285" t="s">
        <v>8</v>
      </c>
      <c r="AS34" s="285" t="s">
        <v>10</v>
      </c>
      <c r="AT34" s="285"/>
      <c r="AU34" s="285"/>
      <c r="AV34" s="285"/>
      <c r="AW34" s="285"/>
      <c r="AX34" s="285"/>
      <c r="AY34" s="285"/>
      <c r="AZ34" s="287"/>
      <c r="BA34" s="303"/>
      <c r="BB34" s="287"/>
      <c r="BC34" s="293"/>
      <c r="BD34" s="304"/>
      <c r="BE34" s="290"/>
      <c r="BF34" s="291"/>
      <c r="BG34" s="305"/>
      <c r="BH34" s="289"/>
      <c r="BI34" s="293"/>
      <c r="BJ34" s="293"/>
      <c r="BK34" s="293"/>
      <c r="BL34" s="293"/>
      <c r="BM34" s="293"/>
      <c r="BN34" s="293"/>
      <c r="BO34" s="293"/>
      <c r="BP34" s="293"/>
      <c r="BQ34" s="293"/>
      <c r="BR34" s="293"/>
      <c r="BS34" s="293"/>
      <c r="BT34" s="293"/>
      <c r="BU34" s="293"/>
      <c r="BV34" s="294"/>
      <c r="BW34" s="295"/>
      <c r="BX34" s="288"/>
      <c r="BY34" s="288"/>
      <c r="BZ34" s="288"/>
      <c r="CA34" s="288"/>
      <c r="CB34" s="296"/>
      <c r="CC34" s="296"/>
      <c r="CD34" s="297"/>
      <c r="CE34" s="298"/>
      <c r="CF34" s="298"/>
      <c r="CG34" s="298"/>
      <c r="CH34" s="298"/>
      <c r="CI34" s="298"/>
      <c r="CJ34" s="298"/>
      <c r="CK34" s="298"/>
      <c r="CL34" s="298"/>
      <c r="CM34" s="298"/>
      <c r="CN34" s="298"/>
      <c r="CO34" s="298"/>
      <c r="CP34" s="298"/>
      <c r="CQ34" s="298"/>
      <c r="CR34" s="298"/>
      <c r="CS34" s="298"/>
      <c r="CT34" s="299"/>
      <c r="CU34" s="299"/>
      <c r="CV34" s="299"/>
      <c r="CW34" s="299"/>
      <c r="CX34" s="299"/>
      <c r="CY34" s="299"/>
      <c r="CZ34" s="299"/>
      <c r="DA34" s="299"/>
      <c r="DB34" s="299"/>
      <c r="DC34" s="299"/>
      <c r="DD34" s="299"/>
      <c r="DE34" s="299"/>
      <c r="DF34" s="299"/>
      <c r="DG34" s="299"/>
      <c r="DH34" s="299"/>
      <c r="DI34" s="299"/>
      <c r="DJ34" s="299"/>
      <c r="DK34" s="299"/>
      <c r="DL34" s="299"/>
      <c r="DM34" s="299"/>
      <c r="DN34" s="299"/>
      <c r="DO34" s="299"/>
      <c r="DP34" s="299"/>
      <c r="DQ34" s="300"/>
    </row>
    <row r="35" spans="1:121" s="276" customFormat="1" ht="36" x14ac:dyDescent="0.2">
      <c r="A35" s="277">
        <v>33</v>
      </c>
      <c r="B35" s="264" t="s">
        <v>161</v>
      </c>
      <c r="C35" s="264" t="s">
        <v>113</v>
      </c>
      <c r="D35" s="309">
        <v>0.82500000000000007</v>
      </c>
      <c r="E35" s="267" t="s">
        <v>81</v>
      </c>
      <c r="F35" s="279">
        <v>622</v>
      </c>
      <c r="G35" s="285"/>
      <c r="H35" s="285"/>
      <c r="I35" s="267"/>
      <c r="J35" s="267"/>
      <c r="K35" s="267"/>
      <c r="L35" s="267"/>
      <c r="M35" s="267"/>
      <c r="N35" s="267"/>
      <c r="O35" s="267"/>
      <c r="P35" s="278">
        <v>0.26014999999999999</v>
      </c>
      <c r="Q35" s="278">
        <v>0.1313125</v>
      </c>
      <c r="R35" s="278"/>
      <c r="S35" s="280">
        <v>613500000</v>
      </c>
      <c r="T35" s="280">
        <v>224807368</v>
      </c>
      <c r="U35" s="278">
        <v>0.22825000000000001</v>
      </c>
      <c r="V35" s="278">
        <v>0.1973125</v>
      </c>
      <c r="W35" s="278"/>
      <c r="X35" s="280">
        <v>597000000</v>
      </c>
      <c r="Y35" s="280">
        <v>204776033</v>
      </c>
      <c r="Z35" s="280"/>
      <c r="AA35" s="280"/>
      <c r="AB35" s="278">
        <v>9.0749999999999997E-2</v>
      </c>
      <c r="AC35" s="278">
        <v>9.0749999999999997E-2</v>
      </c>
      <c r="AD35" s="278"/>
      <c r="AE35" s="280">
        <v>852504000</v>
      </c>
      <c r="AF35" s="280">
        <v>459170000</v>
      </c>
      <c r="AG35" s="280"/>
      <c r="AH35" s="280"/>
      <c r="AI35" s="278">
        <v>0.24585000000000001</v>
      </c>
      <c r="AJ35" s="278">
        <v>0</v>
      </c>
      <c r="AK35" s="278">
        <v>0</v>
      </c>
      <c r="AL35" s="317"/>
      <c r="AM35" s="317"/>
      <c r="AN35" s="317"/>
      <c r="AO35" s="317"/>
      <c r="AP35" s="285" t="s">
        <v>19</v>
      </c>
      <c r="AQ35" s="285" t="s">
        <v>10</v>
      </c>
      <c r="AR35" s="285" t="s">
        <v>8</v>
      </c>
      <c r="AT35" s="285"/>
      <c r="AU35" s="285"/>
      <c r="AV35" s="285"/>
      <c r="AW35" s="285"/>
      <c r="AX35" s="285"/>
      <c r="AY35" s="285"/>
      <c r="AZ35" s="288"/>
      <c r="BA35" s="288"/>
      <c r="BB35" s="288"/>
      <c r="BC35" s="289"/>
      <c r="BD35" s="304"/>
      <c r="BE35" s="290"/>
      <c r="BF35" s="291"/>
      <c r="BG35" s="305"/>
      <c r="BH35" s="289"/>
      <c r="BI35" s="293"/>
      <c r="BJ35" s="293"/>
      <c r="BK35" s="293"/>
      <c r="BL35" s="293"/>
      <c r="BM35" s="293"/>
      <c r="BN35" s="293"/>
      <c r="BO35" s="293"/>
      <c r="BP35" s="293"/>
      <c r="BQ35" s="293"/>
      <c r="BR35" s="293"/>
      <c r="BS35" s="293"/>
      <c r="BT35" s="293"/>
      <c r="BU35" s="293"/>
      <c r="BV35" s="296"/>
      <c r="BW35" s="296"/>
      <c r="BX35" s="296"/>
      <c r="BY35" s="296"/>
      <c r="BZ35" s="296"/>
      <c r="CA35" s="296"/>
      <c r="CB35" s="296"/>
      <c r="CC35" s="296"/>
      <c r="CD35" s="297"/>
      <c r="CE35" s="297"/>
      <c r="CF35" s="297"/>
      <c r="CG35" s="298"/>
      <c r="CH35" s="298"/>
      <c r="CI35" s="298"/>
      <c r="CJ35" s="298"/>
      <c r="CK35" s="298"/>
      <c r="CL35" s="298"/>
      <c r="CM35" s="298"/>
      <c r="CN35" s="298"/>
      <c r="CO35" s="298"/>
      <c r="CP35" s="298"/>
      <c r="CQ35" s="298"/>
      <c r="CR35" s="298"/>
      <c r="CS35" s="298"/>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300"/>
    </row>
    <row r="36" spans="1:121" s="276" customFormat="1" ht="48" x14ac:dyDescent="0.2">
      <c r="A36" s="306">
        <v>34</v>
      </c>
      <c r="B36" s="264" t="s">
        <v>163</v>
      </c>
      <c r="C36" s="264" t="s">
        <v>113</v>
      </c>
      <c r="D36" s="309">
        <v>1.4850000000000001</v>
      </c>
      <c r="E36" s="267" t="s">
        <v>82</v>
      </c>
      <c r="F36" s="279">
        <v>623</v>
      </c>
      <c r="G36" s="285"/>
      <c r="H36" s="267"/>
      <c r="I36" s="267"/>
      <c r="J36" s="267"/>
      <c r="K36" s="267"/>
      <c r="L36" s="267"/>
      <c r="M36" s="267"/>
      <c r="N36" s="267"/>
      <c r="O36" s="267"/>
      <c r="P36" s="278">
        <v>0.18161785714285716</v>
      </c>
      <c r="Q36" s="278">
        <v>0.11679642857142858</v>
      </c>
      <c r="R36" s="278"/>
      <c r="S36" s="280">
        <v>1217659169</v>
      </c>
      <c r="T36" s="280">
        <v>613623159</v>
      </c>
      <c r="U36" s="278">
        <v>0.35581071428571431</v>
      </c>
      <c r="V36" s="278">
        <v>0.27331071428571424</v>
      </c>
      <c r="W36" s="278"/>
      <c r="X36" s="280">
        <v>1100000000</v>
      </c>
      <c r="Y36" s="280">
        <v>318520000</v>
      </c>
      <c r="Z36" s="280"/>
      <c r="AA36" s="280"/>
      <c r="AB36" s="278">
        <v>0.42841071428571431</v>
      </c>
      <c r="AC36" s="278">
        <v>0.31909821428571422</v>
      </c>
      <c r="AD36" s="278"/>
      <c r="AE36" s="280">
        <v>690000000</v>
      </c>
      <c r="AF36" s="280">
        <v>96354125</v>
      </c>
      <c r="AG36" s="280"/>
      <c r="AH36" s="280"/>
      <c r="AI36" s="278">
        <v>0.51916071428571431</v>
      </c>
      <c r="AJ36" s="278">
        <v>0</v>
      </c>
      <c r="AK36" s="278">
        <v>0</v>
      </c>
      <c r="AL36" s="317"/>
      <c r="AM36" s="317"/>
      <c r="AN36" s="317"/>
      <c r="AO36" s="317"/>
      <c r="AP36" s="285" t="s">
        <v>19</v>
      </c>
      <c r="AQ36" s="285" t="s">
        <v>7</v>
      </c>
      <c r="AT36" s="285"/>
      <c r="AU36" s="285"/>
      <c r="AV36" s="285"/>
      <c r="AW36" s="285"/>
      <c r="AX36" s="285"/>
      <c r="AY36" s="285"/>
      <c r="AZ36" s="294"/>
      <c r="BA36" s="303"/>
      <c r="BB36" s="287"/>
      <c r="BC36" s="289"/>
      <c r="BD36" s="304"/>
      <c r="BE36" s="290"/>
      <c r="BF36" s="291"/>
      <c r="BG36" s="305"/>
      <c r="BH36" s="289"/>
      <c r="BI36" s="293"/>
      <c r="BJ36" s="293"/>
      <c r="BK36" s="293"/>
      <c r="BL36" s="293"/>
      <c r="BM36" s="293"/>
      <c r="BN36" s="293"/>
      <c r="BO36" s="293"/>
      <c r="BP36" s="293"/>
      <c r="BQ36" s="293"/>
      <c r="BR36" s="293"/>
      <c r="BS36" s="293"/>
      <c r="BT36" s="293"/>
      <c r="BU36" s="293"/>
      <c r="BV36" s="294"/>
      <c r="BW36" s="295"/>
      <c r="BX36" s="288"/>
      <c r="BY36" s="288"/>
      <c r="BZ36" s="288"/>
      <c r="CA36" s="288"/>
      <c r="CB36" s="296"/>
      <c r="CC36" s="296"/>
      <c r="CD36" s="297"/>
      <c r="CE36" s="297"/>
      <c r="CF36" s="297"/>
      <c r="CG36" s="297"/>
      <c r="CH36" s="298"/>
      <c r="CI36" s="298"/>
      <c r="CJ36" s="298"/>
      <c r="CK36" s="298"/>
      <c r="CL36" s="298"/>
      <c r="CM36" s="298"/>
      <c r="CN36" s="298"/>
      <c r="CO36" s="298"/>
      <c r="CP36" s="298"/>
      <c r="CQ36" s="298"/>
      <c r="CR36" s="298"/>
      <c r="CS36" s="298"/>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300"/>
    </row>
    <row r="37" spans="1:121" s="7" customFormat="1" x14ac:dyDescent="0.2">
      <c r="A37" s="82"/>
      <c r="B37" s="83"/>
      <c r="C37" s="76"/>
      <c r="D37" s="84"/>
      <c r="E37" s="83"/>
      <c r="F37" s="83"/>
      <c r="G37" s="83"/>
      <c r="H37" s="83"/>
      <c r="I37" s="83"/>
      <c r="J37" s="83"/>
      <c r="K37" s="83"/>
      <c r="L37" s="83"/>
      <c r="M37" s="83"/>
      <c r="N37" s="83"/>
      <c r="O37" s="83"/>
      <c r="P37" s="522">
        <f>SUM(P4:P36)</f>
        <v>15.444476801794742</v>
      </c>
      <c r="Q37" s="69">
        <f t="shared" ref="Q37:AO37" si="0">SUM(Q4:Q36)</f>
        <v>12.550732745457676</v>
      </c>
      <c r="R37" s="69">
        <f t="shared" si="0"/>
        <v>0</v>
      </c>
      <c r="S37" s="69">
        <f t="shared" si="0"/>
        <v>1424746955097</v>
      </c>
      <c r="T37" s="69">
        <f t="shared" si="0"/>
        <v>1321082481137</v>
      </c>
      <c r="U37" s="522">
        <f t="shared" si="0"/>
        <v>28.307562929166345</v>
      </c>
      <c r="V37" s="69">
        <f t="shared" si="0"/>
        <v>24.284194722712424</v>
      </c>
      <c r="W37" s="69"/>
      <c r="X37" s="69">
        <f t="shared" si="0"/>
        <v>1508991351012</v>
      </c>
      <c r="Y37" s="69">
        <f t="shared" si="0"/>
        <v>1378988402413</v>
      </c>
      <c r="Z37" s="69">
        <f t="shared" si="0"/>
        <v>183598040460</v>
      </c>
      <c r="AA37" s="69">
        <f t="shared" si="0"/>
        <v>84891288077</v>
      </c>
      <c r="AB37" s="522">
        <f t="shared" si="0"/>
        <v>29.501501697900526</v>
      </c>
      <c r="AC37" s="69">
        <f t="shared" si="0"/>
        <v>24.612846786291708</v>
      </c>
      <c r="AD37" s="69">
        <f t="shared" si="0"/>
        <v>0</v>
      </c>
      <c r="AE37" s="69">
        <f t="shared" si="0"/>
        <v>1494848480576</v>
      </c>
      <c r="AF37" s="69">
        <f t="shared" si="0"/>
        <v>559516862857</v>
      </c>
      <c r="AG37" s="69">
        <f t="shared" si="0"/>
        <v>36555916193</v>
      </c>
      <c r="AH37" s="69">
        <f t="shared" si="0"/>
        <v>27816589576</v>
      </c>
      <c r="AI37" s="522">
        <f t="shared" si="0"/>
        <v>26.75125857113839</v>
      </c>
      <c r="AJ37" s="69">
        <f t="shared" si="0"/>
        <v>0</v>
      </c>
      <c r="AK37" s="69">
        <f t="shared" si="0"/>
        <v>0</v>
      </c>
      <c r="AL37" s="69">
        <f t="shared" si="0"/>
        <v>0</v>
      </c>
      <c r="AM37" s="69">
        <f t="shared" si="0"/>
        <v>0</v>
      </c>
      <c r="AN37" s="69">
        <f t="shared" si="0"/>
        <v>0</v>
      </c>
      <c r="AO37" s="69">
        <f t="shared" si="0"/>
        <v>0</v>
      </c>
      <c r="AP37" s="69"/>
      <c r="AQ37" s="69"/>
      <c r="AR37" s="69"/>
      <c r="AS37" s="69"/>
      <c r="AT37" s="69"/>
      <c r="AU37" s="69"/>
      <c r="AV37" s="69"/>
      <c r="AW37" s="69"/>
      <c r="AX37" s="69"/>
      <c r="AY37" s="69"/>
      <c r="AZ37" s="69"/>
      <c r="BA37" s="69"/>
      <c r="BB37" s="69"/>
      <c r="BC37" s="69"/>
      <c r="BD37" s="69"/>
      <c r="BE37" s="69"/>
      <c r="BF37" s="36"/>
      <c r="BG37" s="37"/>
      <c r="BH37" s="34"/>
      <c r="BI37" s="28"/>
      <c r="BJ37" s="28"/>
      <c r="BK37" s="28"/>
      <c r="BL37" s="28"/>
      <c r="BM37" s="28"/>
      <c r="BN37" s="28"/>
      <c r="BO37" s="28"/>
      <c r="BP37" s="28"/>
      <c r="BQ37" s="28"/>
      <c r="BR37" s="28"/>
      <c r="BS37" s="28"/>
      <c r="BT37" s="28"/>
      <c r="BU37" s="28"/>
      <c r="BV37" s="50"/>
      <c r="BW37" s="73"/>
      <c r="BX37" s="72"/>
      <c r="BY37" s="72"/>
      <c r="BZ37" s="72"/>
      <c r="CA37" s="72"/>
      <c r="CB37" s="26"/>
      <c r="CC37" s="26"/>
      <c r="CD37" s="74"/>
      <c r="CE37" s="74"/>
      <c r="CF37" s="74"/>
      <c r="CG37" s="74"/>
      <c r="CH37" s="74"/>
      <c r="CI37" s="74"/>
      <c r="CJ37" s="74"/>
      <c r="CK37" s="74"/>
      <c r="CL37" s="74"/>
      <c r="CM37" s="74"/>
      <c r="CN37" s="74"/>
      <c r="CO37" s="74"/>
      <c r="CP37" s="74"/>
      <c r="CQ37" s="75"/>
      <c r="CR37" s="75"/>
      <c r="CS37" s="75"/>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76"/>
    </row>
    <row r="38" spans="1:121" s="7" customFormat="1" x14ac:dyDescent="0.2">
      <c r="A38" s="82"/>
      <c r="B38" s="83"/>
      <c r="C38" s="76"/>
      <c r="D38" s="84"/>
      <c r="E38" s="83"/>
      <c r="F38" s="83"/>
      <c r="G38" s="83"/>
      <c r="H38" s="83"/>
      <c r="I38" s="83"/>
      <c r="J38" s="83"/>
      <c r="K38" s="83"/>
      <c r="L38" s="83"/>
      <c r="M38" s="83"/>
      <c r="N38" s="83"/>
      <c r="O38" s="83"/>
      <c r="P38" s="69"/>
      <c r="Q38" s="69"/>
      <c r="R38" s="69"/>
      <c r="S38" s="69"/>
      <c r="T38" s="69"/>
      <c r="U38" s="69"/>
      <c r="V38" s="69"/>
      <c r="W38" s="69"/>
      <c r="X38" s="69"/>
      <c r="Y38" s="69"/>
      <c r="Z38" s="69"/>
      <c r="AA38" s="69"/>
      <c r="AB38" s="69"/>
      <c r="AC38" s="69"/>
      <c r="AD38" s="69"/>
      <c r="AE38" s="69"/>
      <c r="AF38" s="69"/>
      <c r="AG38" s="69"/>
      <c r="AH38" s="69"/>
      <c r="AI38" s="69"/>
      <c r="AJ38" s="69"/>
      <c r="AK38" s="69"/>
      <c r="AL38" s="85"/>
      <c r="AM38" s="85"/>
      <c r="AN38" s="79"/>
      <c r="AO38" s="79"/>
      <c r="AP38" s="70"/>
      <c r="AQ38" s="70"/>
      <c r="AR38" s="70"/>
      <c r="AS38" s="70"/>
      <c r="AT38" s="70"/>
      <c r="AU38" s="70"/>
      <c r="AV38" s="70"/>
      <c r="AW38" s="70"/>
      <c r="AX38" s="70"/>
      <c r="AY38" s="70"/>
      <c r="AZ38" s="50"/>
      <c r="BA38" s="78"/>
      <c r="BB38" s="48"/>
      <c r="BC38" s="28"/>
      <c r="BD38" s="39"/>
      <c r="BE38" s="35"/>
      <c r="BF38" s="36"/>
      <c r="BG38" s="37"/>
      <c r="BH38" s="34"/>
      <c r="BI38" s="28"/>
      <c r="BJ38" s="28"/>
      <c r="BK38" s="28"/>
      <c r="BL38" s="28"/>
      <c r="BM38" s="28"/>
      <c r="BN38" s="28"/>
      <c r="BO38" s="28"/>
      <c r="BP38" s="28"/>
      <c r="BQ38" s="28"/>
      <c r="BR38" s="28"/>
      <c r="BS38" s="28"/>
      <c r="BT38" s="28"/>
      <c r="BU38" s="28"/>
      <c r="BV38" s="50"/>
      <c r="BW38" s="73"/>
      <c r="BX38" s="72"/>
      <c r="BY38" s="72"/>
      <c r="BZ38" s="72"/>
      <c r="CA38" s="72"/>
      <c r="CB38" s="26"/>
      <c r="CC38" s="26"/>
      <c r="CD38" s="74"/>
      <c r="CE38" s="74"/>
      <c r="CF38" s="74"/>
      <c r="CG38" s="74"/>
      <c r="CH38" s="74"/>
      <c r="CI38" s="74"/>
      <c r="CJ38" s="74"/>
      <c r="CK38" s="74"/>
      <c r="CL38" s="74"/>
      <c r="CM38" s="74"/>
      <c r="CN38" s="74"/>
      <c r="CO38" s="74"/>
      <c r="CP38" s="74"/>
      <c r="CQ38" s="75"/>
      <c r="CR38" s="75"/>
      <c r="CS38" s="75"/>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76"/>
    </row>
    <row r="39" spans="1:121" s="7" customFormat="1" x14ac:dyDescent="0.2">
      <c r="A39" s="82"/>
      <c r="B39" s="83"/>
      <c r="C39" s="76"/>
      <c r="D39" s="84"/>
      <c r="E39" s="83"/>
      <c r="F39" s="83"/>
      <c r="G39" s="83"/>
      <c r="H39" s="83"/>
      <c r="I39" s="83"/>
      <c r="J39" s="83"/>
      <c r="K39" s="83"/>
      <c r="L39" s="83"/>
      <c r="M39" s="83"/>
      <c r="N39" s="83"/>
      <c r="O39" s="83"/>
      <c r="P39" s="69"/>
      <c r="Q39" s="69"/>
      <c r="R39" s="69"/>
      <c r="S39" s="69"/>
      <c r="T39" s="69"/>
      <c r="U39" s="69"/>
      <c r="V39" s="69"/>
      <c r="W39" s="69"/>
      <c r="X39" s="69"/>
      <c r="Y39" s="69"/>
      <c r="Z39" s="69"/>
      <c r="AA39" s="69"/>
      <c r="AB39" s="69"/>
      <c r="AC39" s="69"/>
      <c r="AD39" s="69"/>
      <c r="AE39" s="69"/>
      <c r="AF39" s="69"/>
      <c r="AG39" s="69"/>
      <c r="AH39" s="69"/>
      <c r="AI39" s="69"/>
      <c r="AJ39" s="69"/>
      <c r="AK39" s="69"/>
      <c r="AL39" s="85"/>
      <c r="AM39" s="85"/>
      <c r="AN39" s="79"/>
      <c r="AO39" s="79"/>
      <c r="AP39" s="70"/>
      <c r="AQ39" s="70"/>
      <c r="AR39" s="70"/>
      <c r="AS39" s="70"/>
      <c r="AT39" s="70"/>
      <c r="AU39" s="70"/>
      <c r="AV39" s="70"/>
      <c r="AW39" s="70"/>
      <c r="AX39" s="70"/>
      <c r="AY39" s="70"/>
      <c r="AZ39" s="50"/>
      <c r="BA39" s="78"/>
      <c r="BB39" s="48"/>
      <c r="BC39" s="28"/>
      <c r="BD39" s="39"/>
      <c r="BE39" s="35"/>
      <c r="BF39" s="36"/>
      <c r="BG39" s="37"/>
      <c r="BH39" s="34"/>
      <c r="BI39" s="28"/>
      <c r="BJ39" s="28"/>
      <c r="BK39" s="28"/>
      <c r="BL39" s="28"/>
      <c r="BM39" s="28"/>
      <c r="BN39" s="28"/>
      <c r="BO39" s="28"/>
      <c r="BP39" s="28"/>
      <c r="BQ39" s="28"/>
      <c r="BR39" s="28"/>
      <c r="BS39" s="28"/>
      <c r="BT39" s="28"/>
      <c r="BU39" s="28"/>
      <c r="BV39" s="50"/>
      <c r="BW39" s="73"/>
      <c r="BX39" s="72"/>
      <c r="BY39" s="72"/>
      <c r="BZ39" s="72"/>
      <c r="CA39" s="72"/>
      <c r="CB39" s="26"/>
      <c r="CC39" s="26"/>
      <c r="CD39" s="74"/>
      <c r="CE39" s="74"/>
      <c r="CF39" s="74"/>
      <c r="CG39" s="74"/>
      <c r="CH39" s="74"/>
      <c r="CI39" s="74"/>
      <c r="CJ39" s="74"/>
      <c r="CK39" s="74"/>
      <c r="CL39" s="74"/>
      <c r="CM39" s="74"/>
      <c r="CN39" s="74"/>
      <c r="CO39" s="74"/>
      <c r="CP39" s="74"/>
      <c r="CQ39" s="75"/>
      <c r="CR39" s="75"/>
      <c r="CS39" s="75"/>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76"/>
    </row>
    <row r="40" spans="1:121" s="7" customFormat="1" x14ac:dyDescent="0.2">
      <c r="A40" s="82"/>
      <c r="B40" s="83"/>
      <c r="C40" s="76"/>
      <c r="D40" s="84"/>
      <c r="E40" s="83"/>
      <c r="F40" s="83"/>
      <c r="G40" s="83"/>
      <c r="H40" s="83"/>
      <c r="I40" s="83"/>
      <c r="J40" s="83"/>
      <c r="K40" s="83"/>
      <c r="L40" s="83"/>
      <c r="M40" s="83"/>
      <c r="N40" s="83"/>
      <c r="O40" s="83"/>
      <c r="P40" s="69"/>
      <c r="Q40" s="69"/>
      <c r="R40" s="69"/>
      <c r="S40" s="69"/>
      <c r="T40" s="69"/>
      <c r="U40" s="69"/>
      <c r="V40" s="69"/>
      <c r="W40" s="69"/>
      <c r="X40" s="69"/>
      <c r="Y40" s="69"/>
      <c r="Z40" s="69"/>
      <c r="AA40" s="69"/>
      <c r="AB40" s="69"/>
      <c r="AC40" s="69"/>
      <c r="AD40" s="69"/>
      <c r="AE40" s="69"/>
      <c r="AF40" s="69"/>
      <c r="AG40" s="69"/>
      <c r="AH40" s="69"/>
      <c r="AI40" s="69"/>
      <c r="AJ40" s="69"/>
      <c r="AK40" s="69"/>
      <c r="AL40" s="85"/>
      <c r="AM40" s="85"/>
      <c r="AN40" s="79"/>
      <c r="AO40" s="79"/>
      <c r="AP40" s="70"/>
      <c r="AQ40" s="70"/>
      <c r="AR40" s="70"/>
      <c r="AS40" s="70"/>
      <c r="AT40" s="70"/>
      <c r="AU40" s="70"/>
      <c r="AV40" s="70"/>
      <c r="AW40" s="70"/>
      <c r="AX40" s="70"/>
      <c r="AY40" s="70"/>
      <c r="AZ40" s="50"/>
      <c r="BA40" s="78"/>
      <c r="BB40" s="48"/>
      <c r="BC40" s="28"/>
      <c r="BD40" s="39"/>
      <c r="BE40" s="35"/>
      <c r="BF40" s="36"/>
      <c r="BG40" s="37"/>
      <c r="BH40" s="34"/>
      <c r="BI40" s="28"/>
      <c r="BJ40" s="28"/>
      <c r="BK40" s="28"/>
      <c r="BL40" s="28"/>
      <c r="BM40" s="28"/>
      <c r="BN40" s="28"/>
      <c r="BO40" s="28"/>
      <c r="BP40" s="28"/>
      <c r="BQ40" s="28"/>
      <c r="BR40" s="28"/>
      <c r="BS40" s="28"/>
      <c r="BT40" s="28"/>
      <c r="BU40" s="28"/>
      <c r="BV40" s="50"/>
      <c r="BW40" s="73"/>
      <c r="BX40" s="72"/>
      <c r="BY40" s="72"/>
      <c r="BZ40" s="72"/>
      <c r="CA40" s="72"/>
      <c r="CB40" s="26"/>
      <c r="CC40" s="26"/>
      <c r="CD40" s="74"/>
      <c r="CE40" s="74"/>
      <c r="CF40" s="74"/>
      <c r="CG40" s="74"/>
      <c r="CH40" s="74"/>
      <c r="CI40" s="74"/>
      <c r="CJ40" s="74"/>
      <c r="CK40" s="74"/>
      <c r="CL40" s="74"/>
      <c r="CM40" s="74"/>
      <c r="CN40" s="74"/>
      <c r="CO40" s="74"/>
      <c r="CP40" s="74"/>
      <c r="CQ40" s="75"/>
      <c r="CR40" s="75"/>
      <c r="CS40" s="75"/>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76"/>
    </row>
    <row r="41" spans="1:121" s="7" customFormat="1" x14ac:dyDescent="0.2">
      <c r="A41" s="82"/>
      <c r="B41" s="83"/>
      <c r="C41" s="76"/>
      <c r="D41" s="84"/>
      <c r="E41" s="83"/>
      <c r="F41" s="83"/>
      <c r="G41" s="83"/>
      <c r="H41" s="83"/>
      <c r="I41" s="83"/>
      <c r="J41" s="83"/>
      <c r="K41" s="83"/>
      <c r="L41" s="83"/>
      <c r="M41" s="83"/>
      <c r="N41" s="83"/>
      <c r="O41" s="83"/>
      <c r="P41" s="69"/>
      <c r="Q41" s="69"/>
      <c r="R41" s="69"/>
      <c r="S41" s="69"/>
      <c r="T41" s="69"/>
      <c r="U41" s="69"/>
      <c r="V41" s="69"/>
      <c r="W41" s="69"/>
      <c r="X41" s="69"/>
      <c r="Y41" s="69"/>
      <c r="Z41" s="69"/>
      <c r="AA41" s="69"/>
      <c r="AB41" s="69"/>
      <c r="AC41" s="69"/>
      <c r="AD41" s="69"/>
      <c r="AE41" s="69"/>
      <c r="AF41" s="69"/>
      <c r="AG41" s="69"/>
      <c r="AH41" s="69"/>
      <c r="AI41" s="69"/>
      <c r="AJ41" s="69"/>
      <c r="AK41" s="69"/>
      <c r="AL41" s="85"/>
      <c r="AM41" s="85"/>
      <c r="AN41" s="79"/>
      <c r="AO41" s="79"/>
      <c r="AP41" s="70"/>
      <c r="AQ41" s="70"/>
      <c r="AR41" s="70"/>
      <c r="AS41" s="70"/>
      <c r="AT41" s="70"/>
      <c r="AU41" s="70"/>
      <c r="AV41" s="70"/>
      <c r="AW41" s="70"/>
      <c r="AX41" s="70"/>
      <c r="AY41" s="70"/>
      <c r="AZ41" s="50"/>
      <c r="BA41" s="78"/>
      <c r="BB41" s="48"/>
      <c r="BC41" s="28"/>
      <c r="BD41" s="39"/>
      <c r="BE41" s="35"/>
      <c r="BF41" s="36"/>
      <c r="BG41" s="37"/>
      <c r="BH41" s="34"/>
      <c r="BI41" s="28"/>
      <c r="BJ41" s="28"/>
      <c r="BK41" s="28"/>
      <c r="BL41" s="28"/>
      <c r="BM41" s="28"/>
      <c r="BN41" s="28"/>
      <c r="BO41" s="28"/>
      <c r="BP41" s="28"/>
      <c r="BQ41" s="28"/>
      <c r="BR41" s="28"/>
      <c r="BS41" s="28"/>
      <c r="BT41" s="28"/>
      <c r="BU41" s="28"/>
      <c r="BV41" s="50"/>
      <c r="BW41" s="73"/>
      <c r="BX41" s="72"/>
      <c r="BY41" s="72"/>
      <c r="BZ41" s="72"/>
      <c r="CA41" s="72"/>
      <c r="CB41" s="26"/>
      <c r="CC41" s="26"/>
      <c r="CD41" s="74"/>
      <c r="CE41" s="74"/>
      <c r="CF41" s="74"/>
      <c r="CG41" s="74"/>
      <c r="CH41" s="74"/>
      <c r="CI41" s="74"/>
      <c r="CJ41" s="74"/>
      <c r="CK41" s="74"/>
      <c r="CL41" s="74"/>
      <c r="CM41" s="74"/>
      <c r="CN41" s="74"/>
      <c r="CO41" s="74"/>
      <c r="CP41" s="74"/>
      <c r="CQ41" s="75"/>
      <c r="CR41" s="75"/>
      <c r="CS41" s="75"/>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76"/>
    </row>
    <row r="42" spans="1:121" s="7" customFormat="1" x14ac:dyDescent="0.2">
      <c r="A42" s="82"/>
      <c r="B42" s="83"/>
      <c r="C42" s="76"/>
      <c r="D42" s="84"/>
      <c r="E42" s="83"/>
      <c r="F42" s="83"/>
      <c r="G42" s="83"/>
      <c r="H42" s="83"/>
      <c r="I42" s="83"/>
      <c r="J42" s="83"/>
      <c r="K42" s="83"/>
      <c r="L42" s="83"/>
      <c r="M42" s="83"/>
      <c r="N42" s="83"/>
      <c r="O42" s="83"/>
      <c r="P42" s="69"/>
      <c r="Q42" s="69"/>
      <c r="R42" s="69"/>
      <c r="S42" s="69"/>
      <c r="T42" s="69"/>
      <c r="U42" s="69"/>
      <c r="V42" s="69"/>
      <c r="W42" s="69"/>
      <c r="X42" s="69"/>
      <c r="Y42" s="69"/>
      <c r="Z42" s="69"/>
      <c r="AA42" s="69"/>
      <c r="AB42" s="69"/>
      <c r="AC42" s="69"/>
      <c r="AD42" s="69"/>
      <c r="AE42" s="69"/>
      <c r="AF42" s="69"/>
      <c r="AG42" s="69"/>
      <c r="AH42" s="69"/>
      <c r="AI42" s="69"/>
      <c r="AJ42" s="69"/>
      <c r="AK42" s="69"/>
      <c r="AL42" s="85"/>
      <c r="AM42" s="85"/>
      <c r="AN42" s="79"/>
      <c r="AO42" s="79"/>
      <c r="AP42" s="70"/>
      <c r="AQ42" s="70"/>
      <c r="AR42" s="70"/>
      <c r="AS42" s="70"/>
      <c r="AT42" s="70"/>
      <c r="AU42" s="70"/>
      <c r="AV42" s="70"/>
      <c r="AW42" s="70"/>
      <c r="AX42" s="70"/>
      <c r="AY42" s="70"/>
      <c r="AZ42" s="50"/>
      <c r="BA42" s="78"/>
      <c r="BB42" s="48"/>
      <c r="BC42" s="28"/>
      <c r="BD42" s="39"/>
      <c r="BE42" s="35"/>
      <c r="BF42" s="36"/>
      <c r="BG42" s="37"/>
      <c r="BH42" s="34"/>
      <c r="BI42" s="28"/>
      <c r="BJ42" s="28"/>
      <c r="BK42" s="28"/>
      <c r="BL42" s="28"/>
      <c r="BM42" s="28"/>
      <c r="BN42" s="28"/>
      <c r="BO42" s="28"/>
      <c r="BP42" s="28"/>
      <c r="BQ42" s="28"/>
      <c r="BR42" s="28"/>
      <c r="BS42" s="28"/>
      <c r="BT42" s="28"/>
      <c r="BU42" s="28"/>
      <c r="BV42" s="50"/>
      <c r="BW42" s="73"/>
      <c r="BX42" s="72"/>
      <c r="BY42" s="72"/>
      <c r="BZ42" s="72"/>
      <c r="CA42" s="72"/>
      <c r="CB42" s="26"/>
      <c r="CC42" s="26"/>
      <c r="CD42" s="74"/>
      <c r="CE42" s="74"/>
      <c r="CF42" s="74"/>
      <c r="CG42" s="74"/>
      <c r="CH42" s="74"/>
      <c r="CI42" s="74"/>
      <c r="CJ42" s="74"/>
      <c r="CK42" s="74"/>
      <c r="CL42" s="74"/>
      <c r="CM42" s="74"/>
      <c r="CN42" s="74"/>
      <c r="CO42" s="74"/>
      <c r="CP42" s="74"/>
      <c r="CQ42" s="75"/>
      <c r="CR42" s="75"/>
      <c r="CS42" s="75"/>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76"/>
    </row>
    <row r="43" spans="1:121" s="7" customFormat="1" x14ac:dyDescent="0.2">
      <c r="A43" s="82"/>
      <c r="B43" s="83"/>
      <c r="C43" s="76"/>
      <c r="D43" s="84"/>
      <c r="E43" s="83"/>
      <c r="F43" s="83"/>
      <c r="G43" s="83"/>
      <c r="H43" s="83"/>
      <c r="I43" s="83"/>
      <c r="J43" s="83"/>
      <c r="K43" s="83"/>
      <c r="L43" s="83"/>
      <c r="M43" s="83"/>
      <c r="N43" s="83"/>
      <c r="O43" s="83"/>
      <c r="P43" s="69"/>
      <c r="Q43" s="69"/>
      <c r="R43" s="69"/>
      <c r="S43" s="69"/>
      <c r="T43" s="69"/>
      <c r="U43" s="69"/>
      <c r="V43" s="69"/>
      <c r="W43" s="69"/>
      <c r="X43" s="69"/>
      <c r="Y43" s="69"/>
      <c r="Z43" s="69"/>
      <c r="AA43" s="69"/>
      <c r="AB43" s="69"/>
      <c r="AC43" s="69"/>
      <c r="AD43" s="69"/>
      <c r="AE43" s="69"/>
      <c r="AF43" s="69"/>
      <c r="AG43" s="69"/>
      <c r="AH43" s="69"/>
      <c r="AI43" s="69"/>
      <c r="AJ43" s="69"/>
      <c r="AK43" s="69"/>
      <c r="AL43" s="85"/>
      <c r="AM43" s="85"/>
      <c r="AN43" s="79"/>
      <c r="AO43" s="79"/>
      <c r="AP43" s="70"/>
      <c r="AQ43" s="70"/>
      <c r="AR43" s="70"/>
      <c r="AS43" s="70"/>
      <c r="AT43" s="70"/>
      <c r="AU43" s="70"/>
      <c r="AV43" s="70"/>
      <c r="AW43" s="70"/>
      <c r="AX43" s="70"/>
      <c r="AY43" s="70"/>
      <c r="AZ43" s="50"/>
      <c r="BA43" s="78"/>
      <c r="BB43" s="48"/>
      <c r="BC43" s="28"/>
      <c r="BD43" s="39"/>
      <c r="BE43" s="35"/>
      <c r="BF43" s="36"/>
      <c r="BG43" s="37"/>
      <c r="BH43" s="34"/>
      <c r="BI43" s="28"/>
      <c r="BJ43" s="28"/>
      <c r="BK43" s="28"/>
      <c r="BL43" s="28"/>
      <c r="BM43" s="28"/>
      <c r="BN43" s="28"/>
      <c r="BO43" s="28"/>
      <c r="BP43" s="28"/>
      <c r="BQ43" s="28"/>
      <c r="BR43" s="28"/>
      <c r="BS43" s="28"/>
      <c r="BT43" s="28"/>
      <c r="BU43" s="28"/>
      <c r="BV43" s="50"/>
      <c r="BW43" s="73"/>
      <c r="BX43" s="72"/>
      <c r="BY43" s="72"/>
      <c r="BZ43" s="72"/>
      <c r="CA43" s="72"/>
      <c r="CB43" s="26"/>
      <c r="CC43" s="26"/>
      <c r="CD43" s="74"/>
      <c r="CE43" s="74"/>
      <c r="CF43" s="74"/>
      <c r="CG43" s="74"/>
      <c r="CH43" s="74"/>
      <c r="CI43" s="74"/>
      <c r="CJ43" s="74"/>
      <c r="CK43" s="74"/>
      <c r="CL43" s="74"/>
      <c r="CM43" s="74"/>
      <c r="CN43" s="74"/>
      <c r="CO43" s="74"/>
      <c r="CP43" s="74"/>
      <c r="CQ43" s="75"/>
      <c r="CR43" s="75"/>
      <c r="CS43" s="75"/>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76"/>
    </row>
    <row r="44" spans="1:121" s="7" customFormat="1" x14ac:dyDescent="0.2">
      <c r="A44" s="82"/>
      <c r="B44" s="83"/>
      <c r="C44" s="76"/>
      <c r="D44" s="84"/>
      <c r="E44" s="83"/>
      <c r="F44" s="83"/>
      <c r="G44" s="83"/>
      <c r="H44" s="83"/>
      <c r="I44" s="83"/>
      <c r="J44" s="83"/>
      <c r="K44" s="83"/>
      <c r="L44" s="83"/>
      <c r="M44" s="83"/>
      <c r="N44" s="83"/>
      <c r="O44" s="83"/>
      <c r="P44" s="69"/>
      <c r="Q44" s="69"/>
      <c r="R44" s="69"/>
      <c r="S44" s="69"/>
      <c r="T44" s="69"/>
      <c r="U44" s="69"/>
      <c r="V44" s="69"/>
      <c r="W44" s="69"/>
      <c r="X44" s="69"/>
      <c r="Y44" s="69"/>
      <c r="Z44" s="69"/>
      <c r="AA44" s="69"/>
      <c r="AB44" s="69"/>
      <c r="AC44" s="69"/>
      <c r="AD44" s="69"/>
      <c r="AE44" s="69"/>
      <c r="AF44" s="69"/>
      <c r="AG44" s="69"/>
      <c r="AH44" s="69"/>
      <c r="AI44" s="69"/>
      <c r="AJ44" s="69"/>
      <c r="AK44" s="69"/>
      <c r="AL44" s="85"/>
      <c r="AM44" s="85"/>
      <c r="AN44" s="79"/>
      <c r="AO44" s="79"/>
      <c r="AP44" s="70"/>
      <c r="AQ44" s="70"/>
      <c r="AR44" s="70"/>
      <c r="AS44" s="70"/>
      <c r="AT44" s="70"/>
      <c r="AU44" s="70"/>
      <c r="AV44" s="70"/>
      <c r="AW44" s="70"/>
      <c r="AX44" s="70"/>
      <c r="AY44" s="70"/>
      <c r="AZ44" s="50"/>
      <c r="BA44" s="78"/>
      <c r="BB44" s="48"/>
      <c r="BC44" s="28"/>
      <c r="BD44" s="39"/>
      <c r="BE44" s="35"/>
      <c r="BF44" s="36"/>
      <c r="BG44" s="37"/>
      <c r="BH44" s="34"/>
      <c r="BI44" s="28"/>
      <c r="BJ44" s="28"/>
      <c r="BK44" s="28"/>
      <c r="BL44" s="28"/>
      <c r="BM44" s="28"/>
      <c r="BN44" s="28"/>
      <c r="BO44" s="28"/>
      <c r="BP44" s="28"/>
      <c r="BQ44" s="28"/>
      <c r="BR44" s="28"/>
      <c r="BS44" s="28"/>
      <c r="BT44" s="28"/>
      <c r="BU44" s="28"/>
      <c r="BV44" s="50"/>
      <c r="BW44" s="73"/>
      <c r="BX44" s="72"/>
      <c r="BY44" s="72"/>
      <c r="BZ44" s="72"/>
      <c r="CA44" s="72"/>
      <c r="CB44" s="26"/>
      <c r="CC44" s="26"/>
      <c r="CD44" s="74"/>
      <c r="CE44" s="74"/>
      <c r="CF44" s="74"/>
      <c r="CG44" s="74"/>
      <c r="CH44" s="74"/>
      <c r="CI44" s="74"/>
      <c r="CJ44" s="74"/>
      <c r="CK44" s="74"/>
      <c r="CL44" s="74"/>
      <c r="CM44" s="74"/>
      <c r="CN44" s="74"/>
      <c r="CO44" s="74"/>
      <c r="CP44" s="74"/>
      <c r="CQ44" s="75"/>
      <c r="CR44" s="75"/>
      <c r="CS44" s="75"/>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76"/>
    </row>
    <row r="45" spans="1:121" s="7" customFormat="1" x14ac:dyDescent="0.2">
      <c r="A45" s="22"/>
      <c r="B45" s="45"/>
      <c r="C45" s="80"/>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17"/>
      <c r="AJ45" s="17"/>
      <c r="AK45" s="45"/>
      <c r="AL45" s="45"/>
      <c r="AM45" s="45"/>
      <c r="AN45" s="45"/>
      <c r="AO45" s="45"/>
      <c r="AP45" s="70"/>
      <c r="AQ45" s="70"/>
      <c r="AR45" s="70"/>
      <c r="AS45" s="70"/>
      <c r="AT45" s="70"/>
      <c r="AU45" s="70"/>
      <c r="AV45" s="70"/>
      <c r="AW45" s="70"/>
      <c r="AX45" s="70"/>
      <c r="AY45" s="70"/>
      <c r="AZ45" s="50"/>
      <c r="BA45" s="72"/>
      <c r="BB45" s="48"/>
      <c r="BC45" s="28"/>
      <c r="BD45" s="39"/>
      <c r="BE45" s="35"/>
      <c r="BF45" s="36"/>
      <c r="BG45" s="37"/>
      <c r="BH45" s="34"/>
      <c r="BI45" s="28"/>
      <c r="BJ45" s="28"/>
      <c r="BK45" s="28"/>
      <c r="BL45" s="28"/>
      <c r="BM45" s="28"/>
      <c r="BN45" s="28"/>
      <c r="BO45" s="28"/>
      <c r="BP45" s="28"/>
      <c r="BQ45" s="28"/>
      <c r="BR45" s="28"/>
      <c r="BS45" s="28"/>
      <c r="BT45" s="28"/>
      <c r="BU45" s="28"/>
      <c r="BV45" s="50"/>
      <c r="BW45" s="73"/>
      <c r="BX45" s="72"/>
      <c r="BY45" s="72"/>
      <c r="BZ45" s="72"/>
      <c r="CA45" s="72"/>
      <c r="CB45" s="26"/>
      <c r="CC45" s="26"/>
      <c r="CD45" s="74"/>
      <c r="CE45" s="74"/>
      <c r="CF45" s="75"/>
      <c r="CG45" s="75"/>
      <c r="CH45" s="75"/>
      <c r="CI45" s="75"/>
      <c r="CJ45" s="75"/>
      <c r="CK45" s="75"/>
      <c r="CL45" s="75"/>
      <c r="CM45" s="75"/>
      <c r="CN45" s="75"/>
      <c r="CO45" s="75"/>
      <c r="CP45" s="75"/>
      <c r="CQ45" s="75"/>
      <c r="CR45" s="75"/>
      <c r="CS45" s="75"/>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76"/>
    </row>
    <row r="46" spans="1:121" s="7" customFormat="1" ht="108" x14ac:dyDescent="0.2">
      <c r="A46" s="82"/>
      <c r="B46" s="45"/>
      <c r="C46" s="44" t="s">
        <v>4</v>
      </c>
      <c r="D46" s="44" t="s">
        <v>5</v>
      </c>
      <c r="E46" s="44" t="s">
        <v>99</v>
      </c>
      <c r="F46" s="44" t="s">
        <v>100</v>
      </c>
      <c r="G46" s="45"/>
      <c r="H46" s="45"/>
      <c r="I46" s="45"/>
      <c r="J46" s="45"/>
      <c r="K46" s="45"/>
      <c r="L46" s="45"/>
      <c r="M46" s="45"/>
      <c r="N46" s="45"/>
      <c r="O46" s="45"/>
      <c r="P46" s="45"/>
      <c r="Q46" s="45"/>
      <c r="R46" s="86"/>
      <c r="S46" s="86"/>
      <c r="T46" s="86"/>
      <c r="U46" s="45"/>
      <c r="V46" s="45"/>
      <c r="W46" s="45"/>
      <c r="X46" s="45"/>
      <c r="Y46" s="45"/>
      <c r="Z46" s="45"/>
      <c r="AA46" s="45"/>
      <c r="AB46" s="45"/>
      <c r="AC46" s="45"/>
      <c r="AD46" s="45"/>
      <c r="AE46" s="45"/>
      <c r="AF46" s="45"/>
      <c r="AG46" s="45"/>
      <c r="AH46" s="45"/>
      <c r="AI46" s="17"/>
      <c r="AJ46" s="17"/>
      <c r="AK46" s="45"/>
      <c r="AL46" s="45"/>
      <c r="AM46" s="45"/>
      <c r="AN46" s="45"/>
      <c r="AO46" s="45"/>
      <c r="AP46" s="16"/>
      <c r="AQ46" s="16"/>
      <c r="AR46" s="16"/>
      <c r="AS46" s="87"/>
      <c r="AT46" s="17"/>
      <c r="AU46" s="81"/>
      <c r="AV46" s="17"/>
      <c r="AW46" s="71"/>
      <c r="AX46" s="77"/>
      <c r="AY46" s="49"/>
      <c r="AZ46" s="48"/>
      <c r="BA46" s="78"/>
      <c r="BB46" s="48"/>
      <c r="BC46" s="34"/>
      <c r="BD46" s="39"/>
      <c r="BE46" s="35"/>
      <c r="BF46" s="36"/>
      <c r="BG46" s="40"/>
      <c r="BH46" s="34"/>
      <c r="BI46" s="28"/>
      <c r="BJ46" s="28"/>
      <c r="BK46" s="28"/>
      <c r="BL46" s="28"/>
      <c r="BM46" s="28"/>
      <c r="BN46" s="28"/>
      <c r="BO46" s="28"/>
      <c r="BP46" s="28"/>
      <c r="BQ46" s="28"/>
      <c r="BR46" s="28"/>
      <c r="BS46" s="28"/>
      <c r="BT46" s="28"/>
      <c r="BU46" s="28"/>
      <c r="BV46" s="50"/>
      <c r="BW46" s="73"/>
      <c r="BX46" s="72"/>
      <c r="BY46" s="72"/>
      <c r="BZ46" s="72"/>
      <c r="CA46" s="72"/>
      <c r="CB46" s="26"/>
      <c r="CC46" s="26"/>
      <c r="CD46" s="74"/>
      <c r="CE46" s="74"/>
      <c r="CF46" s="74"/>
      <c r="CG46" s="74"/>
      <c r="CH46" s="75"/>
      <c r="CI46" s="75"/>
      <c r="CJ46" s="75"/>
      <c r="CK46" s="75"/>
      <c r="CL46" s="75"/>
      <c r="CM46" s="75"/>
      <c r="CN46" s="75"/>
      <c r="CO46" s="75"/>
      <c r="CP46" s="75"/>
      <c r="CQ46" s="75"/>
      <c r="CR46" s="75"/>
      <c r="CS46" s="75"/>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76"/>
    </row>
    <row r="47" spans="1:121" s="7" customFormat="1" ht="22.5" x14ac:dyDescent="0.2">
      <c r="A47" s="22"/>
      <c r="B47" s="88" t="s">
        <v>98</v>
      </c>
      <c r="C47" s="89" t="s">
        <v>193</v>
      </c>
      <c r="D47" s="89" t="s">
        <v>194</v>
      </c>
      <c r="E47" s="89" t="s">
        <v>195</v>
      </c>
      <c r="F47" s="89" t="s">
        <v>196</v>
      </c>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17"/>
      <c r="AJ47" s="17"/>
      <c r="AK47" s="45"/>
      <c r="AL47" s="45"/>
      <c r="AM47" s="45"/>
      <c r="AN47" s="45"/>
      <c r="AO47" s="45"/>
      <c r="AP47" s="16"/>
      <c r="AQ47" s="16"/>
      <c r="AR47" s="16"/>
      <c r="AS47" s="87"/>
      <c r="AT47" s="17"/>
      <c r="AU47" s="81"/>
      <c r="AV47" s="17"/>
      <c r="AW47" s="71"/>
      <c r="AX47" s="77"/>
      <c r="AY47" s="49"/>
      <c r="AZ47" s="48"/>
      <c r="BA47" s="78"/>
      <c r="BB47" s="48"/>
      <c r="BC47" s="34"/>
      <c r="BD47" s="39"/>
      <c r="BE47" s="35"/>
      <c r="BF47" s="36"/>
      <c r="BG47" s="40"/>
      <c r="BH47" s="34"/>
      <c r="BI47" s="28"/>
      <c r="BJ47" s="28"/>
      <c r="BK47" s="28"/>
      <c r="BL47" s="28"/>
      <c r="BM47" s="28"/>
      <c r="BN47" s="28"/>
      <c r="BO47" s="28"/>
      <c r="BP47" s="28"/>
      <c r="BQ47" s="28"/>
      <c r="BR47" s="28"/>
      <c r="BS47" s="28"/>
      <c r="BT47" s="28"/>
      <c r="BU47" s="28"/>
      <c r="BV47" s="50"/>
      <c r="BW47" s="73"/>
      <c r="BX47" s="72"/>
      <c r="BY47" s="72"/>
      <c r="BZ47" s="72"/>
      <c r="CA47" s="72"/>
      <c r="CB47" s="26"/>
      <c r="CC47" s="26"/>
      <c r="CD47" s="74"/>
      <c r="CE47" s="74"/>
      <c r="CF47" s="74"/>
      <c r="CG47" s="74"/>
      <c r="CH47" s="74"/>
      <c r="CI47" s="74"/>
      <c r="CJ47" s="74"/>
      <c r="CK47" s="74"/>
      <c r="CL47" s="74"/>
      <c r="CM47" s="74"/>
      <c r="CN47" s="74"/>
      <c r="CO47" s="74"/>
      <c r="CP47" s="74"/>
      <c r="CQ47" s="74"/>
      <c r="CR47" s="74"/>
      <c r="CS47" s="74"/>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76"/>
    </row>
    <row r="48" spans="1:121" s="7" customFormat="1" ht="96" x14ac:dyDescent="0.2">
      <c r="A48" s="22"/>
      <c r="B48" s="264" t="s">
        <v>135</v>
      </c>
      <c r="C48" s="264" t="s">
        <v>135</v>
      </c>
      <c r="D48" s="30" t="s">
        <v>141</v>
      </c>
      <c r="E48" s="30" t="s">
        <v>149</v>
      </c>
      <c r="F48" s="264" t="s">
        <v>162</v>
      </c>
      <c r="G48" s="44"/>
      <c r="H48" s="44"/>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17"/>
      <c r="AJ48" s="17"/>
      <c r="AK48" s="45"/>
      <c r="AL48" s="45"/>
      <c r="AM48" s="45"/>
      <c r="AN48" s="45"/>
      <c r="AO48" s="45"/>
      <c r="AP48" s="16"/>
      <c r="AQ48" s="16"/>
      <c r="AR48" s="16"/>
      <c r="AS48" s="87"/>
      <c r="AT48" s="17"/>
      <c r="AU48" s="81"/>
      <c r="AV48" s="17"/>
      <c r="AW48" s="71"/>
      <c r="AX48" s="77"/>
      <c r="AY48" s="49"/>
      <c r="AZ48" s="48"/>
      <c r="BA48" s="78"/>
      <c r="BB48" s="48"/>
      <c r="BC48" s="34"/>
      <c r="BD48" s="39"/>
      <c r="BE48" s="35"/>
      <c r="BF48" s="36"/>
      <c r="BG48" s="40"/>
      <c r="BH48" s="34"/>
      <c r="BI48" s="28"/>
      <c r="BJ48" s="28"/>
      <c r="BK48" s="28"/>
      <c r="BL48" s="28"/>
      <c r="BM48" s="28"/>
      <c r="BN48" s="28"/>
      <c r="BO48" s="28"/>
      <c r="BP48" s="28"/>
      <c r="BQ48" s="28"/>
      <c r="BR48" s="28"/>
      <c r="BS48" s="28"/>
      <c r="BT48" s="28"/>
      <c r="BU48" s="28"/>
      <c r="BV48" s="50"/>
      <c r="BW48" s="73"/>
      <c r="BX48" s="72"/>
      <c r="BY48" s="72"/>
      <c r="BZ48" s="72"/>
      <c r="CA48" s="72"/>
      <c r="CB48" s="26"/>
      <c r="CC48" s="26"/>
      <c r="CD48" s="74"/>
      <c r="CE48" s="74"/>
      <c r="CF48" s="74"/>
      <c r="CG48" s="74"/>
      <c r="CH48" s="74"/>
      <c r="CI48" s="74"/>
      <c r="CJ48" s="74"/>
      <c r="CK48" s="74"/>
      <c r="CL48" s="74"/>
      <c r="CM48" s="75"/>
      <c r="CN48" s="75"/>
      <c r="CO48" s="75"/>
      <c r="CP48" s="75"/>
      <c r="CQ48" s="75"/>
      <c r="CR48" s="75"/>
      <c r="CS48" s="75"/>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76"/>
    </row>
    <row r="49" spans="1:121" s="7" customFormat="1" ht="132" x14ac:dyDescent="0.2">
      <c r="A49" s="22"/>
      <c r="B49" s="264" t="s">
        <v>132</v>
      </c>
      <c r="C49" s="264" t="s">
        <v>132</v>
      </c>
      <c r="D49" s="30" t="s">
        <v>142</v>
      </c>
      <c r="E49" s="264" t="s">
        <v>150</v>
      </c>
      <c r="F49" s="264" t="s">
        <v>156</v>
      </c>
      <c r="G49" s="44"/>
      <c r="H49" s="44"/>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19"/>
      <c r="AJ49" s="19"/>
      <c r="AK49" s="19"/>
      <c r="AL49" s="19"/>
      <c r="AM49" s="45"/>
      <c r="AN49" s="45"/>
      <c r="AO49" s="45"/>
      <c r="AP49" s="16"/>
      <c r="AQ49" s="16"/>
      <c r="AR49" s="78"/>
      <c r="AS49" s="78"/>
      <c r="AT49" s="78"/>
      <c r="AU49" s="78"/>
      <c r="AV49" s="78"/>
      <c r="AW49" s="71"/>
      <c r="AX49" s="78"/>
      <c r="AY49" s="49"/>
      <c r="AZ49" s="78"/>
      <c r="BA49" s="78"/>
      <c r="BB49" s="72"/>
      <c r="BC49" s="26"/>
      <c r="BD49" s="26"/>
      <c r="BE49" s="26"/>
      <c r="BF49" s="26"/>
      <c r="BG49" s="26"/>
      <c r="BH49" s="26"/>
      <c r="BI49" s="26"/>
      <c r="BJ49" s="26"/>
      <c r="BK49" s="26"/>
      <c r="BL49" s="26"/>
      <c r="BM49" s="26"/>
      <c r="BN49" s="26"/>
      <c r="BO49" s="26"/>
      <c r="BP49" s="26"/>
      <c r="BQ49" s="26"/>
      <c r="BR49" s="26"/>
      <c r="BS49" s="26"/>
      <c r="BT49" s="26"/>
      <c r="BU49" s="26"/>
      <c r="BV49" s="26"/>
      <c r="BW49" s="26"/>
      <c r="BX49" s="26"/>
      <c r="BY49" s="72"/>
      <c r="BZ49" s="72"/>
      <c r="CA49" s="72"/>
      <c r="CB49" s="26"/>
      <c r="CC49" s="26"/>
      <c r="CD49" s="74"/>
      <c r="CE49" s="74"/>
      <c r="CF49" s="74"/>
      <c r="CG49" s="74"/>
      <c r="CH49" s="74"/>
      <c r="CI49" s="74"/>
      <c r="CJ49" s="74"/>
      <c r="CK49" s="74"/>
      <c r="CL49" s="74"/>
      <c r="CM49" s="74"/>
      <c r="CN49" s="75"/>
      <c r="CO49" s="75"/>
      <c r="CP49" s="75"/>
      <c r="CQ49" s="75"/>
      <c r="CR49" s="75"/>
      <c r="CS49" s="75"/>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76"/>
    </row>
    <row r="50" spans="1:121" s="7" customFormat="1" ht="144" x14ac:dyDescent="0.2">
      <c r="A50" s="22"/>
      <c r="B50" s="264" t="s">
        <v>140</v>
      </c>
      <c r="C50" s="30" t="s">
        <v>140</v>
      </c>
      <c r="D50" s="30" t="s">
        <v>143</v>
      </c>
      <c r="E50" s="264" t="s">
        <v>151</v>
      </c>
      <c r="F50" s="264" t="s">
        <v>157</v>
      </c>
      <c r="G50" s="44"/>
      <c r="H50" s="44"/>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17"/>
      <c r="AJ50" s="17"/>
      <c r="AK50" s="45"/>
      <c r="AL50" s="45"/>
      <c r="AM50" s="45"/>
      <c r="AN50" s="45"/>
      <c r="AO50" s="45"/>
      <c r="AP50" s="16"/>
      <c r="AQ50" s="16"/>
      <c r="AR50" s="16"/>
      <c r="AS50" s="87"/>
      <c r="AT50" s="17"/>
      <c r="AU50" s="81"/>
      <c r="AV50" s="17"/>
      <c r="AW50" s="71"/>
      <c r="AX50" s="77"/>
      <c r="AY50" s="49"/>
      <c r="AZ50" s="48"/>
      <c r="BA50" s="78"/>
      <c r="BB50" s="48"/>
      <c r="BC50" s="34"/>
      <c r="BD50" s="39"/>
      <c r="BE50" s="35"/>
      <c r="BF50" s="36"/>
      <c r="BG50" s="40"/>
      <c r="BH50" s="34"/>
      <c r="BI50" s="28"/>
      <c r="BJ50" s="28"/>
      <c r="BK50" s="28"/>
      <c r="BL50" s="28"/>
      <c r="BM50" s="28"/>
      <c r="BN50" s="28"/>
      <c r="BO50" s="28"/>
      <c r="BP50" s="28"/>
      <c r="BQ50" s="28"/>
      <c r="BR50" s="28"/>
      <c r="BS50" s="28"/>
      <c r="BT50" s="28"/>
      <c r="BU50" s="28"/>
      <c r="BV50" s="50"/>
      <c r="BW50" s="73"/>
      <c r="BX50" s="72"/>
      <c r="BY50" s="72"/>
      <c r="BZ50" s="72"/>
      <c r="CA50" s="72"/>
      <c r="CB50" s="26"/>
      <c r="CC50" s="26"/>
      <c r="CD50" s="74"/>
      <c r="CE50" s="74"/>
      <c r="CF50" s="74"/>
      <c r="CG50" s="74"/>
      <c r="CH50" s="74"/>
      <c r="CI50" s="74"/>
      <c r="CJ50" s="75"/>
      <c r="CK50" s="75"/>
      <c r="CL50" s="75"/>
      <c r="CM50" s="75"/>
      <c r="CN50" s="75"/>
      <c r="CO50" s="75"/>
      <c r="CP50" s="75"/>
      <c r="CQ50" s="75"/>
      <c r="CR50" s="75"/>
      <c r="CS50" s="75"/>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76"/>
    </row>
    <row r="51" spans="1:121" s="7" customFormat="1" ht="108" x14ac:dyDescent="0.2">
      <c r="A51" s="22"/>
      <c r="B51" s="264" t="s">
        <v>136</v>
      </c>
      <c r="C51" s="30" t="s">
        <v>136</v>
      </c>
      <c r="D51" s="30" t="s">
        <v>144</v>
      </c>
      <c r="E51" s="264" t="s">
        <v>152</v>
      </c>
      <c r="F51" s="264" t="s">
        <v>158</v>
      </c>
      <c r="G51" s="44"/>
      <c r="H51" s="44"/>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17"/>
      <c r="AJ51" s="17"/>
      <c r="AK51" s="45"/>
      <c r="AL51" s="45"/>
      <c r="AM51" s="45"/>
      <c r="AN51" s="45"/>
      <c r="AO51" s="45"/>
      <c r="AP51" s="16"/>
      <c r="AQ51" s="16"/>
      <c r="AR51" s="16"/>
      <c r="AS51" s="87"/>
      <c r="AT51" s="17"/>
      <c r="AU51" s="81"/>
      <c r="AV51" s="17"/>
      <c r="AW51" s="71"/>
      <c r="AX51" s="77"/>
      <c r="AY51" s="49"/>
      <c r="AZ51" s="48"/>
      <c r="BA51" s="78"/>
      <c r="BB51" s="48"/>
      <c r="BC51" s="34"/>
      <c r="BD51" s="39"/>
      <c r="BE51" s="35"/>
      <c r="BF51" s="36"/>
      <c r="BG51" s="40"/>
      <c r="BH51" s="34"/>
      <c r="BI51" s="28"/>
      <c r="BJ51" s="28"/>
      <c r="BK51" s="28"/>
      <c r="BL51" s="28"/>
      <c r="BM51" s="28"/>
      <c r="BN51" s="28"/>
      <c r="BO51" s="28"/>
      <c r="BP51" s="28"/>
      <c r="BQ51" s="28"/>
      <c r="BR51" s="28"/>
      <c r="BS51" s="28"/>
      <c r="BT51" s="28"/>
      <c r="BU51" s="28"/>
      <c r="BV51" s="50"/>
      <c r="BW51" s="73"/>
      <c r="BX51" s="72"/>
      <c r="BY51" s="72"/>
      <c r="BZ51" s="72"/>
      <c r="CA51" s="72"/>
      <c r="CB51" s="26"/>
      <c r="CC51" s="26"/>
      <c r="CD51" s="74"/>
      <c r="CE51" s="74"/>
      <c r="CF51" s="74"/>
      <c r="CG51" s="74"/>
      <c r="CH51" s="74"/>
      <c r="CI51" s="74"/>
      <c r="CJ51" s="74"/>
      <c r="CK51" s="74"/>
      <c r="CL51" s="74"/>
      <c r="CM51" s="74"/>
      <c r="CN51" s="74"/>
      <c r="CO51" s="74"/>
      <c r="CP51" s="74"/>
      <c r="CQ51" s="74"/>
      <c r="CR51" s="74"/>
      <c r="CS51" s="74"/>
      <c r="CT51" s="74"/>
      <c r="CU51" s="18"/>
      <c r="CV51" s="18"/>
      <c r="CW51" s="18"/>
      <c r="CX51" s="18"/>
      <c r="CY51" s="18"/>
      <c r="CZ51" s="18"/>
      <c r="DA51" s="18"/>
      <c r="DB51" s="18"/>
      <c r="DC51" s="18"/>
      <c r="DD51" s="18"/>
      <c r="DE51" s="18"/>
      <c r="DF51" s="18"/>
      <c r="DG51" s="18"/>
      <c r="DH51" s="18"/>
      <c r="DI51" s="18"/>
      <c r="DJ51" s="18"/>
      <c r="DK51" s="18"/>
      <c r="DL51" s="18"/>
      <c r="DM51" s="18"/>
      <c r="DN51" s="18"/>
      <c r="DO51" s="18"/>
      <c r="DP51" s="18"/>
      <c r="DQ51" s="76"/>
    </row>
    <row r="52" spans="1:121" s="7" customFormat="1" ht="96" x14ac:dyDescent="0.2">
      <c r="A52" s="22"/>
      <c r="B52" s="264" t="s">
        <v>131</v>
      </c>
      <c r="C52" s="264" t="s">
        <v>131</v>
      </c>
      <c r="D52" s="30" t="s">
        <v>145</v>
      </c>
      <c r="E52" s="264" t="s">
        <v>153</v>
      </c>
      <c r="F52" s="264" t="s">
        <v>159</v>
      </c>
      <c r="G52" s="44"/>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17"/>
      <c r="AJ52" s="17"/>
      <c r="AK52" s="45"/>
      <c r="AL52" s="45"/>
      <c r="AM52" s="45"/>
      <c r="AN52" s="45"/>
      <c r="AO52" s="45"/>
      <c r="AP52" s="16"/>
      <c r="AQ52" s="16"/>
      <c r="AR52" s="16"/>
      <c r="AS52" s="87"/>
      <c r="AT52" s="17"/>
      <c r="AU52" s="81"/>
      <c r="AV52" s="17"/>
      <c r="AW52" s="71"/>
      <c r="AX52" s="77"/>
      <c r="AY52" s="49"/>
      <c r="AZ52" s="48"/>
      <c r="BA52" s="78"/>
      <c r="BB52" s="48"/>
      <c r="BC52" s="34"/>
      <c r="BD52" s="34"/>
      <c r="BE52" s="35"/>
      <c r="BF52" s="36"/>
      <c r="BG52" s="40"/>
      <c r="BH52" s="34"/>
      <c r="BI52" s="28"/>
      <c r="BJ52" s="28"/>
      <c r="BK52" s="28"/>
      <c r="BL52" s="28"/>
      <c r="BM52" s="28"/>
      <c r="BN52" s="28"/>
      <c r="BO52" s="28"/>
      <c r="BP52" s="28"/>
      <c r="BQ52" s="28"/>
      <c r="BR52" s="28"/>
      <c r="BS52" s="28"/>
      <c r="BT52" s="28"/>
      <c r="BU52" s="28"/>
      <c r="BV52" s="50"/>
      <c r="BW52" s="73"/>
      <c r="BX52" s="72"/>
      <c r="BY52" s="72"/>
      <c r="BZ52" s="72"/>
      <c r="CA52" s="72"/>
      <c r="CB52" s="26"/>
      <c r="CC52" s="26"/>
      <c r="CD52" s="74"/>
      <c r="CE52" s="74"/>
      <c r="CF52" s="74"/>
      <c r="CG52" s="74"/>
      <c r="CH52" s="74"/>
      <c r="CI52" s="74"/>
      <c r="CJ52" s="74"/>
      <c r="CK52" s="74"/>
      <c r="CL52" s="74"/>
      <c r="CM52" s="74"/>
      <c r="CN52" s="75"/>
      <c r="CO52" s="75"/>
      <c r="CP52" s="75"/>
      <c r="CQ52" s="75"/>
      <c r="CR52" s="75"/>
      <c r="CS52" s="75"/>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76"/>
    </row>
    <row r="53" spans="1:121" s="7" customFormat="1" ht="156" x14ac:dyDescent="0.2">
      <c r="A53" s="22"/>
      <c r="B53" s="264" t="s">
        <v>138</v>
      </c>
      <c r="C53" s="30" t="s">
        <v>138</v>
      </c>
      <c r="D53" s="30" t="s">
        <v>146</v>
      </c>
      <c r="E53" s="264" t="s">
        <v>154</v>
      </c>
      <c r="F53" s="264" t="s">
        <v>160</v>
      </c>
      <c r="G53" s="44"/>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17"/>
      <c r="AJ53" s="17"/>
      <c r="AK53" s="45"/>
      <c r="AL53" s="45"/>
      <c r="AM53" s="45"/>
      <c r="AN53" s="45"/>
      <c r="AO53" s="45"/>
      <c r="AP53" s="16"/>
      <c r="AQ53" s="16"/>
      <c r="AR53" s="16"/>
      <c r="AS53" s="87"/>
      <c r="AT53" s="17"/>
      <c r="AU53" s="81"/>
      <c r="AV53" s="17"/>
      <c r="AW53" s="71"/>
      <c r="AX53" s="77"/>
      <c r="AY53" s="49"/>
      <c r="AZ53" s="48"/>
      <c r="BA53" s="78"/>
      <c r="BB53" s="48"/>
      <c r="BC53" s="34"/>
      <c r="BD53" s="39"/>
      <c r="BE53" s="35"/>
      <c r="BF53" s="36"/>
      <c r="BG53" s="40"/>
      <c r="BH53" s="34"/>
      <c r="BI53" s="28"/>
      <c r="BJ53" s="28"/>
      <c r="BK53" s="28"/>
      <c r="BL53" s="28"/>
      <c r="BM53" s="28"/>
      <c r="BN53" s="28"/>
      <c r="BO53" s="28"/>
      <c r="BP53" s="28"/>
      <c r="BQ53" s="28"/>
      <c r="BR53" s="28"/>
      <c r="BS53" s="28"/>
      <c r="BT53" s="28"/>
      <c r="BU53" s="28"/>
      <c r="BV53" s="50"/>
      <c r="BW53" s="73"/>
      <c r="BX53" s="72"/>
      <c r="BY53" s="72"/>
      <c r="BZ53" s="72"/>
      <c r="CA53" s="72"/>
      <c r="CB53" s="26"/>
      <c r="CC53" s="26"/>
      <c r="CD53" s="74"/>
      <c r="CE53" s="74"/>
      <c r="CF53" s="74"/>
      <c r="CG53" s="74"/>
      <c r="CH53" s="74"/>
      <c r="CI53" s="74"/>
      <c r="CJ53" s="74"/>
      <c r="CK53" s="74"/>
      <c r="CL53" s="75"/>
      <c r="CM53" s="75"/>
      <c r="CN53" s="75"/>
      <c r="CO53" s="75"/>
      <c r="CP53" s="75"/>
      <c r="CQ53" s="75"/>
      <c r="CR53" s="75"/>
      <c r="CS53" s="75"/>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76"/>
    </row>
    <row r="54" spans="1:121" s="7" customFormat="1" ht="132" x14ac:dyDescent="0.2">
      <c r="A54" s="22"/>
      <c r="B54" s="264" t="s">
        <v>134</v>
      </c>
      <c r="C54" s="264" t="s">
        <v>134</v>
      </c>
      <c r="D54" s="30" t="s">
        <v>147</v>
      </c>
      <c r="E54" s="264" t="s">
        <v>155</v>
      </c>
      <c r="F54" s="264" t="s">
        <v>161</v>
      </c>
      <c r="G54" s="44"/>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17"/>
      <c r="AJ54" s="17"/>
      <c r="AK54" s="45"/>
      <c r="AL54" s="45"/>
      <c r="AM54" s="45"/>
      <c r="AN54" s="45"/>
      <c r="AO54" s="45"/>
      <c r="AP54" s="16"/>
      <c r="AQ54" s="16"/>
      <c r="AR54" s="16"/>
      <c r="AS54" s="87"/>
      <c r="AT54" s="17"/>
      <c r="AU54" s="81"/>
      <c r="AV54" s="17"/>
      <c r="AW54" s="71"/>
      <c r="AX54" s="77"/>
      <c r="AY54" s="49"/>
      <c r="AZ54" s="48"/>
      <c r="BA54" s="78"/>
      <c r="BB54" s="48"/>
      <c r="BC54" s="34"/>
      <c r="BD54" s="39"/>
      <c r="BE54" s="35"/>
      <c r="BF54" s="36"/>
      <c r="BG54" s="40"/>
      <c r="BH54" s="34"/>
      <c r="BI54" s="28"/>
      <c r="BJ54" s="28"/>
      <c r="BK54" s="28"/>
      <c r="BL54" s="28"/>
      <c r="BM54" s="28"/>
      <c r="BN54" s="28"/>
      <c r="BO54" s="28"/>
      <c r="BP54" s="28"/>
      <c r="BQ54" s="28"/>
      <c r="BR54" s="28"/>
      <c r="BS54" s="28"/>
      <c r="BT54" s="28"/>
      <c r="BU54" s="28"/>
      <c r="BV54" s="50"/>
      <c r="BW54" s="73"/>
      <c r="BX54" s="72"/>
      <c r="BY54" s="72"/>
      <c r="BZ54" s="72"/>
      <c r="CA54" s="72"/>
      <c r="CB54" s="26"/>
      <c r="CC54" s="26"/>
      <c r="CD54" s="74"/>
      <c r="CE54" s="74"/>
      <c r="CF54" s="74"/>
      <c r="CG54" s="74"/>
      <c r="CH54" s="74"/>
      <c r="CI54" s="74"/>
      <c r="CJ54" s="74"/>
      <c r="CK54" s="74"/>
      <c r="CL54" s="74"/>
      <c r="CM54" s="74"/>
      <c r="CN54" s="74"/>
      <c r="CO54" s="74"/>
      <c r="CP54" s="74"/>
      <c r="CQ54" s="75"/>
      <c r="CR54" s="75"/>
      <c r="CS54" s="75"/>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76"/>
    </row>
    <row r="55" spans="1:121" s="7" customFormat="1" ht="96" x14ac:dyDescent="0.2">
      <c r="A55" s="22"/>
      <c r="B55" s="264" t="s">
        <v>137</v>
      </c>
      <c r="C55" s="30" t="s">
        <v>137</v>
      </c>
      <c r="D55" s="30" t="s">
        <v>148</v>
      </c>
      <c r="E55" s="30"/>
      <c r="F55" s="264" t="s">
        <v>163</v>
      </c>
      <c r="G55" s="44"/>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17"/>
      <c r="AJ55" s="17"/>
      <c r="AK55" s="45"/>
      <c r="AL55" s="45"/>
      <c r="AM55" s="45"/>
      <c r="AN55" s="45"/>
      <c r="AO55" s="45"/>
      <c r="AP55" s="16"/>
      <c r="AQ55" s="16"/>
      <c r="AR55" s="16"/>
      <c r="AS55" s="87"/>
      <c r="AT55" s="48"/>
      <c r="AU55" s="90"/>
      <c r="AV55" s="48"/>
      <c r="AW55" s="71"/>
      <c r="AX55" s="71"/>
      <c r="AY55" s="48"/>
      <c r="AZ55" s="48"/>
      <c r="BA55" s="72"/>
      <c r="BB55" s="48"/>
      <c r="BC55" s="34"/>
      <c r="BD55" s="39"/>
      <c r="BE55" s="35"/>
      <c r="BF55" s="36"/>
      <c r="BG55" s="40"/>
      <c r="BH55" s="34"/>
      <c r="BI55" s="28"/>
      <c r="BJ55" s="28"/>
      <c r="BK55" s="28"/>
      <c r="BL55" s="28"/>
      <c r="BM55" s="28"/>
      <c r="BN55" s="28"/>
      <c r="BO55" s="28"/>
      <c r="BP55" s="28"/>
      <c r="BQ55" s="28"/>
      <c r="BR55" s="28"/>
      <c r="BS55" s="28"/>
      <c r="BT55" s="28"/>
      <c r="BU55" s="28"/>
      <c r="BV55" s="50"/>
      <c r="BW55" s="73"/>
      <c r="BX55" s="72"/>
      <c r="BY55" s="72"/>
      <c r="BZ55" s="72"/>
      <c r="CA55" s="72"/>
      <c r="CB55" s="26"/>
      <c r="CC55" s="26"/>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18"/>
      <c r="DO55" s="18"/>
      <c r="DP55" s="18"/>
      <c r="DQ55" s="76"/>
    </row>
    <row r="56" spans="1:121" s="7" customFormat="1" ht="24" x14ac:dyDescent="0.2">
      <c r="A56" s="22"/>
      <c r="B56" s="264" t="s">
        <v>133</v>
      </c>
      <c r="C56" s="264" t="s">
        <v>133</v>
      </c>
      <c r="D56" s="44"/>
      <c r="E56" s="44"/>
      <c r="F56" s="44"/>
      <c r="G56" s="44"/>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17"/>
      <c r="AJ56" s="17"/>
      <c r="AK56" s="45"/>
      <c r="AL56" s="45"/>
      <c r="AM56" s="45"/>
      <c r="AN56" s="45"/>
      <c r="AO56" s="45"/>
      <c r="AP56" s="16"/>
      <c r="AQ56" s="16"/>
      <c r="AR56" s="16"/>
      <c r="AS56" s="91"/>
      <c r="AT56" s="17"/>
      <c r="AU56" s="81"/>
      <c r="AV56" s="17"/>
      <c r="AW56" s="71"/>
      <c r="AX56" s="77"/>
      <c r="AY56" s="49"/>
      <c r="AZ56" s="48"/>
      <c r="BA56" s="78"/>
      <c r="BB56" s="48"/>
      <c r="BC56" s="34"/>
      <c r="BD56" s="39"/>
      <c r="BE56" s="35"/>
      <c r="BF56" s="36"/>
      <c r="BG56" s="40"/>
      <c r="BH56" s="34"/>
      <c r="BI56" s="28"/>
      <c r="BJ56" s="28"/>
      <c r="BK56" s="28"/>
      <c r="BL56" s="28"/>
      <c r="BM56" s="28"/>
      <c r="BN56" s="28"/>
      <c r="BO56" s="28"/>
      <c r="BP56" s="28"/>
      <c r="BQ56" s="28"/>
      <c r="BR56" s="28"/>
      <c r="BS56" s="28"/>
      <c r="BT56" s="28"/>
      <c r="BU56" s="28"/>
      <c r="BV56" s="50"/>
      <c r="BW56" s="73"/>
      <c r="BX56" s="72"/>
      <c r="BY56" s="72"/>
      <c r="BZ56" s="72"/>
      <c r="CA56" s="72"/>
      <c r="CB56" s="26"/>
      <c r="CC56" s="26"/>
      <c r="CD56" s="74"/>
      <c r="CE56" s="74"/>
      <c r="CF56" s="74"/>
      <c r="CG56" s="74"/>
      <c r="CH56" s="74"/>
      <c r="CI56" s="74"/>
      <c r="CJ56" s="74"/>
      <c r="CK56" s="74"/>
      <c r="CL56" s="75"/>
      <c r="CM56" s="75"/>
      <c r="CN56" s="75"/>
      <c r="CO56" s="75"/>
      <c r="CP56" s="75"/>
      <c r="CQ56" s="75"/>
      <c r="CR56" s="75"/>
      <c r="CS56" s="75"/>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76"/>
    </row>
    <row r="57" spans="1:121" s="7" customFormat="1" ht="24" x14ac:dyDescent="0.2">
      <c r="A57" s="22"/>
      <c r="B57" s="264" t="s">
        <v>139</v>
      </c>
      <c r="C57" s="30" t="s">
        <v>139</v>
      </c>
      <c r="D57" s="44"/>
      <c r="E57" s="44"/>
      <c r="F57" s="44"/>
      <c r="G57" s="44"/>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17"/>
      <c r="AJ57" s="17"/>
      <c r="AK57" s="45"/>
      <c r="AL57" s="45"/>
      <c r="AM57" s="45"/>
      <c r="AN57" s="45"/>
      <c r="AO57" s="45"/>
      <c r="AP57" s="16"/>
      <c r="AQ57" s="16"/>
      <c r="AR57" s="16"/>
      <c r="AS57" s="87"/>
      <c r="AT57" s="17"/>
      <c r="AU57" s="81"/>
      <c r="AV57" s="17"/>
      <c r="AW57" s="71"/>
      <c r="AX57" s="77"/>
      <c r="AY57" s="49"/>
      <c r="AZ57" s="48"/>
      <c r="BA57" s="78"/>
      <c r="BB57" s="48"/>
      <c r="BC57" s="34"/>
      <c r="BD57" s="39"/>
      <c r="BE57" s="35"/>
      <c r="BF57" s="36"/>
      <c r="BG57" s="40"/>
      <c r="BH57" s="34"/>
      <c r="BI57" s="28"/>
      <c r="BJ57" s="28"/>
      <c r="BK57" s="28"/>
      <c r="BL57" s="28"/>
      <c r="BM57" s="28"/>
      <c r="BN57" s="28"/>
      <c r="BO57" s="28"/>
      <c r="BP57" s="28"/>
      <c r="BQ57" s="28"/>
      <c r="BR57" s="28"/>
      <c r="BS57" s="28"/>
      <c r="BT57" s="28"/>
      <c r="BU57" s="28"/>
      <c r="BV57" s="50"/>
      <c r="BW57" s="73"/>
      <c r="BX57" s="72"/>
      <c r="BY57" s="72"/>
      <c r="BZ57" s="72"/>
      <c r="CA57" s="72"/>
      <c r="CB57" s="26"/>
      <c r="CC57" s="26"/>
      <c r="CD57" s="74"/>
      <c r="CE57" s="74"/>
      <c r="CF57" s="74"/>
      <c r="CG57" s="74"/>
      <c r="CH57" s="75"/>
      <c r="CI57" s="75"/>
      <c r="CJ57" s="75"/>
      <c r="CK57" s="75"/>
      <c r="CL57" s="75"/>
      <c r="CM57" s="75"/>
      <c r="CN57" s="75"/>
      <c r="CO57" s="75"/>
      <c r="CP57" s="75"/>
      <c r="CQ57" s="75"/>
      <c r="CR57" s="75"/>
      <c r="CS57" s="75"/>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76"/>
    </row>
    <row r="58" spans="1:121" s="7" customFormat="1" ht="24" x14ac:dyDescent="0.2">
      <c r="A58" s="22"/>
      <c r="B58" s="264" t="s">
        <v>141</v>
      </c>
      <c r="C58" s="67"/>
      <c r="D58" s="44"/>
      <c r="E58" s="44"/>
      <c r="F58" s="44"/>
      <c r="G58" s="44"/>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17"/>
      <c r="AJ58" s="17"/>
      <c r="AK58" s="45"/>
      <c r="AL58" s="45"/>
      <c r="AM58" s="45"/>
      <c r="AN58" s="45"/>
      <c r="AO58" s="45"/>
      <c r="AP58" s="16"/>
      <c r="AQ58" s="16"/>
      <c r="AR58" s="16"/>
      <c r="AS58" s="87"/>
      <c r="AT58" s="17"/>
      <c r="AU58" s="81"/>
      <c r="AV58" s="17"/>
      <c r="AW58" s="71"/>
      <c r="AX58" s="77"/>
      <c r="AY58" s="49"/>
      <c r="AZ58" s="48"/>
      <c r="BA58" s="78"/>
      <c r="BB58" s="48"/>
      <c r="BC58" s="34"/>
      <c r="BD58" s="39"/>
      <c r="BE58" s="35"/>
      <c r="BF58" s="36"/>
      <c r="BG58" s="40"/>
      <c r="BH58" s="34"/>
      <c r="BI58" s="28"/>
      <c r="BJ58" s="28"/>
      <c r="BK58" s="28"/>
      <c r="BL58" s="28"/>
      <c r="BM58" s="28"/>
      <c r="BN58" s="28"/>
      <c r="BO58" s="28"/>
      <c r="BP58" s="28"/>
      <c r="BQ58" s="28"/>
      <c r="BR58" s="28"/>
      <c r="BS58" s="28"/>
      <c r="BT58" s="28"/>
      <c r="BU58" s="28"/>
      <c r="BV58" s="50"/>
      <c r="BW58" s="73"/>
      <c r="BX58" s="72"/>
      <c r="BY58" s="72"/>
      <c r="BZ58" s="72"/>
      <c r="CA58" s="72"/>
      <c r="CB58" s="26"/>
      <c r="CC58" s="26"/>
      <c r="CD58" s="74"/>
      <c r="CE58" s="74"/>
      <c r="CF58" s="74"/>
      <c r="CG58" s="74"/>
      <c r="CH58" s="74"/>
      <c r="CI58" s="74"/>
      <c r="CJ58" s="74"/>
      <c r="CK58" s="75"/>
      <c r="CL58" s="75"/>
      <c r="CM58" s="75"/>
      <c r="CN58" s="75"/>
      <c r="CO58" s="75"/>
      <c r="CP58" s="75"/>
      <c r="CQ58" s="75"/>
      <c r="CR58" s="75"/>
      <c r="CS58" s="75"/>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76"/>
    </row>
    <row r="59" spans="1:121" s="7" customFormat="1" ht="24" x14ac:dyDescent="0.2">
      <c r="A59" s="22"/>
      <c r="B59" s="264" t="s">
        <v>142</v>
      </c>
      <c r="C59" s="67"/>
      <c r="D59" s="44"/>
      <c r="E59" s="44"/>
      <c r="F59" s="44"/>
      <c r="G59" s="44"/>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17"/>
      <c r="AJ59" s="17"/>
      <c r="AK59" s="45"/>
      <c r="AL59" s="45"/>
      <c r="AM59" s="45"/>
      <c r="AN59" s="45"/>
      <c r="AO59" s="45"/>
      <c r="AP59" s="16"/>
      <c r="AQ59" s="16"/>
      <c r="AR59" s="16"/>
      <c r="AS59" s="87"/>
      <c r="AT59" s="17"/>
      <c r="AU59" s="81"/>
      <c r="AV59" s="17"/>
      <c r="AW59" s="71"/>
      <c r="AX59" s="77"/>
      <c r="AY59" s="49"/>
      <c r="AZ59" s="48"/>
      <c r="BA59" s="78"/>
      <c r="BB59" s="48"/>
      <c r="BC59" s="34"/>
      <c r="BD59" s="34"/>
      <c r="BE59" s="35"/>
      <c r="BF59" s="36"/>
      <c r="BG59" s="40"/>
      <c r="BH59" s="34"/>
      <c r="BI59" s="28"/>
      <c r="BJ59" s="28"/>
      <c r="BK59" s="28"/>
      <c r="BL59" s="28"/>
      <c r="BM59" s="28"/>
      <c r="BN59" s="28"/>
      <c r="BO59" s="28"/>
      <c r="BP59" s="28"/>
      <c r="BQ59" s="28"/>
      <c r="BR59" s="28"/>
      <c r="BS59" s="28"/>
      <c r="BT59" s="28"/>
      <c r="BU59" s="28"/>
      <c r="BV59" s="50"/>
      <c r="BW59" s="73"/>
      <c r="BX59" s="72"/>
      <c r="BY59" s="72"/>
      <c r="BZ59" s="72"/>
      <c r="CA59" s="72"/>
      <c r="CB59" s="26"/>
      <c r="CC59" s="26"/>
      <c r="CD59" s="74"/>
      <c r="CE59" s="74"/>
      <c r="CF59" s="74"/>
      <c r="CG59" s="74"/>
      <c r="CH59" s="74"/>
      <c r="CI59" s="74"/>
      <c r="CJ59" s="74"/>
      <c r="CK59" s="75"/>
      <c r="CL59" s="75"/>
      <c r="CM59" s="75"/>
      <c r="CN59" s="75"/>
      <c r="CO59" s="75"/>
      <c r="CP59" s="75"/>
      <c r="CQ59" s="75"/>
      <c r="CR59" s="75"/>
      <c r="CS59" s="75"/>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76"/>
    </row>
    <row r="60" spans="1:121" s="7" customFormat="1" ht="36" x14ac:dyDescent="0.2">
      <c r="A60" s="22"/>
      <c r="B60" s="264" t="s">
        <v>143</v>
      </c>
      <c r="C60" s="67"/>
      <c r="D60" s="44"/>
      <c r="E60" s="44"/>
      <c r="F60" s="44"/>
      <c r="G60" s="44"/>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17"/>
      <c r="AJ60" s="17"/>
      <c r="AK60" s="45"/>
      <c r="AL60" s="45"/>
      <c r="AM60" s="45"/>
      <c r="AN60" s="45"/>
      <c r="AO60" s="45"/>
      <c r="AP60" s="16"/>
      <c r="AQ60" s="16"/>
      <c r="AR60" s="16"/>
      <c r="AS60" s="87"/>
      <c r="AT60" s="17"/>
      <c r="AU60" s="81"/>
      <c r="AV60" s="17"/>
      <c r="AW60" s="71"/>
      <c r="AX60" s="77"/>
      <c r="AY60" s="49"/>
      <c r="AZ60" s="48"/>
      <c r="BA60" s="78"/>
      <c r="BB60" s="48"/>
      <c r="BC60" s="34"/>
      <c r="BD60" s="39"/>
      <c r="BE60" s="35"/>
      <c r="BF60" s="36"/>
      <c r="BG60" s="40"/>
      <c r="BH60" s="34"/>
      <c r="BI60" s="28"/>
      <c r="BJ60" s="28"/>
      <c r="BK60" s="28"/>
      <c r="BL60" s="28"/>
      <c r="BM60" s="28"/>
      <c r="BN60" s="28"/>
      <c r="BO60" s="28"/>
      <c r="BP60" s="28"/>
      <c r="BQ60" s="28"/>
      <c r="BR60" s="28"/>
      <c r="BS60" s="28"/>
      <c r="BT60" s="28"/>
      <c r="BU60" s="28"/>
      <c r="BV60" s="50"/>
      <c r="BW60" s="73"/>
      <c r="BX60" s="72"/>
      <c r="BY60" s="72"/>
      <c r="BZ60" s="72"/>
      <c r="CA60" s="72"/>
      <c r="CB60" s="26"/>
      <c r="CC60" s="26"/>
      <c r="CD60" s="74"/>
      <c r="CE60" s="74"/>
      <c r="CF60" s="74"/>
      <c r="CG60" s="75"/>
      <c r="CH60" s="75"/>
      <c r="CI60" s="75"/>
      <c r="CJ60" s="75"/>
      <c r="CK60" s="75"/>
      <c r="CL60" s="75"/>
      <c r="CM60" s="75"/>
      <c r="CN60" s="75"/>
      <c r="CO60" s="75"/>
      <c r="CP60" s="75"/>
      <c r="CQ60" s="75"/>
      <c r="CR60" s="75"/>
      <c r="CS60" s="75"/>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76"/>
    </row>
    <row r="61" spans="1:121" s="7" customFormat="1" ht="24" x14ac:dyDescent="0.2">
      <c r="A61" s="22"/>
      <c r="B61" s="264" t="s">
        <v>144</v>
      </c>
      <c r="C61" s="80"/>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17"/>
      <c r="AJ61" s="17"/>
      <c r="AK61" s="45"/>
      <c r="AL61" s="45"/>
      <c r="AM61" s="45"/>
      <c r="AN61" s="45"/>
      <c r="AO61" s="45"/>
      <c r="AP61" s="16"/>
      <c r="AQ61" s="16"/>
      <c r="AR61" s="16"/>
      <c r="AS61" s="87"/>
      <c r="AT61" s="87"/>
      <c r="AU61" s="81"/>
      <c r="AV61" s="17"/>
      <c r="AW61" s="71"/>
      <c r="AX61" s="77"/>
      <c r="AY61" s="49"/>
      <c r="AZ61" s="48"/>
      <c r="BA61" s="78"/>
      <c r="BB61" s="48"/>
      <c r="BC61" s="34"/>
      <c r="BD61" s="39"/>
      <c r="BE61" s="35"/>
      <c r="BF61" s="36"/>
      <c r="BG61" s="40"/>
      <c r="BH61" s="34"/>
      <c r="BI61" s="28"/>
      <c r="BJ61" s="28"/>
      <c r="BK61" s="28"/>
      <c r="BL61" s="28"/>
      <c r="BM61" s="28"/>
      <c r="BN61" s="28"/>
      <c r="BO61" s="28"/>
      <c r="BP61" s="28"/>
      <c r="BQ61" s="28"/>
      <c r="BR61" s="28"/>
      <c r="BS61" s="28"/>
      <c r="BT61" s="28"/>
      <c r="BU61" s="28"/>
      <c r="BV61" s="50"/>
      <c r="BW61" s="73"/>
      <c r="BX61" s="72"/>
      <c r="BY61" s="72"/>
      <c r="BZ61" s="72"/>
      <c r="CA61" s="72"/>
      <c r="CB61" s="26"/>
      <c r="CC61" s="26"/>
      <c r="CD61" s="74"/>
      <c r="CE61" s="74"/>
      <c r="CF61" s="74"/>
      <c r="CG61" s="74"/>
      <c r="CH61" s="74"/>
      <c r="CI61" s="74"/>
      <c r="CJ61" s="74"/>
      <c r="CK61" s="74"/>
      <c r="CL61" s="74"/>
      <c r="CM61" s="74"/>
      <c r="CN61" s="74"/>
      <c r="CO61" s="74"/>
      <c r="CP61" s="74"/>
      <c r="CQ61" s="74"/>
      <c r="CR61" s="74"/>
      <c r="CS61" s="74"/>
      <c r="CT61" s="74"/>
      <c r="CU61" s="74"/>
      <c r="CV61" s="18"/>
      <c r="CW61" s="18"/>
      <c r="CX61" s="18"/>
      <c r="CY61" s="18"/>
      <c r="CZ61" s="18"/>
      <c r="DA61" s="18"/>
      <c r="DB61" s="18"/>
      <c r="DC61" s="18"/>
      <c r="DD61" s="18"/>
      <c r="DE61" s="18"/>
      <c r="DF61" s="18"/>
      <c r="DG61" s="18"/>
      <c r="DH61" s="18"/>
      <c r="DI61" s="18"/>
      <c r="DJ61" s="18"/>
      <c r="DK61" s="18"/>
      <c r="DL61" s="18"/>
      <c r="DM61" s="18"/>
      <c r="DN61" s="18"/>
      <c r="DO61" s="18"/>
      <c r="DP61" s="18"/>
      <c r="DQ61" s="76"/>
    </row>
    <row r="62" spans="1:121" s="7" customFormat="1" ht="12" x14ac:dyDescent="0.2">
      <c r="A62" s="22"/>
      <c r="B62" s="264" t="s">
        <v>145</v>
      </c>
      <c r="C62" s="80"/>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17"/>
      <c r="AJ62" s="17"/>
      <c r="AK62" s="45"/>
      <c r="AL62" s="45"/>
      <c r="AM62" s="45"/>
      <c r="AN62" s="45"/>
      <c r="AO62" s="45"/>
      <c r="AP62" s="16"/>
      <c r="AQ62" s="16"/>
      <c r="AR62" s="16"/>
      <c r="AS62" s="87"/>
      <c r="AT62" s="17"/>
      <c r="AU62" s="81"/>
      <c r="AV62" s="17"/>
      <c r="AW62" s="71"/>
      <c r="AX62" s="77"/>
      <c r="AY62" s="49"/>
      <c r="AZ62" s="48"/>
      <c r="BA62" s="78"/>
      <c r="BB62" s="48"/>
      <c r="BC62" s="34"/>
      <c r="BD62" s="39"/>
      <c r="BE62" s="35"/>
      <c r="BF62" s="36"/>
      <c r="BG62" s="40"/>
      <c r="BH62" s="34"/>
      <c r="BI62" s="28"/>
      <c r="BJ62" s="28"/>
      <c r="BK62" s="28"/>
      <c r="BL62" s="28"/>
      <c r="BM62" s="28"/>
      <c r="BN62" s="28"/>
      <c r="BO62" s="28"/>
      <c r="BP62" s="28"/>
      <c r="BQ62" s="28"/>
      <c r="BR62" s="28"/>
      <c r="BS62" s="28"/>
      <c r="BT62" s="28"/>
      <c r="BU62" s="28"/>
      <c r="BV62" s="50"/>
      <c r="BW62" s="73"/>
      <c r="BX62" s="72"/>
      <c r="BY62" s="72"/>
      <c r="BZ62" s="72"/>
      <c r="CA62" s="72"/>
      <c r="CB62" s="26"/>
      <c r="CC62" s="26"/>
      <c r="CD62" s="74"/>
      <c r="CE62" s="74"/>
      <c r="CF62" s="75"/>
      <c r="CG62" s="75"/>
      <c r="CH62" s="75"/>
      <c r="CI62" s="75"/>
      <c r="CJ62" s="75"/>
      <c r="CK62" s="75"/>
      <c r="CL62" s="75"/>
      <c r="CM62" s="75"/>
      <c r="CN62" s="75"/>
      <c r="CO62" s="75"/>
      <c r="CP62" s="75"/>
      <c r="CQ62" s="75"/>
      <c r="CR62" s="75"/>
      <c r="CS62" s="75"/>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76"/>
    </row>
    <row r="63" spans="1:121" s="7" customFormat="1" ht="24" x14ac:dyDescent="0.2">
      <c r="A63" s="22"/>
      <c r="B63" s="264" t="s">
        <v>146</v>
      </c>
      <c r="C63" s="80"/>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17"/>
      <c r="AJ63" s="17"/>
      <c r="AK63" s="45"/>
      <c r="AL63" s="45"/>
      <c r="AM63" s="45"/>
      <c r="AN63" s="45"/>
      <c r="AO63" s="45"/>
      <c r="AP63" s="16"/>
      <c r="AQ63" s="16"/>
      <c r="AR63" s="16"/>
      <c r="AS63" s="87"/>
      <c r="AT63" s="17"/>
      <c r="AU63" s="81"/>
      <c r="AV63" s="17"/>
      <c r="AW63" s="71"/>
      <c r="AX63" s="77"/>
      <c r="AY63" s="49"/>
      <c r="AZ63" s="48"/>
      <c r="BA63" s="78"/>
      <c r="BB63" s="48"/>
      <c r="BC63" s="34"/>
      <c r="BD63" s="39"/>
      <c r="BE63" s="35"/>
      <c r="BF63" s="36"/>
      <c r="BG63" s="40"/>
      <c r="BH63" s="34"/>
      <c r="BI63" s="28"/>
      <c r="BJ63" s="28"/>
      <c r="BK63" s="28"/>
      <c r="BL63" s="28"/>
      <c r="BM63" s="28"/>
      <c r="BN63" s="28"/>
      <c r="BO63" s="28"/>
      <c r="BP63" s="28"/>
      <c r="BQ63" s="28"/>
      <c r="BR63" s="28"/>
      <c r="BS63" s="28"/>
      <c r="BT63" s="28"/>
      <c r="BU63" s="28"/>
      <c r="BV63" s="50"/>
      <c r="BW63" s="73"/>
      <c r="BX63" s="72"/>
      <c r="BY63" s="72"/>
      <c r="BZ63" s="72"/>
      <c r="CA63" s="72"/>
      <c r="CB63" s="26"/>
      <c r="CC63" s="26"/>
      <c r="CD63" s="74"/>
      <c r="CE63" s="74"/>
      <c r="CF63" s="74"/>
      <c r="CG63" s="74"/>
      <c r="CH63" s="74"/>
      <c r="CI63" s="74"/>
      <c r="CJ63" s="75"/>
      <c r="CK63" s="75"/>
      <c r="CL63" s="75"/>
      <c r="CM63" s="75"/>
      <c r="CN63" s="75"/>
      <c r="CO63" s="75"/>
      <c r="CP63" s="75"/>
      <c r="CQ63" s="75"/>
      <c r="CR63" s="75"/>
      <c r="CS63" s="75"/>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76"/>
    </row>
    <row r="64" spans="1:121" s="7" customFormat="1" ht="24" x14ac:dyDescent="0.2">
      <c r="A64" s="22"/>
      <c r="B64" s="264" t="s">
        <v>147</v>
      </c>
      <c r="C64" s="80"/>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17"/>
      <c r="AJ64" s="17"/>
      <c r="AK64" s="45"/>
      <c r="AL64" s="45"/>
      <c r="AM64" s="45"/>
      <c r="AN64" s="45"/>
      <c r="AO64" s="45"/>
      <c r="AP64" s="16"/>
      <c r="AQ64" s="16"/>
      <c r="AR64" s="16"/>
      <c r="AS64" s="87"/>
      <c r="AT64" s="17"/>
      <c r="AU64" s="81"/>
      <c r="AV64" s="17"/>
      <c r="AW64" s="71"/>
      <c r="AX64" s="77"/>
      <c r="AY64" s="49"/>
      <c r="AZ64" s="48"/>
      <c r="BA64" s="78"/>
      <c r="BB64" s="48"/>
      <c r="BC64" s="34"/>
      <c r="BD64" s="39"/>
      <c r="BE64" s="35"/>
      <c r="BF64" s="36"/>
      <c r="BG64" s="37"/>
      <c r="BH64" s="34"/>
      <c r="BI64" s="28"/>
      <c r="BJ64" s="28"/>
      <c r="BK64" s="28"/>
      <c r="BL64" s="28"/>
      <c r="BM64" s="28"/>
      <c r="BN64" s="28"/>
      <c r="BO64" s="28"/>
      <c r="BP64" s="28"/>
      <c r="BQ64" s="28"/>
      <c r="BR64" s="28"/>
      <c r="BS64" s="28"/>
      <c r="BT64" s="28"/>
      <c r="BU64" s="28"/>
      <c r="BV64" s="50"/>
      <c r="BW64" s="73"/>
      <c r="BX64" s="72"/>
      <c r="BY64" s="72"/>
      <c r="BZ64" s="72"/>
      <c r="CA64" s="72"/>
      <c r="CB64" s="26"/>
      <c r="CC64" s="26"/>
      <c r="CD64" s="74"/>
      <c r="CE64" s="74"/>
      <c r="CF64" s="74"/>
      <c r="CG64" s="74"/>
      <c r="CH64" s="74"/>
      <c r="CI64" s="74"/>
      <c r="CJ64" s="74"/>
      <c r="CK64" s="74"/>
      <c r="CL64" s="75"/>
      <c r="CM64" s="75"/>
      <c r="CN64" s="75"/>
      <c r="CO64" s="75"/>
      <c r="CP64" s="75"/>
      <c r="CQ64" s="75"/>
      <c r="CR64" s="75"/>
      <c r="CS64" s="75"/>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76"/>
    </row>
    <row r="65" spans="1:121" s="7" customFormat="1" ht="24" x14ac:dyDescent="0.2">
      <c r="A65" s="22"/>
      <c r="B65" s="264" t="s">
        <v>148</v>
      </c>
      <c r="C65" s="80"/>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17"/>
      <c r="AJ65" s="17"/>
      <c r="AK65" s="45"/>
      <c r="AL65" s="45"/>
      <c r="AM65" s="45"/>
      <c r="AN65" s="45"/>
      <c r="AO65" s="45"/>
      <c r="AP65" s="16"/>
      <c r="AQ65" s="16"/>
      <c r="AR65" s="16"/>
      <c r="AS65" s="87"/>
      <c r="AT65" s="17"/>
      <c r="AU65" s="81"/>
      <c r="AV65" s="17"/>
      <c r="AW65" s="71"/>
      <c r="AX65" s="77"/>
      <c r="AY65" s="49"/>
      <c r="AZ65" s="48"/>
      <c r="BA65" s="78"/>
      <c r="BB65" s="48"/>
      <c r="BC65" s="34"/>
      <c r="BD65" s="39"/>
      <c r="BE65" s="35"/>
      <c r="BF65" s="36"/>
      <c r="BG65" s="40"/>
      <c r="BH65" s="34"/>
      <c r="BI65" s="28"/>
      <c r="BJ65" s="28"/>
      <c r="BK65" s="28"/>
      <c r="BL65" s="28"/>
      <c r="BM65" s="28"/>
      <c r="BN65" s="28"/>
      <c r="BO65" s="28"/>
      <c r="BP65" s="28"/>
      <c r="BQ65" s="28"/>
      <c r="BR65" s="28"/>
      <c r="BS65" s="28"/>
      <c r="BT65" s="28"/>
      <c r="BU65" s="28"/>
      <c r="BV65" s="50"/>
      <c r="BW65" s="73"/>
      <c r="BX65" s="72"/>
      <c r="BY65" s="72"/>
      <c r="BZ65" s="72"/>
      <c r="CA65" s="72"/>
      <c r="CB65" s="26"/>
      <c r="CC65" s="26"/>
      <c r="CD65" s="74"/>
      <c r="CE65" s="74"/>
      <c r="CF65" s="74"/>
      <c r="CG65" s="74"/>
      <c r="CH65" s="74"/>
      <c r="CI65" s="74"/>
      <c r="CJ65" s="74"/>
      <c r="CK65" s="74"/>
      <c r="CL65" s="75"/>
      <c r="CM65" s="75"/>
      <c r="CN65" s="75"/>
      <c r="CO65" s="75"/>
      <c r="CP65" s="75"/>
      <c r="CQ65" s="75"/>
      <c r="CR65" s="75"/>
      <c r="CS65" s="75"/>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76"/>
    </row>
    <row r="66" spans="1:121" s="7" customFormat="1" ht="24" x14ac:dyDescent="0.2">
      <c r="A66" s="22"/>
      <c r="B66" s="264" t="s">
        <v>149</v>
      </c>
      <c r="C66" s="80"/>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17"/>
      <c r="AJ66" s="17"/>
      <c r="AK66" s="45"/>
      <c r="AL66" s="45"/>
      <c r="AM66" s="45"/>
      <c r="AN66" s="45"/>
      <c r="AO66" s="45"/>
      <c r="AP66" s="16"/>
      <c r="AQ66" s="16"/>
      <c r="AR66" s="16"/>
      <c r="AS66" s="87"/>
      <c r="AT66" s="17"/>
      <c r="AU66" s="81"/>
      <c r="AV66" s="17"/>
      <c r="AW66" s="71"/>
      <c r="AX66" s="77"/>
      <c r="AY66" s="49"/>
      <c r="AZ66" s="48"/>
      <c r="BA66" s="78"/>
      <c r="BB66" s="48"/>
      <c r="BC66" s="34"/>
      <c r="BD66" s="39"/>
      <c r="BE66" s="35"/>
      <c r="BF66" s="36"/>
      <c r="BG66" s="40"/>
      <c r="BH66" s="34"/>
      <c r="BI66" s="28"/>
      <c r="BJ66" s="28"/>
      <c r="BK66" s="28"/>
      <c r="BL66" s="28"/>
      <c r="BM66" s="28"/>
      <c r="BN66" s="28"/>
      <c r="BO66" s="28"/>
      <c r="BP66" s="28"/>
      <c r="BQ66" s="28"/>
      <c r="BR66" s="28"/>
      <c r="BS66" s="28"/>
      <c r="BT66" s="28"/>
      <c r="BU66" s="28"/>
      <c r="BV66" s="50"/>
      <c r="BW66" s="73"/>
      <c r="BX66" s="72"/>
      <c r="BY66" s="72"/>
      <c r="BZ66" s="72"/>
      <c r="CA66" s="72"/>
      <c r="CB66" s="26"/>
      <c r="CC66" s="26"/>
      <c r="CD66" s="74"/>
      <c r="CE66" s="74"/>
      <c r="CF66" s="74"/>
      <c r="CG66" s="74"/>
      <c r="CH66" s="75"/>
      <c r="CI66" s="75"/>
      <c r="CJ66" s="75"/>
      <c r="CK66" s="75"/>
      <c r="CL66" s="75"/>
      <c r="CM66" s="75"/>
      <c r="CN66" s="75"/>
      <c r="CO66" s="75"/>
      <c r="CP66" s="75"/>
      <c r="CQ66" s="75"/>
      <c r="CR66" s="75"/>
      <c r="CS66" s="75"/>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76"/>
    </row>
    <row r="67" spans="1:121" s="7" customFormat="1" ht="24" x14ac:dyDescent="0.2">
      <c r="A67" s="22"/>
      <c r="B67" s="264" t="s">
        <v>150</v>
      </c>
      <c r="C67" s="80"/>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17"/>
      <c r="AJ67" s="17"/>
      <c r="AK67" s="45"/>
      <c r="AL67" s="45"/>
      <c r="AM67" s="45"/>
      <c r="AN67" s="45"/>
      <c r="AO67" s="45"/>
      <c r="AP67" s="16"/>
      <c r="AQ67" s="16"/>
      <c r="AR67" s="16"/>
      <c r="AS67" s="87"/>
      <c r="AT67" s="17"/>
      <c r="AU67" s="81"/>
      <c r="AV67" s="17"/>
      <c r="AW67" s="71"/>
      <c r="AX67" s="77"/>
      <c r="AY67" s="49"/>
      <c r="AZ67" s="48"/>
      <c r="BA67" s="78"/>
      <c r="BB67" s="48"/>
      <c r="BC67" s="34"/>
      <c r="BD67" s="39"/>
      <c r="BE67" s="35"/>
      <c r="BF67" s="36"/>
      <c r="BG67" s="40"/>
      <c r="BH67" s="34"/>
      <c r="BI67" s="28"/>
      <c r="BJ67" s="28"/>
      <c r="BK67" s="28"/>
      <c r="BL67" s="28"/>
      <c r="BM67" s="28"/>
      <c r="BN67" s="28"/>
      <c r="BO67" s="28"/>
      <c r="BP67" s="28"/>
      <c r="BQ67" s="28"/>
      <c r="BR67" s="28"/>
      <c r="BS67" s="28"/>
      <c r="BT67" s="28"/>
      <c r="BU67" s="28"/>
      <c r="BV67" s="50"/>
      <c r="BW67" s="73"/>
      <c r="BX67" s="72"/>
      <c r="BY67" s="72"/>
      <c r="BZ67" s="72"/>
      <c r="CA67" s="72"/>
      <c r="CB67" s="26"/>
      <c r="CC67" s="26"/>
      <c r="CD67" s="74"/>
      <c r="CE67" s="74"/>
      <c r="CF67" s="74"/>
      <c r="CG67" s="74"/>
      <c r="CH67" s="74"/>
      <c r="CI67" s="74"/>
      <c r="CJ67" s="74"/>
      <c r="CK67" s="74"/>
      <c r="CL67" s="74"/>
      <c r="CM67" s="74"/>
      <c r="CN67" s="75"/>
      <c r="CO67" s="75"/>
      <c r="CP67" s="75"/>
      <c r="CQ67" s="75"/>
      <c r="CR67" s="75"/>
      <c r="CS67" s="75"/>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76"/>
    </row>
    <row r="68" spans="1:121" s="7" customFormat="1" ht="24" x14ac:dyDescent="0.2">
      <c r="A68" s="22"/>
      <c r="B68" s="264" t="s">
        <v>151</v>
      </c>
      <c r="C68" s="80"/>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17"/>
      <c r="AJ68" s="17"/>
      <c r="AK68" s="45"/>
      <c r="AL68" s="45"/>
      <c r="AM68" s="45"/>
      <c r="AN68" s="45"/>
      <c r="AO68" s="45"/>
      <c r="AP68" s="16"/>
      <c r="AQ68" s="16"/>
      <c r="AR68" s="16"/>
      <c r="AS68" s="87"/>
      <c r="AT68" s="17"/>
      <c r="AU68" s="81"/>
      <c r="AV68" s="17"/>
      <c r="AW68" s="71"/>
      <c r="AX68" s="77"/>
      <c r="AY68" s="49"/>
      <c r="AZ68" s="48"/>
      <c r="BA68" s="78"/>
      <c r="BB68" s="48"/>
      <c r="BC68" s="34"/>
      <c r="BD68" s="39"/>
      <c r="BE68" s="35"/>
      <c r="BF68" s="36"/>
      <c r="BG68" s="37"/>
      <c r="BH68" s="34"/>
      <c r="BI68" s="28"/>
      <c r="BJ68" s="28"/>
      <c r="BK68" s="28"/>
      <c r="BL68" s="28"/>
      <c r="BM68" s="28"/>
      <c r="BN68" s="28"/>
      <c r="BO68" s="28"/>
      <c r="BP68" s="28"/>
      <c r="BQ68" s="28"/>
      <c r="BR68" s="28"/>
      <c r="BS68" s="28"/>
      <c r="BT68" s="28"/>
      <c r="BU68" s="28"/>
      <c r="BV68" s="50"/>
      <c r="BW68" s="73"/>
      <c r="BX68" s="72"/>
      <c r="BY68" s="72"/>
      <c r="BZ68" s="72"/>
      <c r="CA68" s="72"/>
      <c r="CB68" s="26"/>
      <c r="CC68" s="26"/>
      <c r="CD68" s="74"/>
      <c r="CE68" s="74"/>
      <c r="CF68" s="74"/>
      <c r="CG68" s="74"/>
      <c r="CH68" s="74"/>
      <c r="CI68" s="74"/>
      <c r="CJ68" s="74"/>
      <c r="CK68" s="74"/>
      <c r="CL68" s="74"/>
      <c r="CM68" s="74"/>
      <c r="CN68" s="74"/>
      <c r="CO68" s="75"/>
      <c r="CP68" s="75"/>
      <c r="CQ68" s="75"/>
      <c r="CR68" s="75"/>
      <c r="CS68" s="75"/>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76"/>
    </row>
    <row r="69" spans="1:121" s="7" customFormat="1" ht="24" x14ac:dyDescent="0.2">
      <c r="A69" s="22"/>
      <c r="B69" s="264" t="s">
        <v>152</v>
      </c>
      <c r="C69" s="80"/>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17"/>
      <c r="AJ69" s="17"/>
      <c r="AK69" s="45"/>
      <c r="AL69" s="45"/>
      <c r="AM69" s="45"/>
      <c r="AN69" s="45"/>
      <c r="AO69" s="45"/>
      <c r="AP69" s="16"/>
      <c r="AQ69" s="16"/>
      <c r="AR69" s="16"/>
      <c r="AS69" s="87"/>
      <c r="AT69" s="17"/>
      <c r="AU69" s="81"/>
      <c r="AV69" s="17"/>
      <c r="AW69" s="71"/>
      <c r="AX69" s="77"/>
      <c r="AY69" s="49"/>
      <c r="AZ69" s="48"/>
      <c r="BA69" s="78"/>
      <c r="BB69" s="48"/>
      <c r="BC69" s="34"/>
      <c r="BD69" s="39"/>
      <c r="BE69" s="35"/>
      <c r="BF69" s="36"/>
      <c r="BG69" s="40"/>
      <c r="BH69" s="34"/>
      <c r="BI69" s="28"/>
      <c r="BJ69" s="28"/>
      <c r="BK69" s="28"/>
      <c r="BL69" s="28"/>
      <c r="BM69" s="28"/>
      <c r="BN69" s="28"/>
      <c r="BO69" s="28"/>
      <c r="BP69" s="28"/>
      <c r="BQ69" s="28"/>
      <c r="BR69" s="28"/>
      <c r="BS69" s="28"/>
      <c r="BT69" s="28"/>
      <c r="BU69" s="28"/>
      <c r="BV69" s="50"/>
      <c r="BW69" s="73"/>
      <c r="BX69" s="72"/>
      <c r="BY69" s="72"/>
      <c r="BZ69" s="72"/>
      <c r="CA69" s="72"/>
      <c r="CB69" s="26"/>
      <c r="CC69" s="26"/>
      <c r="CD69" s="74"/>
      <c r="CE69" s="74"/>
      <c r="CF69" s="74"/>
      <c r="CG69" s="74"/>
      <c r="CH69" s="74"/>
      <c r="CI69" s="75"/>
      <c r="CJ69" s="75"/>
      <c r="CK69" s="75"/>
      <c r="CL69" s="75"/>
      <c r="CM69" s="75"/>
      <c r="CN69" s="75"/>
      <c r="CO69" s="75"/>
      <c r="CP69" s="75"/>
      <c r="CQ69" s="75"/>
      <c r="CR69" s="75"/>
      <c r="CS69" s="75"/>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76"/>
    </row>
    <row r="70" spans="1:121" s="7" customFormat="1" ht="24" x14ac:dyDescent="0.2">
      <c r="A70" s="22"/>
      <c r="B70" s="264" t="s">
        <v>153</v>
      </c>
      <c r="C70" s="80"/>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17"/>
      <c r="AJ70" s="17"/>
      <c r="AK70" s="45"/>
      <c r="AL70" s="45"/>
      <c r="AM70" s="45"/>
      <c r="AN70" s="45"/>
      <c r="AO70" s="45"/>
      <c r="AP70" s="16"/>
      <c r="AQ70" s="16"/>
      <c r="AR70" s="16"/>
      <c r="AS70" s="87"/>
      <c r="AT70" s="17"/>
      <c r="AU70" s="81"/>
      <c r="AV70" s="17"/>
      <c r="AW70" s="71"/>
      <c r="AX70" s="77"/>
      <c r="AY70" s="49"/>
      <c r="AZ70" s="48"/>
      <c r="BA70" s="78"/>
      <c r="BB70" s="48"/>
      <c r="BC70" s="34"/>
      <c r="BD70" s="39"/>
      <c r="BE70" s="35"/>
      <c r="BF70" s="36"/>
      <c r="BG70" s="37"/>
      <c r="BH70" s="34"/>
      <c r="BI70" s="28"/>
      <c r="BJ70" s="28"/>
      <c r="BK70" s="28"/>
      <c r="BL70" s="28"/>
      <c r="BM70" s="28"/>
      <c r="BN70" s="28"/>
      <c r="BO70" s="28"/>
      <c r="BP70" s="28"/>
      <c r="BQ70" s="28"/>
      <c r="BR70" s="28"/>
      <c r="BS70" s="28"/>
      <c r="BT70" s="28"/>
      <c r="BU70" s="28"/>
      <c r="BV70" s="50"/>
      <c r="BW70" s="73"/>
      <c r="BX70" s="72"/>
      <c r="BY70" s="72"/>
      <c r="BZ70" s="72"/>
      <c r="CA70" s="72"/>
      <c r="CB70" s="26"/>
      <c r="CC70" s="26"/>
      <c r="CD70" s="74"/>
      <c r="CE70" s="74"/>
      <c r="CF70" s="74"/>
      <c r="CG70" s="74"/>
      <c r="CH70" s="75"/>
      <c r="CI70" s="75"/>
      <c r="CJ70" s="75"/>
      <c r="CK70" s="75"/>
      <c r="CL70" s="75"/>
      <c r="CM70" s="75"/>
      <c r="CN70" s="75"/>
      <c r="CO70" s="75"/>
      <c r="CP70" s="75"/>
      <c r="CQ70" s="75"/>
      <c r="CR70" s="75"/>
      <c r="CS70" s="75"/>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76"/>
    </row>
    <row r="71" spans="1:121" s="7" customFormat="1" ht="12" x14ac:dyDescent="0.2">
      <c r="A71" s="22"/>
      <c r="B71" s="264" t="s">
        <v>154</v>
      </c>
      <c r="C71" s="80"/>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17"/>
      <c r="AJ71" s="17"/>
      <c r="AK71" s="45"/>
      <c r="AL71" s="45"/>
      <c r="AM71" s="45"/>
      <c r="AN71" s="45"/>
      <c r="AO71" s="45"/>
      <c r="AP71" s="16"/>
      <c r="AQ71" s="16"/>
      <c r="AR71" s="16"/>
      <c r="AS71" s="87"/>
      <c r="AT71" s="17"/>
      <c r="AU71" s="81"/>
      <c r="AV71" s="17"/>
      <c r="AW71" s="71"/>
      <c r="AX71" s="77"/>
      <c r="AY71" s="49"/>
      <c r="AZ71" s="48"/>
      <c r="BA71" s="78"/>
      <c r="BB71" s="48"/>
      <c r="BC71" s="34"/>
      <c r="BD71" s="39"/>
      <c r="BE71" s="35"/>
      <c r="BF71" s="36"/>
      <c r="BG71" s="40"/>
      <c r="BH71" s="34"/>
      <c r="BI71" s="28"/>
      <c r="BJ71" s="28"/>
      <c r="BK71" s="28"/>
      <c r="BL71" s="28"/>
      <c r="BM71" s="28"/>
      <c r="BN71" s="28"/>
      <c r="BO71" s="28"/>
      <c r="BP71" s="28"/>
      <c r="BQ71" s="28"/>
      <c r="BR71" s="28"/>
      <c r="BS71" s="28"/>
      <c r="BT71" s="28"/>
      <c r="BU71" s="28"/>
      <c r="BV71" s="50"/>
      <c r="BW71" s="73"/>
      <c r="BX71" s="72"/>
      <c r="BY71" s="72"/>
      <c r="BZ71" s="72"/>
      <c r="CA71" s="72"/>
      <c r="CB71" s="26"/>
      <c r="CC71" s="26"/>
      <c r="CD71" s="74"/>
      <c r="CE71" s="75"/>
      <c r="CF71" s="75"/>
      <c r="CG71" s="75"/>
      <c r="CH71" s="75"/>
      <c r="CI71" s="75"/>
      <c r="CJ71" s="75"/>
      <c r="CK71" s="75"/>
      <c r="CL71" s="75"/>
      <c r="CM71" s="75"/>
      <c r="CN71" s="75"/>
      <c r="CO71" s="75"/>
      <c r="CP71" s="75"/>
      <c r="CQ71" s="75"/>
      <c r="CR71" s="75"/>
      <c r="CS71" s="75"/>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76"/>
    </row>
    <row r="72" spans="1:121" s="7" customFormat="1" ht="12" x14ac:dyDescent="0.2">
      <c r="A72" s="22"/>
      <c r="B72" s="264" t="s">
        <v>155</v>
      </c>
      <c r="C72" s="80"/>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17"/>
      <c r="AJ72" s="17"/>
      <c r="AK72" s="45"/>
      <c r="AL72" s="45"/>
      <c r="AM72" s="45"/>
      <c r="AN72" s="45"/>
      <c r="AO72" s="45"/>
      <c r="AP72" s="16"/>
      <c r="AQ72" s="16"/>
      <c r="AR72" s="16"/>
      <c r="AS72" s="87"/>
      <c r="AT72" s="16"/>
      <c r="AU72" s="81"/>
      <c r="AV72" s="17"/>
      <c r="AW72" s="71"/>
      <c r="AX72" s="77"/>
      <c r="AY72" s="49"/>
      <c r="AZ72" s="50"/>
      <c r="BA72" s="78"/>
      <c r="BB72" s="48"/>
      <c r="BC72" s="28"/>
      <c r="BD72" s="39"/>
      <c r="BE72" s="35"/>
      <c r="BF72" s="36"/>
      <c r="BG72" s="40"/>
      <c r="BH72" s="34"/>
      <c r="BI72" s="28"/>
      <c r="BJ72" s="28"/>
      <c r="BK72" s="28"/>
      <c r="BL72" s="28"/>
      <c r="BM72" s="28"/>
      <c r="BN72" s="28"/>
      <c r="BO72" s="28"/>
      <c r="BP72" s="28"/>
      <c r="BQ72" s="28"/>
      <c r="BR72" s="28"/>
      <c r="BS72" s="28"/>
      <c r="BT72" s="28"/>
      <c r="BU72" s="28"/>
      <c r="BV72" s="50"/>
      <c r="BW72" s="73"/>
      <c r="BX72" s="72"/>
      <c r="BY72" s="72"/>
      <c r="BZ72" s="72"/>
      <c r="CA72" s="72"/>
      <c r="CB72" s="26"/>
      <c r="CC72" s="26"/>
      <c r="CD72" s="74"/>
      <c r="CE72" s="75"/>
      <c r="CF72" s="75"/>
      <c r="CG72" s="75"/>
      <c r="CH72" s="75"/>
      <c r="CI72" s="75"/>
      <c r="CJ72" s="75"/>
      <c r="CK72" s="75"/>
      <c r="CL72" s="75"/>
      <c r="CM72" s="75"/>
      <c r="CN72" s="75"/>
      <c r="CO72" s="75"/>
      <c r="CP72" s="75"/>
      <c r="CQ72" s="75"/>
      <c r="CR72" s="75"/>
      <c r="CS72" s="75"/>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76"/>
    </row>
    <row r="73" spans="1:121" s="7" customFormat="1" ht="24" x14ac:dyDescent="0.2">
      <c r="A73" s="22"/>
      <c r="B73" s="264" t="s">
        <v>162</v>
      </c>
      <c r="C73" s="80"/>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17"/>
      <c r="AJ73" s="17"/>
      <c r="AK73" s="45"/>
      <c r="AL73" s="45"/>
      <c r="AM73" s="45"/>
      <c r="AN73" s="45"/>
      <c r="AO73" s="45"/>
      <c r="AP73" s="16"/>
      <c r="AQ73" s="16"/>
      <c r="AR73" s="16"/>
      <c r="AS73" s="87"/>
      <c r="AT73" s="16"/>
      <c r="AU73" s="81"/>
      <c r="AV73" s="17"/>
      <c r="AW73" s="71"/>
      <c r="AX73" s="77"/>
      <c r="AY73" s="49"/>
      <c r="AZ73" s="50"/>
      <c r="BA73" s="78"/>
      <c r="BB73" s="48"/>
      <c r="BC73" s="28"/>
      <c r="BD73" s="39"/>
      <c r="BE73" s="46"/>
      <c r="BF73" s="36"/>
      <c r="BG73" s="37"/>
      <c r="BH73" s="34"/>
      <c r="BI73" s="28"/>
      <c r="BJ73" s="28"/>
      <c r="BK73" s="28"/>
      <c r="BL73" s="28"/>
      <c r="BM73" s="28"/>
      <c r="BN73" s="28"/>
      <c r="BO73" s="28"/>
      <c r="BP73" s="28"/>
      <c r="BQ73" s="28"/>
      <c r="BR73" s="28"/>
      <c r="BS73" s="28"/>
      <c r="BT73" s="28"/>
      <c r="BU73" s="28"/>
      <c r="BV73" s="50"/>
      <c r="BW73" s="73"/>
      <c r="BX73" s="72"/>
      <c r="BY73" s="72"/>
      <c r="BZ73" s="72"/>
      <c r="CA73" s="72"/>
      <c r="CB73" s="26"/>
      <c r="CC73" s="26"/>
      <c r="CD73" s="74"/>
      <c r="CE73" s="74"/>
      <c r="CF73" s="74"/>
      <c r="CG73" s="74"/>
      <c r="CH73" s="74"/>
      <c r="CI73" s="74"/>
      <c r="CJ73" s="74"/>
      <c r="CK73" s="74"/>
      <c r="CL73" s="74"/>
      <c r="CM73" s="75"/>
      <c r="CN73" s="75"/>
      <c r="CO73" s="75"/>
      <c r="CP73" s="75"/>
      <c r="CQ73" s="75"/>
      <c r="CR73" s="75"/>
      <c r="CS73" s="75"/>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76"/>
    </row>
    <row r="74" spans="1:121" s="7" customFormat="1" ht="12" x14ac:dyDescent="0.2">
      <c r="A74" s="22"/>
      <c r="B74" s="264" t="s">
        <v>156</v>
      </c>
      <c r="C74" s="80"/>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17"/>
      <c r="AJ74" s="17"/>
      <c r="AK74" s="45"/>
      <c r="AL74" s="45"/>
      <c r="AM74" s="45"/>
      <c r="AN74" s="45"/>
      <c r="AO74" s="45"/>
      <c r="AP74" s="16"/>
      <c r="AQ74" s="16"/>
      <c r="AR74" s="16"/>
      <c r="AS74" s="87"/>
      <c r="AT74" s="16"/>
      <c r="AU74" s="81"/>
      <c r="AV74" s="17"/>
      <c r="AW74" s="71"/>
      <c r="AX74" s="77"/>
      <c r="AY74" s="49"/>
      <c r="AZ74" s="50"/>
      <c r="BA74" s="78"/>
      <c r="BB74" s="48"/>
      <c r="BC74" s="28"/>
      <c r="BD74" s="39"/>
      <c r="BE74" s="41"/>
      <c r="BF74" s="36"/>
      <c r="BG74" s="37"/>
      <c r="BH74" s="34"/>
      <c r="BI74" s="28"/>
      <c r="BJ74" s="28"/>
      <c r="BK74" s="28"/>
      <c r="BL74" s="28"/>
      <c r="BM74" s="28"/>
      <c r="BN74" s="28"/>
      <c r="BO74" s="28"/>
      <c r="BP74" s="28"/>
      <c r="BQ74" s="28"/>
      <c r="BR74" s="28"/>
      <c r="BS74" s="28"/>
      <c r="BT74" s="28"/>
      <c r="BU74" s="28"/>
      <c r="BV74" s="50"/>
      <c r="BW74" s="73"/>
      <c r="BX74" s="72"/>
      <c r="BY74" s="72"/>
      <c r="BZ74" s="72"/>
      <c r="CA74" s="72"/>
      <c r="CB74" s="26"/>
      <c r="CC74" s="26"/>
      <c r="CD74" s="74"/>
      <c r="CE74" s="74"/>
      <c r="CF74" s="75"/>
      <c r="CG74" s="75"/>
      <c r="CH74" s="75"/>
      <c r="CI74" s="75"/>
      <c r="CJ74" s="75"/>
      <c r="CK74" s="75"/>
      <c r="CL74" s="75"/>
      <c r="CM74" s="75"/>
      <c r="CN74" s="75"/>
      <c r="CO74" s="75"/>
      <c r="CP74" s="75"/>
      <c r="CQ74" s="75"/>
      <c r="CR74" s="75"/>
      <c r="CS74" s="75"/>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76"/>
    </row>
    <row r="75" spans="1:121" s="7" customFormat="1" ht="24" x14ac:dyDescent="0.2">
      <c r="A75" s="22"/>
      <c r="B75" s="264" t="s">
        <v>157</v>
      </c>
      <c r="C75" s="80"/>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17"/>
      <c r="AJ75" s="17"/>
      <c r="AK75" s="45"/>
      <c r="AL75" s="45"/>
      <c r="AM75" s="45"/>
      <c r="AN75" s="45"/>
      <c r="AO75" s="45"/>
      <c r="AP75" s="16"/>
      <c r="AQ75" s="16"/>
      <c r="AR75" s="16"/>
      <c r="AS75" s="87"/>
      <c r="AT75" s="17"/>
      <c r="AU75" s="81"/>
      <c r="AV75" s="17"/>
      <c r="AW75" s="71"/>
      <c r="AX75" s="77"/>
      <c r="AY75" s="49"/>
      <c r="AZ75" s="48"/>
      <c r="BA75" s="78"/>
      <c r="BB75" s="48"/>
      <c r="BC75" s="34"/>
      <c r="BD75" s="39"/>
      <c r="BE75" s="35"/>
      <c r="BF75" s="36"/>
      <c r="BG75" s="40"/>
      <c r="BH75" s="34"/>
      <c r="BI75" s="28"/>
      <c r="BJ75" s="28"/>
      <c r="BK75" s="28"/>
      <c r="BL75" s="28"/>
      <c r="BM75" s="28"/>
      <c r="BN75" s="28"/>
      <c r="BO75" s="28"/>
      <c r="BP75" s="28"/>
      <c r="BQ75" s="28"/>
      <c r="BR75" s="28"/>
      <c r="BS75" s="28"/>
      <c r="BT75" s="28"/>
      <c r="BU75" s="28"/>
      <c r="BV75" s="50"/>
      <c r="BW75" s="73"/>
      <c r="BX75" s="72"/>
      <c r="BY75" s="72"/>
      <c r="BZ75" s="72"/>
      <c r="CA75" s="72"/>
      <c r="CB75" s="26"/>
      <c r="CC75" s="26"/>
      <c r="CD75" s="74"/>
      <c r="CE75" s="74"/>
      <c r="CF75" s="74"/>
      <c r="CG75" s="74"/>
      <c r="CH75" s="74"/>
      <c r="CI75" s="74"/>
      <c r="CJ75" s="74"/>
      <c r="CK75" s="74"/>
      <c r="CL75" s="74"/>
      <c r="CM75" s="74"/>
      <c r="CN75" s="74"/>
      <c r="CO75" s="74"/>
      <c r="CP75" s="74"/>
      <c r="CQ75" s="74"/>
      <c r="CR75" s="74"/>
      <c r="CS75" s="74"/>
      <c r="CT75" s="74"/>
      <c r="CU75" s="18"/>
      <c r="CV75" s="18"/>
      <c r="CW75" s="18"/>
      <c r="CX75" s="18"/>
      <c r="CY75" s="18"/>
      <c r="CZ75" s="18"/>
      <c r="DA75" s="18"/>
      <c r="DB75" s="18"/>
      <c r="DC75" s="18"/>
      <c r="DD75" s="18"/>
      <c r="DE75" s="18"/>
      <c r="DF75" s="18"/>
      <c r="DG75" s="18"/>
      <c r="DH75" s="18"/>
      <c r="DI75" s="18"/>
      <c r="DJ75" s="18"/>
      <c r="DK75" s="18"/>
      <c r="DL75" s="18"/>
      <c r="DM75" s="18"/>
      <c r="DN75" s="18"/>
      <c r="DO75" s="18"/>
      <c r="DP75" s="18"/>
      <c r="DQ75" s="76"/>
    </row>
    <row r="76" spans="1:121" s="7" customFormat="1" ht="24" x14ac:dyDescent="0.2">
      <c r="A76" s="22"/>
      <c r="B76" s="264" t="s">
        <v>158</v>
      </c>
      <c r="C76" s="80"/>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17"/>
      <c r="AJ76" s="17"/>
      <c r="AK76" s="45"/>
      <c r="AL76" s="45"/>
      <c r="AM76" s="45"/>
      <c r="AN76" s="45"/>
      <c r="AO76" s="45"/>
      <c r="AP76" s="16"/>
      <c r="AQ76" s="16"/>
      <c r="AR76" s="16"/>
      <c r="AS76" s="87"/>
      <c r="AT76" s="17"/>
      <c r="AU76" s="81"/>
      <c r="AV76" s="17"/>
      <c r="AW76" s="71"/>
      <c r="AX76" s="77"/>
      <c r="AY76" s="49"/>
      <c r="AZ76" s="48"/>
      <c r="BA76" s="78"/>
      <c r="BB76" s="48"/>
      <c r="BC76" s="34"/>
      <c r="BD76" s="39"/>
      <c r="BE76" s="35"/>
      <c r="BF76" s="36"/>
      <c r="BG76" s="37"/>
      <c r="BH76" s="34"/>
      <c r="BI76" s="28"/>
      <c r="BJ76" s="28"/>
      <c r="BK76" s="28"/>
      <c r="BL76" s="28"/>
      <c r="BM76" s="28"/>
      <c r="BN76" s="28"/>
      <c r="BO76" s="28"/>
      <c r="BP76" s="28"/>
      <c r="BQ76" s="28"/>
      <c r="BR76" s="28"/>
      <c r="BS76" s="28"/>
      <c r="BT76" s="28"/>
      <c r="BU76" s="28"/>
      <c r="BV76" s="50"/>
      <c r="BW76" s="73"/>
      <c r="BX76" s="72"/>
      <c r="BY76" s="72"/>
      <c r="BZ76" s="72"/>
      <c r="CA76" s="72"/>
      <c r="CB76" s="26"/>
      <c r="CC76" s="26"/>
      <c r="CD76" s="74"/>
      <c r="CE76" s="74"/>
      <c r="CF76" s="74"/>
      <c r="CG76" s="74"/>
      <c r="CH76" s="74"/>
      <c r="CI76" s="74"/>
      <c r="CJ76" s="74"/>
      <c r="CK76" s="74"/>
      <c r="CL76" s="74"/>
      <c r="CM76" s="74"/>
      <c r="CN76" s="75"/>
      <c r="CO76" s="75"/>
      <c r="CP76" s="75"/>
      <c r="CQ76" s="75"/>
      <c r="CR76" s="75"/>
      <c r="CS76" s="75"/>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76"/>
    </row>
    <row r="77" spans="1:121" s="7" customFormat="1" ht="24" x14ac:dyDescent="0.2">
      <c r="A77" s="22"/>
      <c r="B77" s="264" t="s">
        <v>159</v>
      </c>
      <c r="C77" s="80"/>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17"/>
      <c r="AJ77" s="17"/>
      <c r="AK77" s="45"/>
      <c r="AL77" s="45"/>
      <c r="AM77" s="45"/>
      <c r="AN77" s="45"/>
      <c r="AO77" s="45"/>
      <c r="AP77" s="16"/>
      <c r="AQ77" s="16"/>
      <c r="AR77" s="16"/>
      <c r="AS77" s="87"/>
      <c r="AT77" s="17"/>
      <c r="AU77" s="81"/>
      <c r="AV77" s="17"/>
      <c r="AW77" s="71"/>
      <c r="AX77" s="77"/>
      <c r="AY77" s="49"/>
      <c r="AZ77" s="48"/>
      <c r="BA77" s="78"/>
      <c r="BB77" s="48"/>
      <c r="BC77" s="34"/>
      <c r="BD77" s="39"/>
      <c r="BE77" s="35"/>
      <c r="BF77" s="36"/>
      <c r="BG77" s="37"/>
      <c r="BH77" s="34"/>
      <c r="BI77" s="28"/>
      <c r="BJ77" s="28"/>
      <c r="BK77" s="28"/>
      <c r="BL77" s="28"/>
      <c r="BM77" s="28"/>
      <c r="BN77" s="28"/>
      <c r="BO77" s="28"/>
      <c r="BP77" s="28"/>
      <c r="BQ77" s="28"/>
      <c r="BR77" s="28"/>
      <c r="BS77" s="28"/>
      <c r="BT77" s="28"/>
      <c r="BU77" s="28"/>
      <c r="BV77" s="50"/>
      <c r="BW77" s="73"/>
      <c r="BX77" s="72"/>
      <c r="BY77" s="72"/>
      <c r="BZ77" s="72"/>
      <c r="CA77" s="72"/>
      <c r="CB77" s="26"/>
      <c r="CC77" s="26"/>
      <c r="CD77" s="74"/>
      <c r="CE77" s="74"/>
      <c r="CF77" s="74"/>
      <c r="CG77" s="75"/>
      <c r="CH77" s="75"/>
      <c r="CI77" s="75"/>
      <c r="CJ77" s="75"/>
      <c r="CK77" s="75"/>
      <c r="CL77" s="75"/>
      <c r="CM77" s="75"/>
      <c r="CN77" s="75"/>
      <c r="CO77" s="75"/>
      <c r="CP77" s="75"/>
      <c r="CQ77" s="75"/>
      <c r="CR77" s="75"/>
      <c r="CS77" s="75"/>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76"/>
    </row>
    <row r="78" spans="1:121" s="7" customFormat="1" ht="12" x14ac:dyDescent="0.2">
      <c r="A78" s="22"/>
      <c r="B78" s="264" t="s">
        <v>160</v>
      </c>
      <c r="C78" s="80"/>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17"/>
      <c r="AJ78" s="17"/>
      <c r="AK78" s="45"/>
      <c r="AL78" s="45"/>
      <c r="AM78" s="45"/>
      <c r="AN78" s="45"/>
      <c r="AO78" s="45"/>
      <c r="AP78" s="16"/>
      <c r="AQ78" s="16"/>
      <c r="AR78" s="16"/>
      <c r="AS78" s="87"/>
      <c r="AT78" s="17"/>
      <c r="AU78" s="81"/>
      <c r="AV78" s="17"/>
      <c r="AW78" s="71"/>
      <c r="AX78" s="77"/>
      <c r="AY78" s="49"/>
      <c r="AZ78" s="48"/>
      <c r="BA78" s="78"/>
      <c r="BB78" s="48"/>
      <c r="BC78" s="34"/>
      <c r="BD78" s="39"/>
      <c r="BE78" s="35"/>
      <c r="BF78" s="36"/>
      <c r="BG78" s="40"/>
      <c r="BH78" s="34"/>
      <c r="BI78" s="28"/>
      <c r="BJ78" s="28"/>
      <c r="BK78" s="28"/>
      <c r="BL78" s="28"/>
      <c r="BM78" s="28"/>
      <c r="BN78" s="28"/>
      <c r="BO78" s="28"/>
      <c r="BP78" s="28"/>
      <c r="BQ78" s="28"/>
      <c r="BR78" s="28"/>
      <c r="BS78" s="28"/>
      <c r="BT78" s="28"/>
      <c r="BU78" s="28"/>
      <c r="BV78" s="50"/>
      <c r="BW78" s="73"/>
      <c r="BX78" s="72"/>
      <c r="BY78" s="72"/>
      <c r="BZ78" s="72"/>
      <c r="CA78" s="72"/>
      <c r="CB78" s="26"/>
      <c r="CC78" s="26"/>
      <c r="CD78" s="75"/>
      <c r="CE78" s="75"/>
      <c r="CF78" s="75"/>
      <c r="CG78" s="75"/>
      <c r="CH78" s="75"/>
      <c r="CI78" s="75"/>
      <c r="CJ78" s="75"/>
      <c r="CK78" s="75"/>
      <c r="CL78" s="75"/>
      <c r="CM78" s="75"/>
      <c r="CN78" s="75"/>
      <c r="CO78" s="75"/>
      <c r="CP78" s="75"/>
      <c r="CQ78" s="75"/>
      <c r="CR78" s="75"/>
      <c r="CS78" s="75"/>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76"/>
    </row>
    <row r="79" spans="1:121" s="7" customFormat="1" ht="36" x14ac:dyDescent="0.2">
      <c r="A79" s="22"/>
      <c r="B79" s="264" t="s">
        <v>161</v>
      </c>
      <c r="C79" s="80"/>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17"/>
      <c r="AJ79" s="17"/>
      <c r="AK79" s="45"/>
      <c r="AL79" s="45"/>
      <c r="AM79" s="45"/>
      <c r="AN79" s="45"/>
      <c r="AO79" s="45"/>
      <c r="AP79" s="16"/>
      <c r="AQ79" s="16"/>
      <c r="AR79" s="16"/>
      <c r="AS79" s="87"/>
      <c r="AT79" s="17"/>
      <c r="AU79" s="81"/>
      <c r="AV79" s="17"/>
      <c r="AW79" s="71"/>
      <c r="AX79" s="77"/>
      <c r="AY79" s="49"/>
      <c r="AZ79" s="48"/>
      <c r="BA79" s="78"/>
      <c r="BB79" s="48"/>
      <c r="BC79" s="34"/>
      <c r="BD79" s="39"/>
      <c r="BE79" s="35"/>
      <c r="BF79" s="36"/>
      <c r="BG79" s="37"/>
      <c r="BH79" s="37"/>
      <c r="BI79" s="28"/>
      <c r="BJ79" s="28"/>
      <c r="BK79" s="28"/>
      <c r="BL79" s="28"/>
      <c r="BM79" s="28"/>
      <c r="BN79" s="28"/>
      <c r="BO79" s="28"/>
      <c r="BP79" s="28"/>
      <c r="BQ79" s="28"/>
      <c r="BR79" s="28"/>
      <c r="BS79" s="28"/>
      <c r="BT79" s="28"/>
      <c r="BU79" s="28"/>
      <c r="BV79" s="50"/>
      <c r="BW79" s="73"/>
      <c r="BX79" s="72"/>
      <c r="BY79" s="72"/>
      <c r="BZ79" s="72"/>
      <c r="CA79" s="72"/>
      <c r="CB79" s="26"/>
      <c r="CC79" s="26"/>
      <c r="CD79" s="75"/>
      <c r="CE79" s="75"/>
      <c r="CF79" s="75"/>
      <c r="CG79" s="75"/>
      <c r="CH79" s="75"/>
      <c r="CI79" s="75"/>
      <c r="CJ79" s="75"/>
      <c r="CK79" s="75"/>
      <c r="CL79" s="75"/>
      <c r="CM79" s="75"/>
      <c r="CN79" s="75"/>
      <c r="CO79" s="75"/>
      <c r="CP79" s="75"/>
      <c r="CQ79" s="75"/>
      <c r="CR79" s="75"/>
      <c r="CS79" s="75"/>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76"/>
    </row>
    <row r="80" spans="1:121" s="7" customFormat="1" ht="24" x14ac:dyDescent="0.2">
      <c r="A80" s="22"/>
      <c r="B80" s="264" t="s">
        <v>163</v>
      </c>
      <c r="C80" s="80"/>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17"/>
      <c r="AJ80" s="17"/>
      <c r="AK80" s="45"/>
      <c r="AL80" s="45"/>
      <c r="AM80" s="45"/>
      <c r="AN80" s="45"/>
      <c r="AO80" s="45"/>
      <c r="AP80" s="16"/>
      <c r="AQ80" s="50"/>
      <c r="AR80" s="16"/>
      <c r="AS80" s="87"/>
      <c r="AT80" s="48"/>
      <c r="AU80" s="90"/>
      <c r="AV80" s="48"/>
      <c r="AW80" s="71"/>
      <c r="AX80" s="71"/>
      <c r="AY80" s="48"/>
      <c r="AZ80" s="48"/>
      <c r="BA80" s="72"/>
      <c r="BB80" s="48"/>
      <c r="BC80" s="34"/>
      <c r="BD80" s="39"/>
      <c r="BE80" s="35"/>
      <c r="BF80" s="36"/>
      <c r="BG80" s="37"/>
      <c r="BH80" s="34"/>
      <c r="BI80" s="28"/>
      <c r="BJ80" s="28"/>
      <c r="BK80" s="28"/>
      <c r="BL80" s="28"/>
      <c r="BM80" s="28"/>
      <c r="BN80" s="28"/>
      <c r="BO80" s="28"/>
      <c r="BP80" s="28"/>
      <c r="BQ80" s="28"/>
      <c r="BR80" s="28"/>
      <c r="BS80" s="28"/>
      <c r="BT80" s="28"/>
      <c r="BU80" s="28"/>
      <c r="BV80" s="50"/>
      <c r="BW80" s="73"/>
      <c r="BX80" s="72"/>
      <c r="BY80" s="72"/>
      <c r="BZ80" s="72"/>
      <c r="CA80" s="72"/>
      <c r="CB80" s="26"/>
      <c r="CC80" s="26"/>
      <c r="CD80" s="74"/>
      <c r="CE80" s="74"/>
      <c r="CF80" s="74"/>
      <c r="CG80" s="74"/>
      <c r="CH80" s="74"/>
      <c r="CI80" s="74"/>
      <c r="CJ80" s="74"/>
      <c r="CK80" s="74"/>
      <c r="CL80" s="74"/>
      <c r="CM80" s="74"/>
      <c r="CN80" s="74"/>
      <c r="CO80" s="74"/>
      <c r="CP80" s="74"/>
      <c r="CQ80" s="74"/>
      <c r="CR80" s="74"/>
      <c r="CS80" s="74"/>
      <c r="CT80" s="74"/>
      <c r="CU80" s="18"/>
      <c r="CV80" s="18"/>
      <c r="CW80" s="18"/>
      <c r="CX80" s="18"/>
      <c r="CY80" s="18"/>
      <c r="CZ80" s="18"/>
      <c r="DA80" s="18"/>
      <c r="DB80" s="18"/>
      <c r="DC80" s="18"/>
      <c r="DD80" s="18"/>
      <c r="DE80" s="18"/>
      <c r="DF80" s="18"/>
      <c r="DG80" s="18"/>
      <c r="DH80" s="18"/>
      <c r="DI80" s="18"/>
      <c r="DJ80" s="18"/>
      <c r="DK80" s="18"/>
      <c r="DL80" s="18"/>
      <c r="DM80" s="18"/>
      <c r="DN80" s="18"/>
      <c r="DO80" s="18"/>
      <c r="DP80" s="18"/>
      <c r="DQ80" s="76"/>
    </row>
    <row r="81" spans="1:121" s="7" customFormat="1" x14ac:dyDescent="0.2">
      <c r="A81" s="22"/>
      <c r="B81" s="17"/>
      <c r="C81" s="80"/>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6"/>
      <c r="AL81" s="45"/>
      <c r="AM81" s="92"/>
      <c r="AN81" s="17"/>
      <c r="AO81" s="93"/>
      <c r="AP81" s="94"/>
      <c r="AQ81" s="94"/>
      <c r="AR81" s="95"/>
      <c r="AS81" s="95"/>
      <c r="AT81" s="96"/>
      <c r="AU81" s="97"/>
      <c r="AV81" s="18"/>
      <c r="AW81" s="98"/>
      <c r="AX81" s="99"/>
      <c r="AY81" s="38"/>
      <c r="AZ81" s="34"/>
      <c r="BA81" s="78"/>
      <c r="BB81" s="34"/>
      <c r="BC81" s="34"/>
      <c r="BD81" s="39"/>
      <c r="BE81" s="35"/>
      <c r="BF81" s="36"/>
      <c r="BG81" s="40"/>
      <c r="BH81" s="34"/>
      <c r="BI81" s="28"/>
      <c r="BJ81" s="28"/>
      <c r="BK81" s="28"/>
      <c r="BL81" s="28"/>
      <c r="BM81" s="28"/>
      <c r="BN81" s="28"/>
      <c r="BO81" s="28"/>
      <c r="BP81" s="28"/>
      <c r="BQ81" s="28"/>
      <c r="BR81" s="28"/>
      <c r="BS81" s="28"/>
      <c r="BT81" s="28"/>
      <c r="BU81" s="28"/>
      <c r="BV81" s="50"/>
      <c r="BW81" s="73"/>
      <c r="BX81" s="72"/>
      <c r="BY81" s="72"/>
      <c r="BZ81" s="72"/>
      <c r="CA81" s="72"/>
      <c r="CB81" s="26"/>
      <c r="CC81" s="26"/>
      <c r="CD81" s="75"/>
      <c r="CE81" s="75"/>
      <c r="CF81" s="75"/>
      <c r="CG81" s="75"/>
      <c r="CH81" s="75"/>
      <c r="CI81" s="75"/>
      <c r="CJ81" s="75"/>
      <c r="CK81" s="75"/>
      <c r="CL81" s="75"/>
      <c r="CM81" s="75"/>
      <c r="CN81" s="75"/>
      <c r="CO81" s="75"/>
      <c r="CP81" s="75"/>
      <c r="CQ81" s="75"/>
      <c r="CR81" s="75"/>
      <c r="CS81" s="75"/>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76"/>
    </row>
    <row r="82" spans="1:121" s="7" customFormat="1" x14ac:dyDescent="0.2">
      <c r="A82" s="82"/>
      <c r="B82" s="17"/>
      <c r="C82" s="80"/>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6"/>
      <c r="AL82" s="45"/>
      <c r="AM82" s="92"/>
      <c r="AN82" s="17"/>
      <c r="AO82" s="93"/>
      <c r="AP82" s="94"/>
      <c r="AQ82" s="94"/>
      <c r="AR82" s="95"/>
      <c r="AS82" s="95"/>
      <c r="AT82" s="96"/>
      <c r="AU82" s="97"/>
      <c r="AV82" s="18"/>
      <c r="AW82" s="98"/>
      <c r="AX82" s="99"/>
      <c r="AY82" s="38"/>
      <c r="AZ82" s="34"/>
      <c r="BA82" s="78"/>
      <c r="BB82" s="34"/>
      <c r="BC82" s="34"/>
      <c r="BD82" s="39"/>
      <c r="BE82" s="35"/>
      <c r="BF82" s="36"/>
      <c r="BG82" s="40"/>
      <c r="BH82" s="34"/>
      <c r="BI82" s="28"/>
      <c r="BJ82" s="28"/>
      <c r="BK82" s="28"/>
      <c r="BL82" s="28"/>
      <c r="BM82" s="28"/>
      <c r="BN82" s="28"/>
      <c r="BO82" s="28"/>
      <c r="BP82" s="28"/>
      <c r="BQ82" s="28"/>
      <c r="BR82" s="28"/>
      <c r="BS82" s="28"/>
      <c r="BT82" s="28"/>
      <c r="BU82" s="28"/>
      <c r="BV82" s="50"/>
      <c r="BW82" s="73"/>
      <c r="BX82" s="72"/>
      <c r="BY82" s="72"/>
      <c r="BZ82" s="72"/>
      <c r="CA82" s="72"/>
      <c r="CB82" s="26"/>
      <c r="CC82" s="26"/>
      <c r="CD82" s="75"/>
      <c r="CE82" s="75"/>
      <c r="CF82" s="75"/>
      <c r="CG82" s="75"/>
      <c r="CH82" s="75"/>
      <c r="CI82" s="75"/>
      <c r="CJ82" s="75"/>
      <c r="CK82" s="75"/>
      <c r="CL82" s="75"/>
      <c r="CM82" s="75"/>
      <c r="CN82" s="75"/>
      <c r="CO82" s="75"/>
      <c r="CP82" s="75"/>
      <c r="CQ82" s="75"/>
      <c r="CR82" s="75"/>
      <c r="CS82" s="75"/>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76"/>
    </row>
    <row r="83" spans="1:121" s="7" customFormat="1" x14ac:dyDescent="0.2">
      <c r="A83" s="22"/>
      <c r="B83" s="17"/>
      <c r="C83" s="80"/>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6"/>
      <c r="AL83" s="45"/>
      <c r="AM83" s="92"/>
      <c r="AN83" s="17"/>
      <c r="AO83" s="93"/>
      <c r="AP83" s="94"/>
      <c r="AQ83" s="94"/>
      <c r="AR83" s="95"/>
      <c r="AS83" s="95"/>
      <c r="AT83" s="96"/>
      <c r="AU83" s="97"/>
      <c r="AV83" s="18"/>
      <c r="AW83" s="98"/>
      <c r="AX83" s="99"/>
      <c r="AY83" s="38"/>
      <c r="AZ83" s="34"/>
      <c r="BA83" s="78"/>
      <c r="BB83" s="34"/>
      <c r="BC83" s="34"/>
      <c r="BD83" s="39"/>
      <c r="BE83" s="35"/>
      <c r="BF83" s="36"/>
      <c r="BG83" s="40"/>
      <c r="BH83" s="34"/>
      <c r="BI83" s="28"/>
      <c r="BJ83" s="28"/>
      <c r="BK83" s="28"/>
      <c r="BL83" s="28"/>
      <c r="BM83" s="28"/>
      <c r="BN83" s="28"/>
      <c r="BO83" s="28"/>
      <c r="BP83" s="28"/>
      <c r="BQ83" s="28"/>
      <c r="BR83" s="28"/>
      <c r="BS83" s="28"/>
      <c r="BT83" s="28"/>
      <c r="BU83" s="28"/>
      <c r="BV83" s="50"/>
      <c r="BW83" s="73"/>
      <c r="BX83" s="72"/>
      <c r="BY83" s="72"/>
      <c r="BZ83" s="72"/>
      <c r="CA83" s="72"/>
      <c r="CB83" s="26"/>
      <c r="CC83" s="26"/>
      <c r="CD83" s="75"/>
      <c r="CE83" s="75"/>
      <c r="CF83" s="75"/>
      <c r="CG83" s="75"/>
      <c r="CH83" s="75"/>
      <c r="CI83" s="75"/>
      <c r="CJ83" s="75"/>
      <c r="CK83" s="75"/>
      <c r="CL83" s="75"/>
      <c r="CM83" s="75"/>
      <c r="CN83" s="75"/>
      <c r="CO83" s="75"/>
      <c r="CP83" s="75"/>
      <c r="CQ83" s="75"/>
      <c r="CR83" s="75"/>
      <c r="CS83" s="75"/>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76"/>
    </row>
    <row r="84" spans="1:121" s="7" customFormat="1" x14ac:dyDescent="0.2">
      <c r="A84" s="82"/>
      <c r="B84" s="17"/>
      <c r="C84" s="80"/>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6"/>
      <c r="AL84" s="45"/>
      <c r="AM84" s="92"/>
      <c r="AN84" s="17"/>
      <c r="AO84" s="93"/>
      <c r="AP84" s="94"/>
      <c r="AQ84" s="94"/>
      <c r="AR84" s="95"/>
      <c r="AS84" s="95"/>
      <c r="AT84" s="96"/>
      <c r="AU84" s="97"/>
      <c r="AV84" s="18"/>
      <c r="AW84" s="98"/>
      <c r="AX84" s="99"/>
      <c r="AY84" s="38"/>
      <c r="AZ84" s="34"/>
      <c r="BA84" s="78"/>
      <c r="BB84" s="34"/>
      <c r="BC84" s="34"/>
      <c r="BD84" s="39"/>
      <c r="BE84" s="35"/>
      <c r="BF84" s="36"/>
      <c r="BG84" s="40"/>
      <c r="BH84" s="34"/>
      <c r="BI84" s="28"/>
      <c r="BJ84" s="28"/>
      <c r="BK84" s="28"/>
      <c r="BL84" s="28"/>
      <c r="BM84" s="28"/>
      <c r="BN84" s="28"/>
      <c r="BO84" s="28"/>
      <c r="BP84" s="28"/>
      <c r="BQ84" s="28"/>
      <c r="BR84" s="28"/>
      <c r="BS84" s="28"/>
      <c r="BT84" s="28"/>
      <c r="BU84" s="28"/>
      <c r="BV84" s="50"/>
      <c r="BW84" s="73"/>
      <c r="BX84" s="72"/>
      <c r="BY84" s="72"/>
      <c r="BZ84" s="72"/>
      <c r="CA84" s="72"/>
      <c r="CB84" s="26"/>
      <c r="CC84" s="26"/>
      <c r="CD84" s="75"/>
      <c r="CE84" s="75"/>
      <c r="CF84" s="75"/>
      <c r="CG84" s="75"/>
      <c r="CH84" s="75"/>
      <c r="CI84" s="75"/>
      <c r="CJ84" s="75"/>
      <c r="CK84" s="75"/>
      <c r="CL84" s="75"/>
      <c r="CM84" s="75"/>
      <c r="CN84" s="75"/>
      <c r="CO84" s="75"/>
      <c r="CP84" s="75"/>
      <c r="CQ84" s="75"/>
      <c r="CR84" s="75"/>
      <c r="CS84" s="75"/>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76"/>
    </row>
    <row r="85" spans="1:121" s="7" customFormat="1" x14ac:dyDescent="0.2">
      <c r="A85" s="22"/>
      <c r="B85" s="17"/>
      <c r="C85" s="80"/>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6"/>
      <c r="AL85" s="45"/>
      <c r="AM85" s="92"/>
      <c r="AN85" s="17"/>
      <c r="AO85" s="93"/>
      <c r="AP85" s="94"/>
      <c r="AQ85" s="94"/>
      <c r="AR85" s="95"/>
      <c r="AS85" s="95"/>
      <c r="AT85" s="96"/>
      <c r="AU85" s="97"/>
      <c r="AV85" s="18"/>
      <c r="AW85" s="98"/>
      <c r="AX85" s="99"/>
      <c r="AY85" s="38"/>
      <c r="AZ85" s="34"/>
      <c r="BA85" s="78"/>
      <c r="BB85" s="34"/>
      <c r="BC85" s="34"/>
      <c r="BD85" s="39"/>
      <c r="BE85" s="35"/>
      <c r="BF85" s="36"/>
      <c r="BG85" s="40"/>
      <c r="BH85" s="34"/>
      <c r="BI85" s="28"/>
      <c r="BJ85" s="28"/>
      <c r="BK85" s="28"/>
      <c r="BL85" s="28"/>
      <c r="BM85" s="28"/>
      <c r="BN85" s="28"/>
      <c r="BO85" s="28"/>
      <c r="BP85" s="28"/>
      <c r="BQ85" s="28"/>
      <c r="BR85" s="28"/>
      <c r="BS85" s="28"/>
      <c r="BT85" s="28"/>
      <c r="BU85" s="28"/>
      <c r="BV85" s="50"/>
      <c r="BW85" s="73"/>
      <c r="BX85" s="72"/>
      <c r="BY85" s="72"/>
      <c r="BZ85" s="72"/>
      <c r="CA85" s="72"/>
      <c r="CB85" s="26"/>
      <c r="CC85" s="26"/>
      <c r="CD85" s="75"/>
      <c r="CE85" s="75"/>
      <c r="CF85" s="75"/>
      <c r="CG85" s="75"/>
      <c r="CH85" s="75"/>
      <c r="CI85" s="75"/>
      <c r="CJ85" s="75"/>
      <c r="CK85" s="75"/>
      <c r="CL85" s="75"/>
      <c r="CM85" s="75"/>
      <c r="CN85" s="75"/>
      <c r="CO85" s="75"/>
      <c r="CP85" s="75"/>
      <c r="CQ85" s="75"/>
      <c r="CR85" s="75"/>
      <c r="CS85" s="75"/>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76"/>
    </row>
    <row r="86" spans="1:121" s="7" customFormat="1" x14ac:dyDescent="0.2">
      <c r="A86" s="82"/>
      <c r="B86" s="17"/>
      <c r="C86" s="80"/>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6"/>
      <c r="AL86" s="45"/>
      <c r="AM86" s="92"/>
      <c r="AN86" s="17"/>
      <c r="AO86" s="93"/>
      <c r="AP86" s="94"/>
      <c r="AQ86" s="94"/>
      <c r="AR86" s="95"/>
      <c r="AS86" s="95"/>
      <c r="AT86" s="96"/>
      <c r="AU86" s="97"/>
      <c r="AV86" s="18"/>
      <c r="AW86" s="98"/>
      <c r="AX86" s="99"/>
      <c r="AY86" s="38"/>
      <c r="AZ86" s="34"/>
      <c r="BA86" s="78"/>
      <c r="BB86" s="34"/>
      <c r="BC86" s="34"/>
      <c r="BD86" s="39"/>
      <c r="BE86" s="35"/>
      <c r="BF86" s="36"/>
      <c r="BG86" s="37"/>
      <c r="BH86" s="34"/>
      <c r="BI86" s="28"/>
      <c r="BJ86" s="28"/>
      <c r="BK86" s="28"/>
      <c r="BL86" s="28"/>
      <c r="BM86" s="28"/>
      <c r="BN86" s="28"/>
      <c r="BO86" s="28"/>
      <c r="BP86" s="28"/>
      <c r="BQ86" s="28"/>
      <c r="BR86" s="28"/>
      <c r="BS86" s="28"/>
      <c r="BT86" s="28"/>
      <c r="BU86" s="28"/>
      <c r="BV86" s="50"/>
      <c r="BW86" s="73"/>
      <c r="BX86" s="72"/>
      <c r="BY86" s="72"/>
      <c r="BZ86" s="72"/>
      <c r="CA86" s="72"/>
      <c r="CB86" s="26"/>
      <c r="CC86" s="26"/>
      <c r="CD86" s="75"/>
      <c r="CE86" s="75"/>
      <c r="CF86" s="75"/>
      <c r="CG86" s="75"/>
      <c r="CH86" s="75"/>
      <c r="CI86" s="75"/>
      <c r="CJ86" s="75"/>
      <c r="CK86" s="75"/>
      <c r="CL86" s="75"/>
      <c r="CM86" s="75"/>
      <c r="CN86" s="75"/>
      <c r="CO86" s="75"/>
      <c r="CP86" s="75"/>
      <c r="CQ86" s="75"/>
      <c r="CR86" s="75"/>
      <c r="CS86" s="75"/>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76"/>
    </row>
    <row r="87" spans="1:121" s="7" customFormat="1" x14ac:dyDescent="0.2">
      <c r="A87" s="22"/>
      <c r="B87" s="17"/>
      <c r="C87" s="80"/>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6"/>
      <c r="AL87" s="45"/>
      <c r="AM87" s="92"/>
      <c r="AN87" s="17"/>
      <c r="AO87" s="93"/>
      <c r="AP87" s="94"/>
      <c r="AQ87" s="94"/>
      <c r="AR87" s="95"/>
      <c r="AS87" s="95"/>
      <c r="AT87" s="96"/>
      <c r="AU87" s="97"/>
      <c r="AV87" s="18"/>
      <c r="AW87" s="98"/>
      <c r="AX87" s="99"/>
      <c r="AY87" s="38"/>
      <c r="AZ87" s="34"/>
      <c r="BA87" s="78"/>
      <c r="BB87" s="34"/>
      <c r="BC87" s="34"/>
      <c r="BD87" s="39"/>
      <c r="BE87" s="35"/>
      <c r="BF87" s="36"/>
      <c r="BG87" s="40"/>
      <c r="BH87" s="34"/>
      <c r="BI87" s="28"/>
      <c r="BJ87" s="28"/>
      <c r="BK87" s="28"/>
      <c r="BL87" s="28"/>
      <c r="BM87" s="28"/>
      <c r="BN87" s="28"/>
      <c r="BO87" s="28"/>
      <c r="BP87" s="28"/>
      <c r="BQ87" s="28"/>
      <c r="BR87" s="28"/>
      <c r="BS87" s="28"/>
      <c r="BT87" s="28"/>
      <c r="BU87" s="28"/>
      <c r="BV87" s="50"/>
      <c r="BW87" s="73"/>
      <c r="BX87" s="72"/>
      <c r="BY87" s="72"/>
      <c r="BZ87" s="72"/>
      <c r="CA87" s="72"/>
      <c r="CB87" s="26"/>
      <c r="CC87" s="26"/>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76"/>
    </row>
    <row r="88" spans="1:121" s="7" customFormat="1" x14ac:dyDescent="0.2">
      <c r="A88" s="82"/>
      <c r="B88" s="15"/>
      <c r="C88" s="80"/>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7"/>
      <c r="AJ88" s="17"/>
      <c r="AK88" s="16"/>
      <c r="AL88" s="45"/>
      <c r="AM88" s="92"/>
      <c r="AN88" s="17"/>
      <c r="AO88" s="93"/>
      <c r="AP88" s="94"/>
      <c r="AQ88" s="94"/>
      <c r="AR88" s="95"/>
      <c r="AS88" s="95"/>
      <c r="AV88" s="18"/>
      <c r="AW88" s="98"/>
      <c r="AX88" s="99"/>
      <c r="BA88" s="78"/>
      <c r="BB88" s="26"/>
      <c r="BC88" s="26"/>
      <c r="BD88" s="27"/>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76"/>
    </row>
    <row r="89" spans="1:121" s="7" customFormat="1" x14ac:dyDescent="0.2">
      <c r="A89" s="22"/>
      <c r="B89" s="15"/>
      <c r="C89" s="80"/>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7"/>
      <c r="AJ89" s="17"/>
      <c r="AK89" s="16"/>
      <c r="AL89" s="45"/>
      <c r="AM89" s="92"/>
      <c r="AN89" s="17"/>
      <c r="AO89" s="93"/>
      <c r="AP89" s="94"/>
      <c r="AQ89" s="94"/>
      <c r="AR89" s="95"/>
      <c r="AS89" s="95"/>
      <c r="AV89" s="18"/>
      <c r="AW89" s="98"/>
      <c r="AX89" s="99"/>
      <c r="BA89" s="78"/>
      <c r="BB89" s="26"/>
      <c r="BC89" s="26"/>
      <c r="BD89" s="27"/>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76"/>
    </row>
    <row r="90" spans="1:121" s="7" customFormat="1" x14ac:dyDescent="0.2">
      <c r="A90" s="82"/>
      <c r="B90" s="15"/>
      <c r="C90" s="80"/>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7"/>
      <c r="AJ90" s="17"/>
      <c r="AK90" s="16"/>
      <c r="AL90" s="45"/>
      <c r="AM90" s="92"/>
      <c r="AN90" s="17"/>
      <c r="AO90" s="93"/>
      <c r="AP90" s="94"/>
      <c r="AQ90" s="94"/>
      <c r="AR90" s="95"/>
      <c r="AS90" s="95"/>
      <c r="AV90" s="18"/>
      <c r="AW90" s="98"/>
      <c r="AX90" s="99"/>
      <c r="BA90" s="78"/>
      <c r="BB90" s="26"/>
      <c r="BC90" s="26"/>
      <c r="BD90" s="27"/>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76"/>
    </row>
    <row r="91" spans="1:121" s="7" customFormat="1" x14ac:dyDescent="0.2">
      <c r="A91" s="22"/>
      <c r="B91" s="15"/>
      <c r="C91" s="80"/>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7"/>
      <c r="AJ91" s="17"/>
      <c r="AK91" s="16"/>
      <c r="AL91" s="45"/>
      <c r="AM91" s="92"/>
      <c r="AN91" s="17"/>
      <c r="AO91" s="93"/>
      <c r="AP91" s="94"/>
      <c r="AQ91" s="94"/>
      <c r="AR91" s="95"/>
      <c r="AS91" s="95"/>
      <c r="AV91" s="18"/>
      <c r="AW91" s="98"/>
      <c r="AX91" s="99"/>
      <c r="BA91" s="78"/>
      <c r="BB91" s="26"/>
      <c r="BC91" s="26"/>
      <c r="BD91" s="27"/>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76"/>
    </row>
    <row r="92" spans="1:121" s="7" customFormat="1" x14ac:dyDescent="0.2">
      <c r="A92" s="20"/>
      <c r="B92" s="15"/>
      <c r="C92" s="14"/>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K92" s="16"/>
      <c r="BA92" s="78"/>
      <c r="BB92" s="26"/>
      <c r="BC92" s="26"/>
      <c r="BD92" s="27"/>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76"/>
    </row>
    <row r="93" spans="1:121" s="7" customFormat="1" x14ac:dyDescent="0.2">
      <c r="A93" s="20"/>
      <c r="B93" s="15"/>
      <c r="C93" s="14"/>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K93" s="16"/>
      <c r="BB93" s="26"/>
      <c r="BC93" s="26"/>
      <c r="BD93" s="27"/>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76"/>
    </row>
    <row r="94" spans="1:121" s="7" customFormat="1" x14ac:dyDescent="0.2">
      <c r="A94" s="20"/>
      <c r="B94" s="15"/>
      <c r="C94" s="14"/>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W94" s="100"/>
      <c r="BB94" s="26"/>
      <c r="BC94" s="26"/>
      <c r="BD94" s="27"/>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76"/>
    </row>
    <row r="95" spans="1:121" s="7" customFormat="1" x14ac:dyDescent="0.2">
      <c r="A95" s="20"/>
      <c r="B95" s="15"/>
      <c r="C95" s="14"/>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W95" s="100"/>
      <c r="BB95" s="26"/>
      <c r="BC95" s="26"/>
      <c r="BD95" s="27"/>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76"/>
    </row>
    <row r="96" spans="1:121" s="7" customFormat="1" x14ac:dyDescent="0.2">
      <c r="A96" s="20"/>
      <c r="B96" s="15"/>
      <c r="C96" s="14"/>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W96" s="100"/>
      <c r="BB96" s="26"/>
      <c r="BC96" s="26"/>
      <c r="BD96" s="27"/>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76"/>
    </row>
    <row r="97" spans="1:121" s="7" customFormat="1" x14ac:dyDescent="0.2">
      <c r="A97" s="20"/>
      <c r="B97" s="15"/>
      <c r="C97" s="14"/>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W97" s="100"/>
      <c r="BB97" s="26"/>
      <c r="BC97" s="26"/>
      <c r="BD97" s="27"/>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76"/>
    </row>
    <row r="98" spans="1:121" s="7" customFormat="1" x14ac:dyDescent="0.2">
      <c r="A98" s="20"/>
      <c r="B98" s="15"/>
      <c r="C98" s="14"/>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W98" s="100"/>
      <c r="BB98" s="26"/>
      <c r="BC98" s="26"/>
      <c r="BD98" s="27"/>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76"/>
    </row>
    <row r="99" spans="1:121" s="7" customFormat="1" x14ac:dyDescent="0.2">
      <c r="A99" s="20"/>
      <c r="B99" s="15"/>
      <c r="C99" s="14"/>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W99" s="100"/>
      <c r="BB99" s="26"/>
      <c r="BC99" s="26"/>
      <c r="BD99" s="27"/>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76"/>
    </row>
    <row r="100" spans="1:121" s="7" customFormat="1" x14ac:dyDescent="0.2">
      <c r="A100" s="20"/>
      <c r="B100" s="15"/>
      <c r="C100" s="14"/>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W100" s="100"/>
      <c r="BB100" s="26"/>
      <c r="BC100" s="26"/>
      <c r="BD100" s="27"/>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76"/>
    </row>
    <row r="101" spans="1:121" s="7" customFormat="1" x14ac:dyDescent="0.2">
      <c r="A101" s="20"/>
      <c r="B101" s="15"/>
      <c r="C101" s="14"/>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W101" s="100"/>
      <c r="BB101" s="26"/>
      <c r="BC101" s="26"/>
      <c r="BD101" s="27"/>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76"/>
    </row>
    <row r="102" spans="1:121" s="7" customFormat="1" x14ac:dyDescent="0.2">
      <c r="A102" s="20"/>
      <c r="B102" s="15"/>
      <c r="C102" s="14"/>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W102" s="100"/>
      <c r="BB102" s="26"/>
      <c r="BC102" s="26"/>
      <c r="BD102" s="27"/>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76"/>
    </row>
    <row r="103" spans="1:121" s="7" customFormat="1" x14ac:dyDescent="0.2">
      <c r="A103" s="20"/>
      <c r="B103" s="15"/>
      <c r="C103" s="14"/>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BB103" s="26"/>
      <c r="BC103" s="26"/>
      <c r="BD103" s="27"/>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76"/>
    </row>
    <row r="104" spans="1:121" s="7" customFormat="1" x14ac:dyDescent="0.2">
      <c r="A104" s="20"/>
      <c r="B104" s="15"/>
      <c r="C104" s="14"/>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BB104" s="26"/>
      <c r="BC104" s="26"/>
      <c r="BD104" s="27"/>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76"/>
    </row>
    <row r="105" spans="1:121" s="7" customFormat="1" x14ac:dyDescent="0.2">
      <c r="A105" s="20"/>
      <c r="B105" s="15"/>
      <c r="C105" s="14"/>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BB105" s="26"/>
      <c r="BC105" s="26"/>
      <c r="BD105" s="27"/>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76"/>
    </row>
    <row r="106" spans="1:121" s="7" customFormat="1" x14ac:dyDescent="0.2">
      <c r="A106" s="20"/>
      <c r="B106" s="15"/>
      <c r="C106" s="14"/>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BB106" s="26"/>
      <c r="BC106" s="26"/>
      <c r="BD106" s="27"/>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76"/>
    </row>
    <row r="107" spans="1:121" s="7" customFormat="1" x14ac:dyDescent="0.2">
      <c r="A107" s="20"/>
      <c r="B107" s="15"/>
      <c r="C107" s="14"/>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BB107" s="26"/>
      <c r="BC107" s="26"/>
      <c r="BD107" s="27"/>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76"/>
    </row>
    <row r="108" spans="1:121" s="7" customFormat="1" x14ac:dyDescent="0.2">
      <c r="A108" s="20"/>
      <c r="B108" s="15"/>
      <c r="C108" s="14"/>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BB108" s="26"/>
      <c r="BC108" s="26"/>
      <c r="BD108" s="27"/>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76"/>
    </row>
    <row r="109" spans="1:121" s="7" customFormat="1" x14ac:dyDescent="0.2">
      <c r="A109" s="20"/>
      <c r="B109" s="15"/>
      <c r="C109" s="14"/>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W109" s="100"/>
      <c r="BB109" s="26"/>
      <c r="BC109" s="26"/>
      <c r="BD109" s="27"/>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76"/>
    </row>
    <row r="110" spans="1:121" s="7" customFormat="1" x14ac:dyDescent="0.2">
      <c r="A110" s="20"/>
      <c r="B110" s="15"/>
      <c r="C110" s="14"/>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W110" s="100"/>
      <c r="BB110" s="26"/>
      <c r="BC110" s="26"/>
      <c r="BD110" s="27"/>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76"/>
    </row>
    <row r="111" spans="1:121" s="7" customFormat="1" x14ac:dyDescent="0.2">
      <c r="A111" s="20"/>
      <c r="B111" s="15"/>
      <c r="C111" s="14"/>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W111" s="100"/>
      <c r="BB111" s="26"/>
      <c r="BC111" s="26"/>
      <c r="BD111" s="27"/>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76"/>
    </row>
    <row r="112" spans="1:121" s="7" customFormat="1" x14ac:dyDescent="0.2">
      <c r="A112" s="20"/>
      <c r="B112" s="15"/>
      <c r="C112" s="14"/>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BB112" s="26"/>
      <c r="BC112" s="26"/>
      <c r="BD112" s="27"/>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76"/>
    </row>
    <row r="113" spans="1:121" s="7" customFormat="1" x14ac:dyDescent="0.2">
      <c r="A113" s="21"/>
      <c r="B113" s="93"/>
      <c r="C113" s="101"/>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4"/>
      <c r="AQ113" s="94"/>
      <c r="AR113" s="94"/>
      <c r="AS113" s="94"/>
      <c r="AT113" s="94"/>
      <c r="AU113" s="94"/>
      <c r="AV113" s="94"/>
      <c r="AW113" s="94"/>
      <c r="AX113" s="94"/>
      <c r="AY113" s="94"/>
      <c r="AZ113" s="94"/>
      <c r="BA113" s="94"/>
      <c r="BB113" s="28"/>
      <c r="BC113" s="28"/>
      <c r="BD113" s="28"/>
      <c r="BE113" s="26"/>
      <c r="BF113" s="28"/>
      <c r="BG113" s="28"/>
      <c r="BH113" s="28"/>
      <c r="BI113" s="28"/>
      <c r="BJ113" s="28"/>
      <c r="BK113" s="28"/>
      <c r="BL113" s="28"/>
      <c r="BM113" s="28"/>
      <c r="BN113" s="28"/>
      <c r="BO113" s="28"/>
      <c r="BP113" s="28"/>
      <c r="BQ113" s="28"/>
      <c r="BR113" s="28"/>
      <c r="BS113" s="28"/>
      <c r="BT113" s="28"/>
      <c r="BU113" s="28"/>
      <c r="BV113" s="29"/>
      <c r="BW113" s="26"/>
      <c r="BX113" s="26"/>
      <c r="BY113" s="26"/>
      <c r="BZ113" s="26"/>
      <c r="CA113" s="26"/>
      <c r="CB113" s="26"/>
      <c r="CC113" s="26"/>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76"/>
    </row>
    <row r="114" spans="1:121" s="7" customFormat="1" x14ac:dyDescent="0.2">
      <c r="A114" s="20"/>
      <c r="B114" s="102"/>
      <c r="C114" s="80"/>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3"/>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76"/>
    </row>
    <row r="115" spans="1:121" s="7" customFormat="1" x14ac:dyDescent="0.2">
      <c r="A115" s="20"/>
      <c r="B115" s="102"/>
      <c r="C115" s="80"/>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3"/>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76"/>
    </row>
    <row r="116" spans="1:121" s="7" customFormat="1" x14ac:dyDescent="0.2">
      <c r="A116" s="20"/>
      <c r="B116" s="102"/>
      <c r="C116" s="80"/>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3"/>
      <c r="AP116" s="102"/>
      <c r="AQ116" s="102"/>
      <c r="AR116" s="102"/>
      <c r="AS116" s="102"/>
      <c r="AT116" s="102"/>
      <c r="AU116" s="102"/>
      <c r="AV116" s="102"/>
      <c r="AW116" s="102"/>
      <c r="AX116" s="102"/>
      <c r="AY116" s="102"/>
      <c r="AZ116" s="102"/>
      <c r="BC116" s="102"/>
      <c r="BD116" s="102"/>
      <c r="BE116" s="102"/>
      <c r="BF116" s="102"/>
      <c r="BG116" s="102"/>
      <c r="BH116" s="102"/>
      <c r="BI116" s="102"/>
      <c r="BJ116" s="102"/>
      <c r="BK116" s="102"/>
      <c r="BL116" s="102"/>
      <c r="BM116" s="102"/>
      <c r="BN116" s="102"/>
      <c r="BO116" s="102"/>
      <c r="BP116" s="102"/>
      <c r="BQ116" s="102"/>
      <c r="BR116" s="102"/>
      <c r="BS116" s="102"/>
      <c r="BT116" s="102"/>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76"/>
    </row>
    <row r="117" spans="1:121" s="7" customFormat="1" x14ac:dyDescent="0.2">
      <c r="A117" s="20"/>
      <c r="B117" s="102"/>
      <c r="C117" s="80"/>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6"/>
      <c r="AL117" s="102"/>
      <c r="AM117" s="102"/>
      <c r="AN117" s="102"/>
      <c r="AO117" s="103"/>
      <c r="AP117" s="102"/>
      <c r="AQ117" s="102"/>
      <c r="AR117" s="102"/>
      <c r="AT117" s="102"/>
      <c r="AU117" s="102"/>
      <c r="AV117" s="102"/>
      <c r="AX117" s="102"/>
      <c r="AY117" s="102"/>
      <c r="AZ117" s="102"/>
      <c r="BC117" s="102"/>
      <c r="BD117" s="102"/>
      <c r="BE117" s="102"/>
      <c r="BF117" s="102"/>
      <c r="BG117" s="102"/>
      <c r="BH117" s="102"/>
      <c r="BI117" s="102"/>
      <c r="BJ117" s="102"/>
      <c r="BK117" s="102"/>
      <c r="BL117" s="102"/>
      <c r="BM117" s="102"/>
      <c r="BN117" s="102"/>
      <c r="BO117" s="102"/>
      <c r="BP117" s="102"/>
      <c r="BQ117" s="102"/>
      <c r="BR117" s="102"/>
      <c r="BS117" s="102"/>
      <c r="BT117" s="102"/>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76"/>
    </row>
    <row r="118" spans="1:121" s="7" customFormat="1" x14ac:dyDescent="0.2">
      <c r="A118" s="20"/>
      <c r="B118" s="102"/>
      <c r="C118" s="80"/>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6"/>
      <c r="AL118" s="102"/>
      <c r="AM118" s="102"/>
      <c r="AN118" s="102"/>
      <c r="AO118" s="103"/>
      <c r="AP118" s="102"/>
      <c r="AQ118" s="102"/>
      <c r="AR118" s="102"/>
      <c r="AT118" s="102"/>
      <c r="AU118" s="102"/>
      <c r="AV118" s="102"/>
      <c r="AX118" s="102"/>
      <c r="AY118" s="102"/>
      <c r="AZ118" s="102"/>
      <c r="BA118" s="102"/>
      <c r="BC118" s="102"/>
      <c r="BD118" s="102"/>
      <c r="BE118" s="102"/>
      <c r="BF118" s="102"/>
      <c r="BH118" s="102"/>
      <c r="BI118" s="102"/>
      <c r="BJ118" s="102"/>
      <c r="BK118" s="102"/>
      <c r="BL118" s="102"/>
      <c r="BM118" s="102"/>
      <c r="BN118" s="102"/>
      <c r="BO118" s="102"/>
      <c r="BP118" s="102"/>
      <c r="BQ118" s="102"/>
      <c r="BR118" s="102"/>
      <c r="BS118" s="102"/>
      <c r="BT118" s="102"/>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76"/>
    </row>
    <row r="119" spans="1:121" s="7" customFormat="1" x14ac:dyDescent="0.2">
      <c r="A119" s="20"/>
      <c r="B119" s="15"/>
      <c r="C119" s="80"/>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02"/>
      <c r="AJ119" s="102"/>
      <c r="AK119" s="16"/>
      <c r="AL119" s="102"/>
      <c r="AM119" s="102"/>
      <c r="AN119" s="102"/>
      <c r="AO119" s="103"/>
      <c r="AP119" s="102"/>
      <c r="AQ119" s="102"/>
      <c r="AR119" s="102"/>
      <c r="AS119" s="104"/>
      <c r="AT119" s="102"/>
      <c r="AU119" s="102"/>
      <c r="AV119" s="102"/>
      <c r="AX119" s="102"/>
      <c r="AY119" s="102"/>
      <c r="AZ119" s="102"/>
      <c r="BA119" s="102"/>
      <c r="BC119" s="102"/>
      <c r="BD119" s="102"/>
      <c r="BE119" s="102"/>
      <c r="BF119" s="102"/>
      <c r="BH119" s="102"/>
      <c r="BI119" s="102"/>
      <c r="BJ119" s="102"/>
      <c r="BK119" s="102"/>
      <c r="BL119" s="102"/>
      <c r="BM119" s="102"/>
      <c r="BN119" s="102"/>
      <c r="BO119" s="102"/>
      <c r="BP119" s="102"/>
      <c r="BQ119" s="102"/>
      <c r="BR119" s="102"/>
      <c r="BS119" s="102"/>
      <c r="BT119" s="102"/>
    </row>
    <row r="120" spans="1:121" s="7" customFormat="1" x14ac:dyDescent="0.2">
      <c r="A120" s="20"/>
      <c r="B120" s="15"/>
      <c r="C120" s="80"/>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02"/>
      <c r="AJ120" s="102"/>
      <c r="AK120" s="16"/>
      <c r="AL120" s="102"/>
      <c r="AM120" s="102"/>
      <c r="AN120" s="102"/>
      <c r="AO120" s="103"/>
      <c r="AP120" s="102"/>
      <c r="AQ120" s="102"/>
      <c r="AR120" s="102"/>
      <c r="AS120" s="102"/>
      <c r="AT120" s="102"/>
      <c r="AU120" s="102"/>
      <c r="AV120" s="102"/>
      <c r="AX120" s="102"/>
      <c r="AY120" s="102"/>
      <c r="BA120" s="102"/>
      <c r="BC120" s="17"/>
      <c r="BD120" s="17"/>
      <c r="BE120" s="102"/>
      <c r="BH120" s="102"/>
      <c r="BI120" s="102"/>
      <c r="BJ120" s="102"/>
      <c r="BK120" s="102"/>
      <c r="BL120" s="102"/>
      <c r="BM120" s="102"/>
      <c r="BN120" s="102"/>
      <c r="BO120" s="102"/>
      <c r="BP120" s="102"/>
      <c r="BQ120" s="102"/>
      <c r="BR120" s="102"/>
      <c r="BS120" s="102"/>
      <c r="BT120" s="102"/>
    </row>
    <row r="121" spans="1:121" s="7" customFormat="1" x14ac:dyDescent="0.2">
      <c r="A121" s="20"/>
      <c r="B121" s="15"/>
      <c r="C121" s="80"/>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02"/>
      <c r="AJ121" s="102"/>
      <c r="AK121" s="16"/>
      <c r="AL121" s="102"/>
      <c r="AM121" s="102"/>
      <c r="AN121" s="102"/>
      <c r="AO121" s="103"/>
      <c r="AP121" s="102"/>
      <c r="AQ121" s="102"/>
      <c r="AR121" s="102"/>
      <c r="AS121" s="102"/>
      <c r="AT121" s="102"/>
      <c r="AV121" s="102"/>
      <c r="AX121" s="102"/>
      <c r="AY121" s="102"/>
      <c r="BA121" s="102"/>
      <c r="BC121" s="17"/>
      <c r="BD121" s="17"/>
      <c r="BE121" s="102"/>
      <c r="BH121" s="102"/>
      <c r="BI121" s="102"/>
      <c r="BJ121" s="102"/>
      <c r="BK121" s="102"/>
      <c r="BL121" s="102"/>
      <c r="BM121" s="102"/>
      <c r="BN121" s="102"/>
      <c r="BO121" s="102"/>
      <c r="BP121" s="102"/>
      <c r="BQ121" s="102"/>
      <c r="BR121" s="102"/>
      <c r="BS121" s="102"/>
      <c r="BT121" s="102"/>
    </row>
    <row r="122" spans="1:121" s="7" customFormat="1" x14ac:dyDescent="0.2">
      <c r="A122" s="20"/>
      <c r="B122" s="15"/>
      <c r="C122" s="80"/>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02"/>
      <c r="AJ122" s="102"/>
      <c r="AK122" s="16"/>
      <c r="AL122" s="102"/>
      <c r="AM122" s="102"/>
      <c r="AN122" s="102"/>
      <c r="AO122" s="103"/>
      <c r="AP122" s="102"/>
      <c r="AQ122" s="102"/>
      <c r="AS122" s="102"/>
      <c r="AT122" s="102"/>
      <c r="AV122" s="102"/>
      <c r="AX122" s="102"/>
      <c r="BA122" s="102"/>
      <c r="BC122" s="17"/>
      <c r="BD122" s="17"/>
      <c r="BE122" s="102"/>
      <c r="BH122" s="102"/>
      <c r="BI122" s="102"/>
      <c r="BJ122" s="102"/>
      <c r="BK122" s="102"/>
      <c r="BL122" s="102"/>
      <c r="BM122" s="102"/>
      <c r="BN122" s="102"/>
      <c r="BO122" s="102"/>
      <c r="BP122" s="102"/>
      <c r="BQ122" s="102"/>
      <c r="BR122" s="102"/>
      <c r="BS122" s="102"/>
      <c r="BT122" s="102"/>
    </row>
    <row r="123" spans="1:121" s="7" customFormat="1" x14ac:dyDescent="0.2">
      <c r="A123" s="20"/>
      <c r="B123" s="15"/>
      <c r="C123" s="80"/>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2"/>
      <c r="AJ123" s="102"/>
      <c r="AK123" s="16"/>
      <c r="AL123" s="102"/>
      <c r="AM123" s="102"/>
      <c r="AN123" s="102"/>
      <c r="AO123" s="103"/>
      <c r="AQ123" s="102"/>
      <c r="AR123" s="102"/>
      <c r="AS123" s="102"/>
      <c r="AT123" s="102"/>
      <c r="AV123" s="102"/>
      <c r="AW123" s="102"/>
      <c r="AX123" s="102"/>
      <c r="BA123" s="102"/>
      <c r="BC123" s="17"/>
      <c r="BD123" s="17"/>
      <c r="BE123" s="102"/>
      <c r="BH123" s="102"/>
      <c r="BI123" s="102"/>
      <c r="BJ123" s="102"/>
      <c r="BK123" s="102"/>
      <c r="BL123" s="102"/>
      <c r="BM123" s="102"/>
      <c r="BN123" s="102"/>
      <c r="BO123" s="102"/>
      <c r="BP123" s="102"/>
      <c r="BQ123" s="102"/>
      <c r="BR123" s="102"/>
      <c r="BS123" s="102"/>
      <c r="BT123" s="102"/>
    </row>
    <row r="124" spans="1:121" s="7" customFormat="1" x14ac:dyDescent="0.2">
      <c r="A124" s="20"/>
      <c r="B124" s="15"/>
      <c r="C124" s="80"/>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L124" s="102"/>
      <c r="AM124" s="102"/>
      <c r="AN124" s="102"/>
      <c r="AO124" s="102"/>
      <c r="AQ124" s="102"/>
      <c r="AR124" s="102"/>
      <c r="AS124" s="102"/>
      <c r="AT124" s="102"/>
      <c r="AV124" s="102"/>
      <c r="AW124" s="102"/>
      <c r="AX124" s="102"/>
      <c r="BA124" s="102"/>
      <c r="BC124" s="17"/>
      <c r="BD124" s="17"/>
      <c r="BE124" s="102"/>
      <c r="BH124" s="102"/>
      <c r="BI124" s="102"/>
      <c r="BJ124" s="102"/>
      <c r="BK124" s="102"/>
      <c r="BL124" s="102"/>
      <c r="BM124" s="102"/>
      <c r="BN124" s="102"/>
      <c r="BO124" s="102"/>
      <c r="BP124" s="102"/>
      <c r="BQ124" s="102"/>
      <c r="BR124" s="102"/>
      <c r="BS124" s="102"/>
      <c r="BT124" s="102"/>
    </row>
    <row r="125" spans="1:121" s="7" customFormat="1" x14ac:dyDescent="0.2">
      <c r="A125" s="20"/>
      <c r="B125" s="15"/>
      <c r="C125" s="80"/>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M125" s="102"/>
      <c r="AN125" s="102"/>
      <c r="AO125" s="102"/>
      <c r="AQ125" s="102"/>
      <c r="AR125" s="102"/>
      <c r="AS125" s="102"/>
      <c r="AT125" s="102"/>
      <c r="AV125" s="102"/>
      <c r="AW125" s="102"/>
      <c r="AX125" s="102"/>
      <c r="BA125" s="102"/>
      <c r="BC125" s="17"/>
      <c r="BD125" s="17"/>
      <c r="BE125" s="102"/>
      <c r="BH125" s="102"/>
      <c r="BI125" s="102"/>
      <c r="BJ125" s="102"/>
      <c r="BK125" s="102"/>
      <c r="BL125" s="102"/>
      <c r="BM125" s="102"/>
      <c r="BN125" s="102"/>
      <c r="BO125" s="102"/>
      <c r="BP125" s="102"/>
      <c r="BQ125" s="102"/>
      <c r="BR125" s="102"/>
      <c r="BS125" s="102"/>
      <c r="BT125" s="102"/>
    </row>
    <row r="126" spans="1:121" s="7" customFormat="1" x14ac:dyDescent="0.2">
      <c r="A126" s="20"/>
      <c r="B126" s="15"/>
      <c r="C126" s="80"/>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M126" s="102"/>
      <c r="AN126" s="102"/>
      <c r="AQ126" s="102"/>
      <c r="AR126" s="102"/>
      <c r="AS126" s="102"/>
      <c r="AT126" s="102"/>
      <c r="AV126" s="102"/>
      <c r="AW126" s="102"/>
      <c r="AX126" s="102"/>
      <c r="BA126" s="102"/>
      <c r="BC126" s="17"/>
      <c r="BD126" s="17"/>
      <c r="BE126" s="102"/>
      <c r="BH126" s="102"/>
      <c r="BI126" s="102"/>
      <c r="BJ126" s="102"/>
      <c r="BK126" s="102"/>
      <c r="BL126" s="102"/>
      <c r="BM126" s="102"/>
      <c r="BN126" s="102"/>
      <c r="BO126" s="102"/>
      <c r="BP126" s="102"/>
      <c r="BQ126" s="102"/>
      <c r="BR126" s="102"/>
      <c r="BS126" s="102"/>
      <c r="BT126" s="102"/>
    </row>
    <row r="127" spans="1:121" s="7" customFormat="1" x14ac:dyDescent="0.2">
      <c r="A127" s="20"/>
      <c r="B127" s="15"/>
      <c r="C127" s="80"/>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M127" s="102"/>
      <c r="AN127" s="102"/>
      <c r="AQ127" s="102"/>
      <c r="AR127" s="102"/>
      <c r="AS127" s="102"/>
      <c r="AT127" s="102"/>
      <c r="AV127" s="102"/>
      <c r="AW127" s="102"/>
      <c r="AX127" s="102"/>
      <c r="BA127" s="102"/>
      <c r="BC127" s="17"/>
      <c r="BD127" s="17"/>
      <c r="BE127" s="102"/>
      <c r="BH127" s="102"/>
      <c r="BI127" s="102"/>
      <c r="BJ127" s="102"/>
      <c r="BK127" s="102"/>
      <c r="BL127" s="102"/>
      <c r="BM127" s="102"/>
      <c r="BN127" s="102"/>
      <c r="BO127" s="102"/>
      <c r="BP127" s="102"/>
      <c r="BQ127" s="102"/>
      <c r="BR127" s="102"/>
      <c r="BS127" s="102"/>
      <c r="BT127" s="102"/>
    </row>
    <row r="128" spans="1:121" s="7" customFormat="1" x14ac:dyDescent="0.2">
      <c r="A128" s="20"/>
      <c r="B128" s="15"/>
      <c r="C128" s="80"/>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M128" s="102"/>
      <c r="AN128" s="102"/>
      <c r="AQ128" s="102"/>
      <c r="AR128" s="102"/>
      <c r="AS128" s="102"/>
      <c r="AT128" s="102"/>
      <c r="AV128" s="102"/>
      <c r="AW128" s="102"/>
      <c r="AX128" s="102"/>
      <c r="BA128" s="102"/>
      <c r="BC128" s="17"/>
      <c r="BD128" s="17"/>
      <c r="BE128" s="102"/>
      <c r="BH128" s="102"/>
      <c r="BI128" s="102"/>
      <c r="BJ128" s="102"/>
      <c r="BK128" s="102"/>
      <c r="BL128" s="102"/>
      <c r="BM128" s="102"/>
      <c r="BN128" s="102"/>
      <c r="BO128" s="102"/>
      <c r="BP128" s="102"/>
      <c r="BQ128" s="102"/>
      <c r="BR128" s="102"/>
      <c r="BS128" s="102"/>
      <c r="BT128" s="102"/>
    </row>
    <row r="129" spans="1:72" s="7" customFormat="1" x14ac:dyDescent="0.2">
      <c r="A129" s="20"/>
      <c r="B129" s="15"/>
      <c r="C129" s="80"/>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M129" s="102"/>
      <c r="AN129" s="102"/>
      <c r="AQ129" s="102"/>
      <c r="AR129" s="102"/>
      <c r="AS129" s="102"/>
      <c r="AT129" s="102"/>
      <c r="AV129" s="102"/>
      <c r="AW129" s="102"/>
      <c r="AX129" s="102"/>
      <c r="BA129" s="102"/>
      <c r="BC129" s="17"/>
      <c r="BD129" s="17"/>
      <c r="BE129" s="102"/>
      <c r="BH129" s="102"/>
      <c r="BI129" s="102"/>
      <c r="BJ129" s="102"/>
      <c r="BK129" s="102"/>
      <c r="BL129" s="102"/>
      <c r="BM129" s="102"/>
      <c r="BN129" s="102"/>
      <c r="BO129" s="102"/>
      <c r="BP129" s="102"/>
      <c r="BQ129" s="102"/>
      <c r="BR129" s="102"/>
      <c r="BS129" s="102"/>
      <c r="BT129" s="102"/>
    </row>
    <row r="130" spans="1:72" s="7" customFormat="1" x14ac:dyDescent="0.2">
      <c r="A130" s="20"/>
      <c r="B130" s="15"/>
      <c r="C130" s="80"/>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M130" s="102"/>
      <c r="AN130" s="102"/>
      <c r="AQ130" s="102"/>
      <c r="AR130" s="102"/>
      <c r="AT130" s="102"/>
      <c r="AV130" s="102"/>
      <c r="AW130" s="102"/>
      <c r="AX130" s="102"/>
      <c r="BA130" s="102"/>
      <c r="BC130" s="16"/>
      <c r="BD130" s="16"/>
      <c r="BE130" s="102"/>
      <c r="BH130" s="102"/>
      <c r="BI130" s="102"/>
      <c r="BJ130" s="102"/>
      <c r="BK130" s="102"/>
      <c r="BL130" s="102"/>
      <c r="BM130" s="102"/>
      <c r="BN130" s="102"/>
      <c r="BO130" s="102"/>
      <c r="BP130" s="102"/>
      <c r="BQ130" s="102"/>
      <c r="BR130" s="102"/>
      <c r="BS130" s="102"/>
      <c r="BT130" s="102"/>
    </row>
    <row r="131" spans="1:72" s="7" customFormat="1" x14ac:dyDescent="0.2">
      <c r="A131" s="20"/>
      <c r="B131" s="15"/>
      <c r="C131" s="80"/>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M131" s="102"/>
      <c r="AN131" s="102"/>
      <c r="AQ131" s="102"/>
      <c r="AR131" s="102"/>
      <c r="AT131" s="102"/>
      <c r="AV131" s="102"/>
      <c r="AW131" s="102"/>
      <c r="AX131" s="102"/>
      <c r="BA131" s="102"/>
      <c r="BC131" s="16"/>
      <c r="BD131" s="16"/>
      <c r="BE131" s="102"/>
      <c r="BH131" s="102"/>
      <c r="BI131" s="102"/>
      <c r="BJ131" s="102"/>
      <c r="BK131" s="102"/>
      <c r="BL131" s="102"/>
      <c r="BM131" s="102"/>
      <c r="BN131" s="102"/>
      <c r="BO131" s="102"/>
      <c r="BP131" s="102"/>
      <c r="BQ131" s="102"/>
      <c r="BR131" s="102"/>
      <c r="BS131" s="102"/>
      <c r="BT131" s="102"/>
    </row>
    <row r="132" spans="1:72" s="7" customFormat="1" x14ac:dyDescent="0.2">
      <c r="A132" s="20"/>
      <c r="B132" s="15"/>
      <c r="C132" s="80"/>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M132" s="102"/>
      <c r="AN132" s="102"/>
      <c r="AQ132" s="102"/>
      <c r="AR132" s="102"/>
      <c r="AV132" s="102"/>
      <c r="AW132" s="102"/>
      <c r="AX132" s="102"/>
      <c r="BA132" s="102"/>
      <c r="BC132" s="16"/>
      <c r="BD132" s="16"/>
      <c r="BE132" s="102"/>
      <c r="BH132" s="102"/>
      <c r="BI132" s="102"/>
      <c r="BJ132" s="102"/>
      <c r="BK132" s="102"/>
      <c r="BL132" s="102"/>
      <c r="BM132" s="102"/>
      <c r="BN132" s="102"/>
      <c r="BO132" s="102"/>
      <c r="BP132" s="102"/>
      <c r="BQ132" s="102"/>
      <c r="BR132" s="102"/>
      <c r="BS132" s="102"/>
      <c r="BT132" s="102"/>
    </row>
    <row r="133" spans="1:72" s="7" customFormat="1" x14ac:dyDescent="0.2">
      <c r="A133" s="20"/>
      <c r="B133" s="15"/>
      <c r="C133" s="80"/>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M133" s="102"/>
      <c r="AN133" s="102"/>
      <c r="AQ133" s="102"/>
      <c r="AR133" s="102"/>
      <c r="AV133" s="102"/>
      <c r="AW133" s="102"/>
      <c r="AX133" s="102"/>
      <c r="BA133" s="102"/>
      <c r="BC133" s="16"/>
      <c r="BD133" s="16"/>
      <c r="BH133" s="102"/>
      <c r="BI133" s="102"/>
      <c r="BJ133" s="102"/>
      <c r="BK133" s="102"/>
      <c r="BL133" s="102"/>
      <c r="BM133" s="102"/>
      <c r="BN133" s="102"/>
      <c r="BO133" s="102"/>
      <c r="BP133" s="102"/>
      <c r="BQ133" s="102"/>
      <c r="BR133" s="102"/>
      <c r="BS133" s="102"/>
      <c r="BT133" s="102"/>
    </row>
    <row r="134" spans="1:72" s="7" customFormat="1" x14ac:dyDescent="0.2">
      <c r="A134" s="20"/>
      <c r="B134" s="15"/>
      <c r="C134" s="80"/>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M134" s="102"/>
      <c r="AN134" s="102"/>
      <c r="AQ134" s="102"/>
      <c r="AV134" s="102"/>
      <c r="AW134" s="102"/>
      <c r="AX134" s="102"/>
      <c r="BA134" s="102"/>
      <c r="BC134" s="16"/>
      <c r="BD134" s="16"/>
      <c r="BH134" s="102"/>
      <c r="BI134" s="102"/>
      <c r="BJ134" s="102"/>
      <c r="BK134" s="102"/>
      <c r="BL134" s="102"/>
      <c r="BM134" s="102"/>
      <c r="BN134" s="102"/>
      <c r="BO134" s="102"/>
      <c r="BP134" s="102"/>
      <c r="BQ134" s="102"/>
      <c r="BR134" s="102"/>
      <c r="BS134" s="102"/>
      <c r="BT134" s="102"/>
    </row>
    <row r="135" spans="1:72" s="7" customFormat="1" x14ac:dyDescent="0.2">
      <c r="A135" s="20"/>
      <c r="B135" s="15"/>
      <c r="C135" s="80"/>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M135" s="102"/>
      <c r="AN135" s="102"/>
      <c r="AQ135" s="102"/>
      <c r="AV135" s="102"/>
      <c r="AW135" s="102"/>
      <c r="AX135" s="102"/>
      <c r="BA135" s="102"/>
      <c r="BC135" s="16"/>
      <c r="BD135" s="16"/>
      <c r="BH135" s="102"/>
      <c r="BI135" s="102"/>
      <c r="BJ135" s="102"/>
      <c r="BK135" s="102"/>
      <c r="BL135" s="102"/>
      <c r="BM135" s="102"/>
      <c r="BN135" s="102"/>
      <c r="BO135" s="102"/>
      <c r="BP135" s="102"/>
      <c r="BQ135" s="102"/>
      <c r="BR135" s="102"/>
      <c r="BS135" s="102"/>
      <c r="BT135" s="102"/>
    </row>
    <row r="136" spans="1:72" s="7" customFormat="1" x14ac:dyDescent="0.2">
      <c r="A136" s="20"/>
      <c r="B136" s="15"/>
      <c r="C136" s="80"/>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M136" s="102"/>
      <c r="AN136" s="102"/>
      <c r="AQ136" s="102"/>
      <c r="AV136" s="102"/>
      <c r="AW136" s="102"/>
      <c r="AX136" s="102"/>
      <c r="BA136" s="102"/>
      <c r="BC136" s="16"/>
      <c r="BD136" s="16"/>
      <c r="BH136" s="102"/>
      <c r="BI136" s="102"/>
      <c r="BJ136" s="102"/>
      <c r="BK136" s="102"/>
      <c r="BL136" s="102"/>
      <c r="BM136" s="102"/>
      <c r="BN136" s="102"/>
      <c r="BO136" s="102"/>
      <c r="BP136" s="102"/>
      <c r="BQ136" s="102"/>
      <c r="BR136" s="102"/>
      <c r="BS136" s="102"/>
      <c r="BT136" s="102"/>
    </row>
    <row r="137" spans="1:72" s="7" customFormat="1" x14ac:dyDescent="0.2">
      <c r="A137" s="20"/>
      <c r="B137" s="15"/>
      <c r="C137" s="80"/>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N137" s="102"/>
      <c r="AO137" s="102"/>
      <c r="AR137" s="102"/>
      <c r="AW137" s="102"/>
      <c r="AX137" s="102"/>
      <c r="AY137" s="102"/>
      <c r="BB137" s="102"/>
      <c r="BD137" s="16"/>
      <c r="BH137" s="102"/>
      <c r="BI137" s="102"/>
      <c r="BJ137" s="102"/>
      <c r="BK137" s="102"/>
      <c r="BL137" s="102"/>
      <c r="BM137" s="102"/>
      <c r="BN137" s="102"/>
      <c r="BO137" s="102"/>
      <c r="BP137" s="102"/>
      <c r="BQ137" s="102"/>
      <c r="BR137" s="102"/>
      <c r="BS137" s="102"/>
      <c r="BT137" s="102"/>
    </row>
    <row r="138" spans="1:72" s="7" customFormat="1" x14ac:dyDescent="0.2">
      <c r="A138" s="20"/>
      <c r="B138" s="15"/>
      <c r="C138" s="80"/>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N138" s="102"/>
      <c r="AO138" s="102"/>
      <c r="AR138" s="102"/>
      <c r="AW138" s="102"/>
      <c r="AX138" s="102"/>
      <c r="AY138" s="102"/>
      <c r="BB138" s="102"/>
      <c r="BD138" s="16"/>
      <c r="BH138" s="102"/>
      <c r="BI138" s="102"/>
      <c r="BJ138" s="102"/>
      <c r="BK138" s="102"/>
      <c r="BL138" s="102"/>
      <c r="BM138" s="102"/>
      <c r="BN138" s="102"/>
      <c r="BO138" s="102"/>
      <c r="BP138" s="102"/>
      <c r="BQ138" s="102"/>
      <c r="BR138" s="102"/>
      <c r="BS138" s="102"/>
      <c r="BT138" s="102"/>
    </row>
    <row r="139" spans="1:72" s="7" customFormat="1" x14ac:dyDescent="0.2">
      <c r="A139" s="20"/>
      <c r="B139" s="15"/>
      <c r="C139" s="80"/>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N139" s="102"/>
      <c r="AO139" s="102"/>
      <c r="AR139" s="102"/>
      <c r="AW139" s="102"/>
      <c r="AX139" s="102"/>
      <c r="AY139" s="102"/>
      <c r="BB139" s="102"/>
      <c r="BD139" s="16"/>
      <c r="BH139" s="102"/>
      <c r="BI139" s="102"/>
      <c r="BJ139" s="102"/>
      <c r="BK139" s="102"/>
      <c r="BL139" s="102"/>
      <c r="BM139" s="102"/>
      <c r="BN139" s="102"/>
      <c r="BO139" s="102"/>
      <c r="BP139" s="102"/>
      <c r="BQ139" s="102"/>
      <c r="BR139" s="102"/>
      <c r="BS139" s="102"/>
      <c r="BT139" s="102"/>
    </row>
    <row r="140" spans="1:72" s="7" customFormat="1" x14ac:dyDescent="0.2">
      <c r="A140" s="20"/>
      <c r="B140" s="15"/>
      <c r="C140" s="80"/>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N140" s="102"/>
      <c r="AO140" s="102"/>
      <c r="AR140" s="102"/>
      <c r="AW140" s="102"/>
      <c r="AX140" s="102"/>
      <c r="AY140" s="102"/>
      <c r="BB140" s="102"/>
      <c r="BD140" s="16"/>
      <c r="BH140" s="102"/>
      <c r="BI140" s="102"/>
      <c r="BJ140" s="102"/>
      <c r="BK140" s="102"/>
      <c r="BL140" s="102"/>
      <c r="BM140" s="102"/>
      <c r="BN140" s="102"/>
      <c r="BO140" s="102"/>
      <c r="BP140" s="102"/>
      <c r="BQ140" s="102"/>
      <c r="BR140" s="102"/>
      <c r="BS140" s="102"/>
      <c r="BT140" s="102"/>
    </row>
    <row r="141" spans="1:72" s="7" customFormat="1" x14ac:dyDescent="0.2">
      <c r="A141" s="20"/>
      <c r="B141" s="15"/>
      <c r="C141" s="80"/>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N141" s="102"/>
      <c r="AO141" s="102"/>
      <c r="AR141" s="102"/>
      <c r="AW141" s="102"/>
      <c r="AX141" s="102"/>
      <c r="AY141" s="102"/>
      <c r="BB141" s="102"/>
      <c r="BD141" s="16"/>
      <c r="BH141" s="102"/>
      <c r="BI141" s="102"/>
      <c r="BJ141" s="102"/>
      <c r="BK141" s="102"/>
      <c r="BL141" s="102"/>
      <c r="BM141" s="102"/>
      <c r="BN141" s="102"/>
      <c r="BO141" s="102"/>
      <c r="BP141" s="102"/>
      <c r="BQ141" s="102"/>
      <c r="BR141" s="102"/>
      <c r="BS141" s="102"/>
      <c r="BT141" s="102"/>
    </row>
    <row r="142" spans="1:72" s="7" customFormat="1" x14ac:dyDescent="0.2">
      <c r="A142" s="20"/>
      <c r="B142" s="15"/>
      <c r="C142" s="80"/>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N142" s="102"/>
      <c r="AO142" s="102"/>
      <c r="AR142" s="102"/>
      <c r="AW142" s="102"/>
      <c r="AX142" s="102"/>
      <c r="AY142" s="102"/>
      <c r="BB142" s="102"/>
      <c r="BD142" s="16"/>
      <c r="BH142" s="102"/>
      <c r="BI142" s="102"/>
      <c r="BJ142" s="102"/>
      <c r="BK142" s="102"/>
      <c r="BL142" s="102"/>
      <c r="BM142" s="102"/>
      <c r="BN142" s="102"/>
      <c r="BO142" s="102"/>
      <c r="BP142" s="102"/>
      <c r="BQ142" s="102"/>
      <c r="BR142" s="102"/>
      <c r="BS142" s="102"/>
      <c r="BT142" s="102"/>
    </row>
    <row r="143" spans="1:72" s="7" customFormat="1" x14ac:dyDescent="0.2">
      <c r="A143" s="20"/>
      <c r="B143" s="16"/>
      <c r="C143" s="80"/>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N143" s="102"/>
      <c r="AO143" s="102"/>
      <c r="AR143" s="102"/>
      <c r="AW143" s="102"/>
      <c r="AX143" s="102"/>
      <c r="AY143" s="102"/>
      <c r="BB143" s="102"/>
      <c r="BD143" s="16"/>
    </row>
    <row r="144" spans="1:72" s="7" customFormat="1" x14ac:dyDescent="0.2">
      <c r="A144" s="20"/>
      <c r="B144" s="16"/>
      <c r="C144" s="80"/>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N144" s="102"/>
      <c r="AO144" s="102"/>
      <c r="AW144" s="102"/>
      <c r="AX144" s="102"/>
      <c r="AY144" s="102"/>
      <c r="BB144" s="102"/>
      <c r="BD144" s="16"/>
    </row>
    <row r="145" spans="1:56" s="7" customFormat="1" x14ac:dyDescent="0.2">
      <c r="A145" s="20"/>
      <c r="B145" s="16"/>
      <c r="C145" s="80"/>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N145" s="102"/>
      <c r="AO145" s="102"/>
      <c r="AW145" s="102"/>
      <c r="AX145" s="102"/>
      <c r="AY145" s="102"/>
      <c r="BB145" s="102"/>
      <c r="BD145" s="16"/>
    </row>
    <row r="146" spans="1:56" s="7" customFormat="1" x14ac:dyDescent="0.2">
      <c r="A146" s="20"/>
      <c r="B146" s="16"/>
      <c r="C146" s="80"/>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N146" s="102"/>
      <c r="AO146" s="102"/>
      <c r="AW146" s="102"/>
      <c r="AX146" s="102"/>
      <c r="AY146" s="102"/>
      <c r="BB146" s="102"/>
      <c r="BD146" s="16"/>
    </row>
    <row r="147" spans="1:56" s="7" customFormat="1" x14ac:dyDescent="0.2">
      <c r="A147" s="20"/>
      <c r="B147" s="16"/>
      <c r="C147" s="80"/>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N147" s="102"/>
      <c r="AO147" s="102"/>
      <c r="AW147" s="102"/>
      <c r="AX147" s="102"/>
      <c r="AY147" s="102"/>
      <c r="BB147" s="102"/>
      <c r="BD147" s="16"/>
    </row>
    <row r="148" spans="1:56" s="7" customFormat="1" x14ac:dyDescent="0.2">
      <c r="A148" s="20"/>
      <c r="B148" s="16"/>
      <c r="C148" s="80"/>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N148" s="102"/>
      <c r="AO148" s="102"/>
      <c r="AW148" s="102"/>
      <c r="AX148" s="102"/>
      <c r="AY148" s="102"/>
      <c r="BB148" s="102"/>
      <c r="BD148" s="16"/>
    </row>
    <row r="149" spans="1:56" s="7" customFormat="1" x14ac:dyDescent="0.2">
      <c r="A149" s="20"/>
      <c r="B149" s="16"/>
      <c r="C149" s="80"/>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N149" s="102"/>
      <c r="AO149" s="102"/>
      <c r="AW149" s="102"/>
      <c r="AX149" s="102"/>
      <c r="AY149" s="102"/>
      <c r="BB149" s="102"/>
      <c r="BD149" s="16"/>
    </row>
    <row r="150" spans="1:56" s="7" customFormat="1" x14ac:dyDescent="0.2">
      <c r="A150" s="20"/>
      <c r="B150" s="16"/>
      <c r="C150" s="80"/>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N150" s="102"/>
      <c r="AO150" s="102"/>
      <c r="AW150" s="102"/>
      <c r="AX150" s="102"/>
      <c r="AY150" s="102"/>
      <c r="BB150" s="102"/>
      <c r="BD150" s="16"/>
    </row>
    <row r="151" spans="1:56" s="7" customFormat="1" x14ac:dyDescent="0.2">
      <c r="A151" s="20"/>
      <c r="B151" s="16"/>
      <c r="C151" s="80"/>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N151" s="102"/>
      <c r="AW151" s="102"/>
      <c r="AX151" s="102"/>
      <c r="AY151" s="102"/>
      <c r="BB151" s="102"/>
      <c r="BD151" s="16"/>
    </row>
    <row r="152" spans="1:56" s="7" customFormat="1" x14ac:dyDescent="0.2">
      <c r="A152" s="20"/>
      <c r="B152" s="16"/>
      <c r="C152" s="80"/>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N152" s="102"/>
      <c r="AW152" s="102"/>
      <c r="AX152" s="102"/>
      <c r="AY152" s="102"/>
      <c r="BB152" s="102"/>
      <c r="BD152" s="16"/>
    </row>
    <row r="153" spans="1:56" s="7" customFormat="1" x14ac:dyDescent="0.2">
      <c r="A153" s="20"/>
      <c r="B153" s="16"/>
      <c r="C153" s="80"/>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N153" s="102"/>
      <c r="AW153" s="102"/>
      <c r="AX153" s="102"/>
      <c r="AY153" s="102"/>
      <c r="BB153" s="102"/>
      <c r="BD153" s="16"/>
    </row>
    <row r="154" spans="1:56" s="7" customFormat="1" x14ac:dyDescent="0.2">
      <c r="A154" s="20"/>
      <c r="B154" s="16"/>
      <c r="C154" s="80"/>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N154" s="102"/>
      <c r="AW154" s="102"/>
      <c r="AX154" s="102"/>
      <c r="AY154" s="102"/>
      <c r="BB154" s="102"/>
      <c r="BD154" s="16"/>
    </row>
    <row r="155" spans="1:56" s="7" customFormat="1" x14ac:dyDescent="0.2">
      <c r="A155" s="20"/>
      <c r="B155" s="16"/>
      <c r="C155" s="80"/>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W155" s="102"/>
      <c r="AX155" s="102"/>
      <c r="AY155" s="102"/>
      <c r="BB155" s="102"/>
      <c r="BD155" s="16"/>
    </row>
    <row r="156" spans="1:56" s="7" customFormat="1" x14ac:dyDescent="0.2">
      <c r="A156" s="20"/>
      <c r="B156" s="16"/>
      <c r="C156" s="80"/>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W156" s="102"/>
      <c r="AX156" s="102"/>
      <c r="AY156" s="102"/>
      <c r="BB156" s="102"/>
      <c r="BD156" s="16"/>
    </row>
    <row r="157" spans="1:56" s="7" customFormat="1" x14ac:dyDescent="0.2">
      <c r="A157" s="20"/>
      <c r="B157" s="16"/>
      <c r="C157" s="80"/>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W157" s="102"/>
      <c r="AX157" s="102"/>
      <c r="AY157" s="102"/>
      <c r="BB157" s="102"/>
      <c r="BD157" s="16"/>
    </row>
    <row r="158" spans="1:56" s="7" customFormat="1" x14ac:dyDescent="0.2">
      <c r="A158" s="20"/>
      <c r="B158" s="16"/>
      <c r="C158" s="80"/>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W158" s="102"/>
      <c r="AX158" s="102"/>
      <c r="BB158" s="102"/>
      <c r="BD158" s="16"/>
    </row>
    <row r="159" spans="1:56" s="7" customFormat="1" x14ac:dyDescent="0.2">
      <c r="A159" s="20"/>
      <c r="B159" s="16"/>
      <c r="C159" s="80"/>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W159" s="102"/>
      <c r="AX159" s="102"/>
      <c r="BB159" s="102"/>
      <c r="BD159" s="16"/>
    </row>
    <row r="160" spans="1:56" s="7" customFormat="1" x14ac:dyDescent="0.2">
      <c r="A160" s="20"/>
      <c r="B160" s="16"/>
      <c r="C160" s="80"/>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W160" s="102"/>
      <c r="AX160" s="102"/>
      <c r="BB160" s="102"/>
      <c r="BD160" s="16"/>
    </row>
    <row r="161" spans="1:56" s="7" customFormat="1" x14ac:dyDescent="0.2">
      <c r="A161" s="20"/>
      <c r="B161" s="16"/>
      <c r="C161" s="80"/>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W161" s="102"/>
      <c r="AX161" s="102"/>
      <c r="BD161" s="16"/>
    </row>
    <row r="162" spans="1:56" s="7" customFormat="1" x14ac:dyDescent="0.2">
      <c r="A162" s="20"/>
      <c r="B162" s="16"/>
      <c r="C162" s="80"/>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W162" s="102"/>
      <c r="AX162" s="102"/>
      <c r="BD162" s="18"/>
    </row>
    <row r="163" spans="1:56" s="7" customFormat="1" x14ac:dyDescent="0.2">
      <c r="A163" s="20"/>
      <c r="B163" s="16"/>
      <c r="C163" s="80"/>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W163" s="102"/>
      <c r="AX163" s="102"/>
      <c r="BD163" s="16"/>
    </row>
    <row r="164" spans="1:56" s="7" customFormat="1" x14ac:dyDescent="0.2">
      <c r="A164" s="20"/>
      <c r="B164" s="16"/>
      <c r="C164" s="80"/>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W164" s="102"/>
      <c r="AX164" s="102"/>
      <c r="BD164" s="18"/>
    </row>
    <row r="165" spans="1:56" s="7" customFormat="1" x14ac:dyDescent="0.2">
      <c r="A165" s="20"/>
      <c r="B165" s="16"/>
      <c r="C165" s="80"/>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W165" s="102"/>
      <c r="AX165" s="102"/>
      <c r="BD165" s="16"/>
    </row>
    <row r="166" spans="1:56" s="7" customFormat="1" x14ac:dyDescent="0.2">
      <c r="A166" s="20"/>
      <c r="B166" s="15"/>
      <c r="C166" s="80"/>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W166" s="102"/>
      <c r="AX166" s="102"/>
      <c r="BD166" s="16"/>
    </row>
    <row r="167" spans="1:56" s="7" customFormat="1" x14ac:dyDescent="0.2">
      <c r="A167" s="20"/>
      <c r="B167" s="17"/>
      <c r="C167" s="80"/>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W167" s="102"/>
      <c r="AX167" s="102"/>
      <c r="BD167" s="19"/>
    </row>
    <row r="168" spans="1:56" s="7" customFormat="1" x14ac:dyDescent="0.2">
      <c r="A168" s="20"/>
      <c r="B168" s="17"/>
      <c r="C168" s="80"/>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W168" s="102"/>
      <c r="AX168" s="102"/>
      <c r="BD168" s="19"/>
    </row>
    <row r="169" spans="1:56" s="7" customFormat="1" x14ac:dyDescent="0.2">
      <c r="A169" s="20"/>
      <c r="B169" s="17"/>
      <c r="C169" s="80"/>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W169" s="102"/>
      <c r="AX169" s="102"/>
      <c r="BD169" s="19"/>
    </row>
    <row r="170" spans="1:56" s="7" customFormat="1" x14ac:dyDescent="0.2">
      <c r="A170" s="20"/>
      <c r="B170" s="17"/>
      <c r="C170" s="80"/>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W170" s="102"/>
      <c r="AX170" s="102"/>
      <c r="BD170" s="16"/>
    </row>
    <row r="171" spans="1:56" s="7" customFormat="1" x14ac:dyDescent="0.2">
      <c r="A171" s="20"/>
      <c r="B171" s="17"/>
      <c r="C171" s="80"/>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W171" s="102"/>
      <c r="AX171" s="102"/>
      <c r="BD171" s="16"/>
    </row>
    <row r="172" spans="1:56" s="7" customFormat="1" x14ac:dyDescent="0.2">
      <c r="A172" s="20"/>
      <c r="B172" s="17"/>
      <c r="C172" s="80"/>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W172" s="102"/>
      <c r="AX172" s="102"/>
      <c r="BD172" s="16"/>
    </row>
    <row r="173" spans="1:56" s="7" customFormat="1" x14ac:dyDescent="0.2">
      <c r="A173" s="20"/>
      <c r="B173" s="17"/>
      <c r="C173" s="80"/>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W173" s="102"/>
      <c r="AX173" s="102"/>
      <c r="BD173" s="16"/>
    </row>
    <row r="174" spans="1:56" s="7" customFormat="1" x14ac:dyDescent="0.2">
      <c r="A174" s="20"/>
      <c r="B174" s="17"/>
      <c r="C174" s="80"/>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W174" s="102"/>
      <c r="AX174" s="102"/>
      <c r="BD174" s="16"/>
    </row>
    <row r="175" spans="1:56" s="7" customFormat="1" x14ac:dyDescent="0.2">
      <c r="A175" s="20"/>
      <c r="B175" s="17"/>
      <c r="C175" s="80"/>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W175" s="102"/>
      <c r="AX175" s="102"/>
      <c r="BD175" s="16"/>
    </row>
    <row r="176" spans="1:56" s="7" customFormat="1" x14ac:dyDescent="0.2">
      <c r="A176" s="20"/>
      <c r="B176" s="17"/>
      <c r="C176" s="80"/>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W176" s="102"/>
      <c r="AX176" s="102"/>
      <c r="BD176" s="16"/>
    </row>
    <row r="177" spans="1:56" s="7" customFormat="1" x14ac:dyDescent="0.2">
      <c r="A177" s="20"/>
      <c r="B177" s="17"/>
      <c r="C177" s="80"/>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W177" s="102"/>
      <c r="AX177" s="102"/>
      <c r="BD177" s="16"/>
    </row>
    <row r="178" spans="1:56" s="7" customFormat="1" x14ac:dyDescent="0.2">
      <c r="A178" s="20"/>
      <c r="B178" s="17"/>
      <c r="C178" s="80"/>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W178" s="102"/>
      <c r="AX178" s="102"/>
      <c r="BD178" s="16"/>
    </row>
    <row r="179" spans="1:56" s="7" customFormat="1" x14ac:dyDescent="0.2">
      <c r="A179" s="20"/>
      <c r="B179" s="17"/>
      <c r="C179" s="80"/>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W179" s="102"/>
      <c r="AX179" s="102"/>
      <c r="BD179" s="16"/>
    </row>
    <row r="180" spans="1:56" s="7" customFormat="1" x14ac:dyDescent="0.2">
      <c r="A180" s="20"/>
      <c r="B180" s="17"/>
      <c r="C180" s="80"/>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W180" s="102"/>
      <c r="AX180" s="102"/>
      <c r="BD180" s="16"/>
    </row>
    <row r="181" spans="1:56" s="7" customFormat="1" x14ac:dyDescent="0.2">
      <c r="A181" s="20"/>
      <c r="B181" s="17"/>
      <c r="C181" s="80"/>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W181" s="102"/>
      <c r="AX181" s="102"/>
      <c r="BD181" s="16"/>
    </row>
    <row r="182" spans="1:56" s="7" customFormat="1" x14ac:dyDescent="0.2">
      <c r="A182" s="20"/>
      <c r="B182" s="17"/>
      <c r="C182" s="80"/>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W182" s="102"/>
      <c r="AX182" s="102"/>
      <c r="BD182" s="16"/>
    </row>
    <row r="183" spans="1:56" s="7" customFormat="1" x14ac:dyDescent="0.2">
      <c r="A183" s="20"/>
      <c r="B183" s="17"/>
      <c r="C183" s="80"/>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W183" s="102"/>
      <c r="AX183" s="102"/>
      <c r="BD183" s="16"/>
    </row>
    <row r="184" spans="1:56" s="7" customFormat="1" x14ac:dyDescent="0.2">
      <c r="A184" s="20"/>
      <c r="B184" s="17"/>
      <c r="C184" s="80"/>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W184" s="102"/>
      <c r="AX184" s="102"/>
      <c r="BD184" s="16"/>
    </row>
    <row r="185" spans="1:56" s="7" customFormat="1" x14ac:dyDescent="0.2">
      <c r="A185" s="20"/>
      <c r="B185" s="17"/>
      <c r="C185" s="80"/>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W185" s="102"/>
      <c r="AX185" s="102"/>
      <c r="BD185" s="16"/>
    </row>
    <row r="186" spans="1:56" s="7" customFormat="1" x14ac:dyDescent="0.2">
      <c r="A186" s="20"/>
      <c r="B186" s="17"/>
      <c r="C186" s="80"/>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W186" s="102"/>
      <c r="AX186" s="102"/>
      <c r="BD186" s="16"/>
    </row>
    <row r="187" spans="1:56" s="7" customFormat="1" x14ac:dyDescent="0.2">
      <c r="A187" s="20"/>
      <c r="B187" s="17"/>
      <c r="C187" s="80"/>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W187" s="102"/>
      <c r="AX187" s="102"/>
      <c r="BD187" s="16"/>
    </row>
    <row r="188" spans="1:56" s="7" customFormat="1" x14ac:dyDescent="0.2">
      <c r="A188" s="20"/>
      <c r="B188" s="16"/>
      <c r="C188" s="80"/>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W188" s="102"/>
      <c r="AX188" s="102"/>
      <c r="BD188" s="16"/>
    </row>
    <row r="189" spans="1:56" s="7" customFormat="1" x14ac:dyDescent="0.2">
      <c r="A189" s="20"/>
      <c r="B189" s="16"/>
      <c r="C189" s="80"/>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W189" s="102"/>
      <c r="AX189" s="102"/>
      <c r="BD189" s="18"/>
    </row>
    <row r="190" spans="1:56" s="7" customFormat="1" x14ac:dyDescent="0.2">
      <c r="A190" s="20"/>
      <c r="B190" s="16"/>
      <c r="C190" s="80"/>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W190" s="102"/>
      <c r="AX190" s="102"/>
      <c r="BD190" s="16"/>
    </row>
    <row r="191" spans="1:56" s="7" customFormat="1" x14ac:dyDescent="0.2">
      <c r="A191" s="20"/>
      <c r="B191" s="16"/>
      <c r="C191" s="80"/>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W191" s="102"/>
      <c r="AX191" s="102"/>
      <c r="BD191" s="16"/>
    </row>
    <row r="192" spans="1:56" s="7" customFormat="1" x14ac:dyDescent="0.2">
      <c r="A192" s="20"/>
      <c r="B192" s="16"/>
      <c r="C192" s="80"/>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W192" s="102"/>
      <c r="AX192" s="102"/>
      <c r="BD192" s="16"/>
    </row>
    <row r="193" spans="1:56" s="7" customFormat="1" x14ac:dyDescent="0.2">
      <c r="A193" s="20"/>
      <c r="B193" s="16"/>
      <c r="C193" s="80"/>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W193" s="102"/>
      <c r="AX193" s="102"/>
      <c r="BD193" s="16"/>
    </row>
    <row r="194" spans="1:56" s="7" customFormat="1" x14ac:dyDescent="0.2">
      <c r="A194" s="20"/>
      <c r="B194" s="16"/>
      <c r="C194" s="80"/>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BD194" s="16"/>
    </row>
    <row r="195" spans="1:56" s="7" customFormat="1" x14ac:dyDescent="0.2">
      <c r="A195" s="20"/>
      <c r="B195" s="16"/>
      <c r="C195" s="80"/>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BD195" s="18"/>
    </row>
    <row r="196" spans="1:56" s="7" customFormat="1" x14ac:dyDescent="0.2">
      <c r="A196" s="20"/>
      <c r="B196" s="16"/>
      <c r="C196" s="80"/>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BD196" s="16"/>
    </row>
    <row r="197" spans="1:56" s="7" customFormat="1" x14ac:dyDescent="0.2">
      <c r="A197" s="20"/>
      <c r="B197" s="16"/>
      <c r="C197" s="80"/>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BD197" s="16"/>
    </row>
    <row r="198" spans="1:56" s="7" customFormat="1" x14ac:dyDescent="0.2">
      <c r="A198" s="20"/>
      <c r="B198" s="16"/>
      <c r="C198" s="80"/>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BD198" s="16"/>
    </row>
    <row r="199" spans="1:56" s="7" customFormat="1" x14ac:dyDescent="0.2">
      <c r="A199" s="20"/>
      <c r="B199" s="16"/>
      <c r="C199" s="80"/>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BD199" s="18"/>
    </row>
    <row r="200" spans="1:56" s="7" customFormat="1" x14ac:dyDescent="0.2">
      <c r="A200" s="20"/>
      <c r="B200" s="16"/>
      <c r="C200" s="80"/>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BD200" s="16"/>
    </row>
    <row r="201" spans="1:56" s="7" customFormat="1" x14ac:dyDescent="0.2">
      <c r="A201" s="20"/>
      <c r="B201" s="16"/>
      <c r="C201" s="80"/>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BD201" s="16"/>
    </row>
    <row r="202" spans="1:56" s="7" customFormat="1" x14ac:dyDescent="0.2">
      <c r="A202" s="20"/>
      <c r="B202" s="16"/>
      <c r="C202" s="80"/>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BD202" s="16"/>
    </row>
    <row r="203" spans="1:56" s="7" customFormat="1" x14ac:dyDescent="0.2">
      <c r="A203" s="20"/>
      <c r="B203" s="16"/>
      <c r="C203" s="80"/>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BD203" s="16"/>
    </row>
    <row r="204" spans="1:56" s="7" customFormat="1" x14ac:dyDescent="0.2">
      <c r="A204" s="20"/>
      <c r="B204" s="16"/>
      <c r="C204" s="80"/>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BD204" s="16"/>
    </row>
    <row r="205" spans="1:56" s="7" customFormat="1" x14ac:dyDescent="0.2">
      <c r="A205" s="20"/>
      <c r="B205" s="16"/>
      <c r="C205" s="80"/>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BD205" s="16"/>
    </row>
    <row r="206" spans="1:56" s="7" customFormat="1" x14ac:dyDescent="0.2">
      <c r="A206" s="20"/>
      <c r="B206" s="16"/>
      <c r="C206" s="80"/>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BD206" s="16"/>
    </row>
    <row r="207" spans="1:56" s="7" customFormat="1" x14ac:dyDescent="0.2">
      <c r="A207" s="20"/>
      <c r="B207" s="15"/>
      <c r="C207" s="80"/>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BD207" s="16"/>
    </row>
    <row r="208" spans="1:56" s="7" customFormat="1" x14ac:dyDescent="0.2">
      <c r="A208" s="20"/>
      <c r="B208" s="17"/>
      <c r="C208" s="80"/>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BD208" s="16"/>
    </row>
    <row r="209" spans="1:56" s="7" customFormat="1" x14ac:dyDescent="0.2">
      <c r="A209" s="20"/>
      <c r="B209" s="17"/>
      <c r="C209" s="80"/>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BD209" s="16"/>
    </row>
    <row r="210" spans="1:56" s="7" customFormat="1" x14ac:dyDescent="0.2">
      <c r="A210" s="20"/>
      <c r="B210" s="17"/>
      <c r="C210" s="80"/>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BD210" s="16"/>
    </row>
    <row r="211" spans="1:56" s="7" customFormat="1" x14ac:dyDescent="0.2">
      <c r="A211" s="20"/>
      <c r="B211" s="17"/>
      <c r="C211" s="80"/>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BD211" s="16"/>
    </row>
    <row r="212" spans="1:56" s="7" customFormat="1" x14ac:dyDescent="0.2">
      <c r="A212" s="20"/>
      <c r="B212" s="17"/>
      <c r="C212" s="80"/>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BD212" s="16"/>
    </row>
    <row r="213" spans="1:56" s="7" customFormat="1" x14ac:dyDescent="0.2">
      <c r="A213" s="20"/>
      <c r="B213" s="17"/>
      <c r="C213" s="80"/>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BD213" s="16"/>
    </row>
    <row r="214" spans="1:56" s="7" customFormat="1" x14ac:dyDescent="0.2">
      <c r="A214" s="20"/>
      <c r="B214" s="17"/>
      <c r="C214" s="80"/>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BD214" s="16"/>
    </row>
    <row r="215" spans="1:56" s="7" customFormat="1" x14ac:dyDescent="0.2">
      <c r="A215" s="20"/>
      <c r="B215" s="17"/>
      <c r="C215" s="80"/>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BD215" s="16"/>
    </row>
    <row r="216" spans="1:56" s="7" customFormat="1" x14ac:dyDescent="0.2">
      <c r="A216" s="20"/>
      <c r="B216" s="17"/>
      <c r="C216" s="80"/>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BD216" s="16"/>
    </row>
    <row r="217" spans="1:56" s="7" customFormat="1" x14ac:dyDescent="0.2">
      <c r="A217" s="20"/>
      <c r="B217" s="17"/>
      <c r="C217" s="102"/>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BD217" s="16"/>
    </row>
    <row r="218" spans="1:56" s="7" customFormat="1" x14ac:dyDescent="0.2">
      <c r="A218" s="20"/>
      <c r="B218" s="17"/>
      <c r="C218" s="102"/>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BD218" s="16"/>
    </row>
    <row r="219" spans="1:56" s="7" customFormat="1" x14ac:dyDescent="0.2">
      <c r="A219" s="20"/>
      <c r="B219" s="17"/>
      <c r="C219" s="102"/>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BD219" s="16"/>
    </row>
    <row r="220" spans="1:56" s="7" customFormat="1" x14ac:dyDescent="0.2">
      <c r="A220" s="20"/>
      <c r="B220" s="17"/>
      <c r="C220" s="102"/>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BD220" s="16"/>
    </row>
    <row r="221" spans="1:56" s="7" customFormat="1" x14ac:dyDescent="0.2">
      <c r="A221" s="20"/>
      <c r="B221" s="17"/>
      <c r="C221" s="102"/>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BD221" s="16"/>
    </row>
    <row r="222" spans="1:56" s="7" customFormat="1" x14ac:dyDescent="0.2">
      <c r="A222" s="20"/>
      <c r="B222" s="17"/>
      <c r="C222" s="102"/>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BD222" s="16"/>
    </row>
    <row r="223" spans="1:56" s="7" customFormat="1" x14ac:dyDescent="0.2">
      <c r="A223" s="20"/>
      <c r="B223" s="17"/>
      <c r="C223" s="102"/>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BD223" s="16"/>
    </row>
    <row r="224" spans="1:56" s="7" customFormat="1" x14ac:dyDescent="0.2">
      <c r="A224" s="20"/>
      <c r="B224" s="17"/>
      <c r="C224" s="102"/>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BD224" s="16"/>
    </row>
    <row r="225" spans="1:56" s="7" customFormat="1" x14ac:dyDescent="0.2">
      <c r="A225" s="20"/>
      <c r="B225" s="17"/>
      <c r="C225" s="102"/>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BD225" s="16"/>
    </row>
    <row r="226" spans="1:56" s="7" customFormat="1" x14ac:dyDescent="0.2">
      <c r="A226" s="20"/>
      <c r="B226" s="17"/>
      <c r="C226" s="102"/>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BD226" s="16"/>
    </row>
    <row r="227" spans="1:56" s="7" customFormat="1" x14ac:dyDescent="0.2">
      <c r="A227" s="20"/>
      <c r="B227" s="17"/>
      <c r="C227" s="102"/>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BD227" s="18"/>
    </row>
    <row r="228" spans="1:56" s="7" customFormat="1" x14ac:dyDescent="0.2">
      <c r="A228" s="20"/>
      <c r="B228" s="17"/>
      <c r="C228" s="102"/>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BD228" s="18"/>
    </row>
    <row r="229" spans="1:56" s="7" customFormat="1" x14ac:dyDescent="0.2">
      <c r="A229" s="20"/>
      <c r="B229" s="17"/>
      <c r="C229" s="102"/>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BD229" s="18"/>
    </row>
    <row r="230" spans="1:56" s="7" customFormat="1" x14ac:dyDescent="0.2">
      <c r="A230" s="20"/>
      <c r="B230" s="17"/>
      <c r="C230" s="102"/>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BD230" s="18"/>
    </row>
    <row r="231" spans="1:56" s="7" customFormat="1" x14ac:dyDescent="0.2">
      <c r="A231" s="20"/>
      <c r="B231" s="17"/>
      <c r="C231" s="102"/>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BD231" s="18"/>
    </row>
    <row r="232" spans="1:56" s="7" customFormat="1" x14ac:dyDescent="0.2">
      <c r="A232" s="20"/>
      <c r="B232" s="16"/>
      <c r="C232" s="102"/>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BD232" s="18"/>
    </row>
    <row r="233" spans="1:56" s="7" customFormat="1" x14ac:dyDescent="0.2">
      <c r="A233" s="20"/>
      <c r="B233" s="16"/>
      <c r="C233" s="102"/>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BD233" s="18"/>
    </row>
    <row r="234" spans="1:56" s="7" customFormat="1" x14ac:dyDescent="0.2">
      <c r="A234" s="20"/>
      <c r="B234" s="16"/>
      <c r="C234" s="102"/>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BD234" s="18"/>
    </row>
    <row r="235" spans="1:56" s="7" customFormat="1" x14ac:dyDescent="0.2">
      <c r="A235" s="20"/>
      <c r="B235" s="16"/>
      <c r="C235" s="102"/>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BD235" s="18"/>
    </row>
    <row r="236" spans="1:56" s="7" customFormat="1" x14ac:dyDescent="0.2">
      <c r="A236" s="20"/>
      <c r="B236" s="16"/>
      <c r="C236" s="102"/>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BD236" s="18"/>
    </row>
    <row r="237" spans="1:56" s="7" customFormat="1" x14ac:dyDescent="0.2">
      <c r="A237" s="20"/>
      <c r="B237" s="16"/>
      <c r="C237" s="102"/>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BD237" s="18"/>
    </row>
    <row r="238" spans="1:56" s="7" customFormat="1" x14ac:dyDescent="0.2">
      <c r="A238" s="20"/>
      <c r="B238" s="16"/>
      <c r="C238" s="102"/>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BD238" s="18"/>
    </row>
    <row r="239" spans="1:56" s="7" customFormat="1" x14ac:dyDescent="0.2">
      <c r="A239" s="20"/>
      <c r="B239" s="16"/>
      <c r="C239" s="102"/>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BD239" s="18"/>
    </row>
    <row r="240" spans="1:56" s="7" customFormat="1" x14ac:dyDescent="0.2">
      <c r="A240" s="20"/>
      <c r="B240" s="16"/>
      <c r="C240" s="102"/>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BD240" s="18"/>
    </row>
    <row r="241" spans="1:56" s="7" customFormat="1" x14ac:dyDescent="0.2">
      <c r="A241" s="20"/>
      <c r="B241" s="16"/>
      <c r="C241" s="102"/>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BD241" s="18"/>
    </row>
    <row r="242" spans="1:56" s="7" customFormat="1" x14ac:dyDescent="0.2">
      <c r="A242" s="20"/>
      <c r="B242" s="16"/>
      <c r="C242" s="102"/>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BD242" s="18"/>
    </row>
    <row r="243" spans="1:56" s="7" customFormat="1" x14ac:dyDescent="0.2">
      <c r="A243" s="20"/>
      <c r="B243" s="16"/>
      <c r="C243" s="102"/>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BD243" s="18"/>
    </row>
    <row r="244" spans="1:56" s="7" customFormat="1" x14ac:dyDescent="0.2">
      <c r="A244" s="20"/>
      <c r="B244" s="17"/>
      <c r="C244" s="102"/>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BD244" s="18"/>
    </row>
    <row r="245" spans="1:56" s="7" customFormat="1" x14ac:dyDescent="0.2">
      <c r="A245" s="20"/>
      <c r="B245" s="17"/>
      <c r="C245" s="102"/>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BD245" s="18"/>
    </row>
    <row r="246" spans="1:56" s="7" customFormat="1" x14ac:dyDescent="0.2">
      <c r="A246" s="20"/>
      <c r="B246" s="17"/>
      <c r="C246" s="102"/>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BD246" s="18"/>
    </row>
    <row r="247" spans="1:56" s="7" customFormat="1" x14ac:dyDescent="0.2">
      <c r="A247" s="20"/>
      <c r="B247" s="17"/>
      <c r="C247" s="102"/>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BD247" s="18"/>
    </row>
    <row r="248" spans="1:56" s="7" customFormat="1" x14ac:dyDescent="0.2">
      <c r="A248" s="20"/>
      <c r="B248" s="16"/>
      <c r="C248" s="102"/>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BD248" s="18"/>
    </row>
    <row r="249" spans="1:56" s="7" customFormat="1" x14ac:dyDescent="0.2">
      <c r="A249" s="20"/>
      <c r="B249" s="16"/>
      <c r="C249" s="102"/>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BD249" s="18"/>
    </row>
    <row r="250" spans="1:56" s="7" customFormat="1" x14ac:dyDescent="0.2">
      <c r="A250" s="20"/>
      <c r="B250" s="16"/>
      <c r="C250" s="102"/>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BD250" s="18"/>
    </row>
    <row r="251" spans="1:56" s="7" customFormat="1" x14ac:dyDescent="0.2">
      <c r="A251" s="20"/>
      <c r="B251" s="16"/>
      <c r="C251" s="102"/>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BD251" s="18"/>
    </row>
    <row r="252" spans="1:56" s="7" customFormat="1" x14ac:dyDescent="0.2">
      <c r="A252" s="20"/>
      <c r="B252" s="16"/>
      <c r="C252" s="102"/>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BD252" s="18"/>
    </row>
    <row r="253" spans="1:56" s="7" customFormat="1" x14ac:dyDescent="0.2">
      <c r="A253" s="20"/>
      <c r="B253" s="16"/>
      <c r="C253" s="102"/>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BD253" s="18"/>
    </row>
    <row r="254" spans="1:56" x14ac:dyDescent="0.2">
      <c r="B254" s="16"/>
      <c r="C254" s="102"/>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row>
    <row r="255" spans="1:56" x14ac:dyDescent="0.2">
      <c r="B255" s="16"/>
      <c r="C255" s="102"/>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row>
    <row r="256" spans="1:56" x14ac:dyDescent="0.2">
      <c r="C256" s="102"/>
    </row>
    <row r="257" spans="1:121" x14ac:dyDescent="0.2">
      <c r="C257" s="102"/>
    </row>
    <row r="258" spans="1:121" x14ac:dyDescent="0.2">
      <c r="C258" s="102"/>
    </row>
    <row r="259" spans="1:121" x14ac:dyDescent="0.2">
      <c r="C259" s="102"/>
    </row>
    <row r="260" spans="1:121" x14ac:dyDescent="0.2">
      <c r="C260" s="102"/>
    </row>
    <row r="261" spans="1:121" s="15" customFormat="1" x14ac:dyDescent="0.2">
      <c r="A261" s="20"/>
      <c r="C261" s="102"/>
      <c r="AI261" s="7"/>
      <c r="AJ261" s="7"/>
      <c r="AK261" s="7"/>
      <c r="AL261" s="7"/>
      <c r="AM261" s="7"/>
      <c r="AN261" s="7"/>
      <c r="AO261" s="7"/>
      <c r="AP261" s="7"/>
      <c r="AQ261" s="7"/>
      <c r="AR261" s="7"/>
      <c r="AS261" s="7"/>
      <c r="AT261" s="7"/>
      <c r="AU261" s="7"/>
      <c r="AV261" s="7"/>
      <c r="AW261" s="7"/>
      <c r="AX261" s="7"/>
      <c r="AY261" s="7"/>
      <c r="AZ261" s="7"/>
      <c r="BA261" s="7"/>
      <c r="BB261" s="7"/>
      <c r="BC261" s="7"/>
      <c r="BD261" s="18"/>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105"/>
    </row>
    <row r="262" spans="1:121" s="15" customFormat="1" x14ac:dyDescent="0.2">
      <c r="A262" s="20"/>
      <c r="C262" s="102"/>
      <c r="AI262" s="7"/>
      <c r="AJ262" s="7"/>
      <c r="AK262" s="7"/>
      <c r="AL262" s="7"/>
      <c r="AM262" s="7"/>
      <c r="AN262" s="7"/>
      <c r="AO262" s="7"/>
      <c r="AP262" s="7"/>
      <c r="AQ262" s="7"/>
      <c r="AR262" s="7"/>
      <c r="AS262" s="7"/>
      <c r="AT262" s="7"/>
      <c r="AU262" s="7"/>
      <c r="AV262" s="7"/>
      <c r="AW262" s="7"/>
      <c r="AX262" s="7"/>
      <c r="AY262" s="7"/>
      <c r="AZ262" s="7"/>
      <c r="BA262" s="7"/>
      <c r="BB262" s="7"/>
      <c r="BC262" s="7"/>
      <c r="BD262" s="18"/>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105"/>
    </row>
    <row r="263" spans="1:121" s="15" customFormat="1" x14ac:dyDescent="0.2">
      <c r="A263" s="20"/>
      <c r="C263" s="102"/>
      <c r="AI263" s="7"/>
      <c r="AJ263" s="7"/>
      <c r="AK263" s="7"/>
      <c r="AL263" s="7"/>
      <c r="AM263" s="7"/>
      <c r="AN263" s="7"/>
      <c r="AO263" s="7"/>
      <c r="AP263" s="7"/>
      <c r="AQ263" s="7"/>
      <c r="AR263" s="7"/>
      <c r="AS263" s="7"/>
      <c r="AT263" s="7"/>
      <c r="AU263" s="7"/>
      <c r="AV263" s="7"/>
      <c r="AW263" s="7"/>
      <c r="AX263" s="7"/>
      <c r="AY263" s="7"/>
      <c r="AZ263" s="7"/>
      <c r="BA263" s="7"/>
      <c r="BB263" s="7"/>
      <c r="BC263" s="7"/>
      <c r="BD263" s="18"/>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105"/>
    </row>
    <row r="264" spans="1:121" s="15" customFormat="1" x14ac:dyDescent="0.2">
      <c r="A264" s="20"/>
      <c r="C264" s="102"/>
      <c r="AI264" s="7"/>
      <c r="AJ264" s="7"/>
      <c r="AK264" s="7"/>
      <c r="AL264" s="7"/>
      <c r="AM264" s="7"/>
      <c r="AN264" s="7"/>
      <c r="AO264" s="7"/>
      <c r="AP264" s="7"/>
      <c r="AQ264" s="7"/>
      <c r="AR264" s="7"/>
      <c r="AS264" s="7"/>
      <c r="AT264" s="7"/>
      <c r="AU264" s="7"/>
      <c r="AV264" s="7"/>
      <c r="AW264" s="7"/>
      <c r="AX264" s="7"/>
      <c r="AY264" s="7"/>
      <c r="AZ264" s="7"/>
      <c r="BA264" s="7"/>
      <c r="BB264" s="7"/>
      <c r="BC264" s="7"/>
      <c r="BD264" s="18"/>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105"/>
    </row>
    <row r="265" spans="1:121" s="15" customFormat="1" x14ac:dyDescent="0.2">
      <c r="A265" s="20"/>
      <c r="C265" s="102"/>
      <c r="AI265" s="7"/>
      <c r="AJ265" s="7"/>
      <c r="AK265" s="7"/>
      <c r="AL265" s="7"/>
      <c r="AM265" s="7"/>
      <c r="AN265" s="7"/>
      <c r="AO265" s="7"/>
      <c r="AP265" s="7"/>
      <c r="AQ265" s="7"/>
      <c r="AR265" s="7"/>
      <c r="AS265" s="7"/>
      <c r="AT265" s="7"/>
      <c r="AU265" s="7"/>
      <c r="AV265" s="7"/>
      <c r="AW265" s="7"/>
      <c r="AX265" s="7"/>
      <c r="AY265" s="7"/>
      <c r="AZ265" s="7"/>
      <c r="BA265" s="7"/>
      <c r="BB265" s="7"/>
      <c r="BC265" s="7"/>
      <c r="BD265" s="18"/>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105"/>
    </row>
    <row r="266" spans="1:121" s="15" customFormat="1" x14ac:dyDescent="0.2">
      <c r="A266" s="20"/>
      <c r="C266" s="102"/>
      <c r="AI266" s="7"/>
      <c r="AJ266" s="7"/>
      <c r="AK266" s="7"/>
      <c r="AL266" s="7"/>
      <c r="AM266" s="7"/>
      <c r="AN266" s="7"/>
      <c r="AO266" s="7"/>
      <c r="AP266" s="7"/>
      <c r="AQ266" s="7"/>
      <c r="AR266" s="7"/>
      <c r="AS266" s="7"/>
      <c r="AT266" s="7"/>
      <c r="AU266" s="7"/>
      <c r="AV266" s="7"/>
      <c r="AW266" s="7"/>
      <c r="AX266" s="7"/>
      <c r="AY266" s="7"/>
      <c r="AZ266" s="7"/>
      <c r="BA266" s="7"/>
      <c r="BB266" s="7"/>
      <c r="BC266" s="7"/>
      <c r="BD266" s="18"/>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105"/>
    </row>
    <row r="267" spans="1:121" s="15" customFormat="1" x14ac:dyDescent="0.2">
      <c r="A267" s="20"/>
      <c r="C267" s="102"/>
      <c r="AI267" s="7"/>
      <c r="AJ267" s="7"/>
      <c r="AK267" s="7"/>
      <c r="AL267" s="7"/>
      <c r="AM267" s="7"/>
      <c r="AN267" s="7"/>
      <c r="AO267" s="7"/>
      <c r="AP267" s="7"/>
      <c r="AQ267" s="7"/>
      <c r="AR267" s="7"/>
      <c r="AS267" s="7"/>
      <c r="AT267" s="7"/>
      <c r="AU267" s="7"/>
      <c r="AV267" s="7"/>
      <c r="AW267" s="7"/>
      <c r="AX267" s="7"/>
      <c r="AY267" s="7"/>
      <c r="AZ267" s="7"/>
      <c r="BA267" s="7"/>
      <c r="BB267" s="7"/>
      <c r="BC267" s="7"/>
      <c r="BD267" s="18"/>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105"/>
    </row>
    <row r="268" spans="1:121" s="15" customFormat="1" x14ac:dyDescent="0.2">
      <c r="A268" s="20"/>
      <c r="C268" s="102"/>
      <c r="AI268" s="7"/>
      <c r="AJ268" s="7"/>
      <c r="AK268" s="7"/>
      <c r="AL268" s="7"/>
      <c r="AM268" s="7"/>
      <c r="AN268" s="7"/>
      <c r="AO268" s="7"/>
      <c r="AP268" s="7"/>
      <c r="AQ268" s="7"/>
      <c r="AR268" s="7"/>
      <c r="AS268" s="7"/>
      <c r="AT268" s="7"/>
      <c r="AU268" s="7"/>
      <c r="AV268" s="7"/>
      <c r="AW268" s="7"/>
      <c r="AX268" s="7"/>
      <c r="AY268" s="7"/>
      <c r="AZ268" s="7"/>
      <c r="BA268" s="7"/>
      <c r="BB268" s="7"/>
      <c r="BC268" s="7"/>
      <c r="BD268" s="18"/>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105"/>
    </row>
    <row r="269" spans="1:121" s="15" customFormat="1" x14ac:dyDescent="0.2">
      <c r="A269" s="20"/>
      <c r="C269" s="102"/>
      <c r="AI269" s="7"/>
      <c r="AJ269" s="7"/>
      <c r="AK269" s="7"/>
      <c r="AL269" s="7"/>
      <c r="AM269" s="7"/>
      <c r="AN269" s="7"/>
      <c r="AO269" s="7"/>
      <c r="AP269" s="7"/>
      <c r="AQ269" s="7"/>
      <c r="AR269" s="7"/>
      <c r="AS269" s="7"/>
      <c r="AT269" s="7"/>
      <c r="AU269" s="7"/>
      <c r="AV269" s="7"/>
      <c r="AW269" s="7"/>
      <c r="AX269" s="7"/>
      <c r="AY269" s="7"/>
      <c r="AZ269" s="7"/>
      <c r="BA269" s="7"/>
      <c r="BB269" s="7"/>
      <c r="BC269" s="7"/>
      <c r="BD269" s="18"/>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105"/>
    </row>
    <row r="270" spans="1:121" s="15" customFormat="1" x14ac:dyDescent="0.2">
      <c r="A270" s="20"/>
      <c r="C270" s="102"/>
      <c r="AI270" s="7"/>
      <c r="AJ270" s="7"/>
      <c r="AK270" s="7"/>
      <c r="AL270" s="7"/>
      <c r="AM270" s="7"/>
      <c r="AN270" s="7"/>
      <c r="AO270" s="7"/>
      <c r="AP270" s="7"/>
      <c r="AQ270" s="7"/>
      <c r="AR270" s="7"/>
      <c r="AS270" s="7"/>
      <c r="AT270" s="7"/>
      <c r="AU270" s="7"/>
      <c r="AV270" s="7"/>
      <c r="AW270" s="7"/>
      <c r="AX270" s="7"/>
      <c r="AY270" s="7"/>
      <c r="AZ270" s="7"/>
      <c r="BA270" s="7"/>
      <c r="BB270" s="7"/>
      <c r="BC270" s="7"/>
      <c r="BD270" s="18"/>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105"/>
    </row>
    <row r="271" spans="1:121" s="15" customFormat="1" x14ac:dyDescent="0.2">
      <c r="A271" s="20"/>
      <c r="C271" s="102"/>
      <c r="AI271" s="7"/>
      <c r="AJ271" s="7"/>
      <c r="AK271" s="7"/>
      <c r="AL271" s="7"/>
      <c r="AM271" s="7"/>
      <c r="AN271" s="7"/>
      <c r="AO271" s="7"/>
      <c r="AP271" s="7"/>
      <c r="AQ271" s="7"/>
      <c r="AR271" s="7"/>
      <c r="AS271" s="7"/>
      <c r="AT271" s="7"/>
      <c r="AU271" s="7"/>
      <c r="AV271" s="7"/>
      <c r="AW271" s="7"/>
      <c r="AX271" s="7"/>
      <c r="AY271" s="7"/>
      <c r="AZ271" s="7"/>
      <c r="BA271" s="7"/>
      <c r="BB271" s="7"/>
      <c r="BC271" s="7"/>
      <c r="BD271" s="18"/>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105"/>
    </row>
    <row r="272" spans="1:121" s="15" customFormat="1" x14ac:dyDescent="0.2">
      <c r="A272" s="20"/>
      <c r="C272" s="102"/>
      <c r="AI272" s="7"/>
      <c r="AJ272" s="7"/>
      <c r="AK272" s="7"/>
      <c r="AL272" s="7"/>
      <c r="AM272" s="7"/>
      <c r="AN272" s="7"/>
      <c r="AO272" s="7"/>
      <c r="AP272" s="7"/>
      <c r="AQ272" s="7"/>
      <c r="AR272" s="7"/>
      <c r="AS272" s="7"/>
      <c r="AT272" s="7"/>
      <c r="AU272" s="7"/>
      <c r="AV272" s="7"/>
      <c r="AW272" s="7"/>
      <c r="AX272" s="7"/>
      <c r="AY272" s="7"/>
      <c r="AZ272" s="7"/>
      <c r="BA272" s="7"/>
      <c r="BB272" s="7"/>
      <c r="BC272" s="7"/>
      <c r="BD272" s="18"/>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105"/>
    </row>
    <row r="273" spans="1:121" s="15" customFormat="1" x14ac:dyDescent="0.2">
      <c r="A273" s="20"/>
      <c r="C273" s="102"/>
      <c r="AI273" s="7"/>
      <c r="AJ273" s="7"/>
      <c r="AK273" s="7"/>
      <c r="AL273" s="7"/>
      <c r="AM273" s="7"/>
      <c r="AN273" s="7"/>
      <c r="AO273" s="7"/>
      <c r="AP273" s="7"/>
      <c r="AQ273" s="7"/>
      <c r="AR273" s="7"/>
      <c r="AS273" s="7"/>
      <c r="AT273" s="7"/>
      <c r="AU273" s="7"/>
      <c r="AV273" s="7"/>
      <c r="AW273" s="7"/>
      <c r="AX273" s="7"/>
      <c r="AY273" s="7"/>
      <c r="AZ273" s="7"/>
      <c r="BA273" s="7"/>
      <c r="BB273" s="7"/>
      <c r="BC273" s="7"/>
      <c r="BD273" s="18"/>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105"/>
    </row>
    <row r="274" spans="1:121" s="15" customFormat="1" x14ac:dyDescent="0.2">
      <c r="A274" s="20"/>
      <c r="C274" s="102"/>
      <c r="AI274" s="7"/>
      <c r="AJ274" s="7"/>
      <c r="AK274" s="7"/>
      <c r="AL274" s="7"/>
      <c r="AM274" s="7"/>
      <c r="AN274" s="7"/>
      <c r="AO274" s="7"/>
      <c r="AP274" s="7"/>
      <c r="AQ274" s="7"/>
      <c r="AR274" s="7"/>
      <c r="AS274" s="7"/>
      <c r="AT274" s="7"/>
      <c r="AU274" s="7"/>
      <c r="AV274" s="7"/>
      <c r="AW274" s="7"/>
      <c r="AX274" s="7"/>
      <c r="AY274" s="7"/>
      <c r="AZ274" s="7"/>
      <c r="BA274" s="7"/>
      <c r="BB274" s="7"/>
      <c r="BC274" s="7"/>
      <c r="BD274" s="18"/>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105"/>
    </row>
    <row r="275" spans="1:121" s="15" customFormat="1" x14ac:dyDescent="0.2">
      <c r="A275" s="20"/>
      <c r="C275" s="102"/>
      <c r="AI275" s="7"/>
      <c r="AJ275" s="7"/>
      <c r="AK275" s="7"/>
      <c r="AL275" s="7"/>
      <c r="AM275" s="7"/>
      <c r="AN275" s="7"/>
      <c r="AO275" s="7"/>
      <c r="AP275" s="7"/>
      <c r="AQ275" s="7"/>
      <c r="AR275" s="7"/>
      <c r="AS275" s="7"/>
      <c r="AT275" s="7"/>
      <c r="AU275" s="7"/>
      <c r="AV275" s="7"/>
      <c r="AW275" s="7"/>
      <c r="AX275" s="7"/>
      <c r="AY275" s="7"/>
      <c r="AZ275" s="7"/>
      <c r="BA275" s="7"/>
      <c r="BB275" s="7"/>
      <c r="BC275" s="7"/>
      <c r="BD275" s="18"/>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105"/>
    </row>
    <row r="276" spans="1:121" s="15" customFormat="1" x14ac:dyDescent="0.2">
      <c r="A276" s="20"/>
      <c r="C276" s="102"/>
      <c r="AI276" s="7"/>
      <c r="AJ276" s="7"/>
      <c r="AK276" s="7"/>
      <c r="AL276" s="7"/>
      <c r="AM276" s="7"/>
      <c r="AN276" s="7"/>
      <c r="AO276" s="7"/>
      <c r="AP276" s="7"/>
      <c r="AQ276" s="7"/>
      <c r="AR276" s="7"/>
      <c r="AS276" s="7"/>
      <c r="AT276" s="7"/>
      <c r="AU276" s="7"/>
      <c r="AV276" s="7"/>
      <c r="AW276" s="7"/>
      <c r="AX276" s="7"/>
      <c r="AY276" s="7"/>
      <c r="AZ276" s="7"/>
      <c r="BA276" s="7"/>
      <c r="BB276" s="7"/>
      <c r="BC276" s="7"/>
      <c r="BD276" s="18"/>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105"/>
    </row>
    <row r="277" spans="1:121" s="15" customFormat="1" x14ac:dyDescent="0.2">
      <c r="A277" s="20"/>
      <c r="C277" s="102"/>
      <c r="AI277" s="7"/>
      <c r="AJ277" s="7"/>
      <c r="AK277" s="7"/>
      <c r="AL277" s="7"/>
      <c r="AM277" s="7"/>
      <c r="AN277" s="7"/>
      <c r="AO277" s="7"/>
      <c r="AP277" s="7"/>
      <c r="AQ277" s="7"/>
      <c r="AR277" s="7"/>
      <c r="AS277" s="7"/>
      <c r="AT277" s="7"/>
      <c r="AU277" s="7"/>
      <c r="AV277" s="7"/>
      <c r="AW277" s="7"/>
      <c r="AX277" s="7"/>
      <c r="AY277" s="7"/>
      <c r="AZ277" s="7"/>
      <c r="BA277" s="7"/>
      <c r="BB277" s="7"/>
      <c r="BC277" s="7"/>
      <c r="BD277" s="18"/>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105"/>
    </row>
    <row r="278" spans="1:121" s="15" customFormat="1" x14ac:dyDescent="0.2">
      <c r="A278" s="20"/>
      <c r="C278" s="102"/>
      <c r="AI278" s="7"/>
      <c r="AJ278" s="7"/>
      <c r="AK278" s="7"/>
      <c r="AL278" s="7"/>
      <c r="AM278" s="7"/>
      <c r="AN278" s="7"/>
      <c r="AO278" s="7"/>
      <c r="AP278" s="7"/>
      <c r="AQ278" s="7"/>
      <c r="AR278" s="7"/>
      <c r="AS278" s="7"/>
      <c r="AT278" s="7"/>
      <c r="AU278" s="7"/>
      <c r="AV278" s="7"/>
      <c r="AW278" s="7"/>
      <c r="AX278" s="7"/>
      <c r="AY278" s="7"/>
      <c r="AZ278" s="7"/>
      <c r="BA278" s="7"/>
      <c r="BB278" s="7"/>
      <c r="BC278" s="7"/>
      <c r="BD278" s="18"/>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105"/>
    </row>
    <row r="279" spans="1:121" s="15" customFormat="1" x14ac:dyDescent="0.2">
      <c r="A279" s="20"/>
      <c r="C279" s="102"/>
      <c r="AI279" s="7"/>
      <c r="AJ279" s="7"/>
      <c r="AK279" s="7"/>
      <c r="AL279" s="7"/>
      <c r="AM279" s="7"/>
      <c r="AN279" s="7"/>
      <c r="AO279" s="7"/>
      <c r="AP279" s="7"/>
      <c r="AQ279" s="7"/>
      <c r="AR279" s="7"/>
      <c r="AS279" s="7"/>
      <c r="AT279" s="7"/>
      <c r="AU279" s="7"/>
      <c r="AV279" s="7"/>
      <c r="AW279" s="7"/>
      <c r="AX279" s="7"/>
      <c r="AY279" s="7"/>
      <c r="AZ279" s="7"/>
      <c r="BA279" s="7"/>
      <c r="BB279" s="7"/>
      <c r="BC279" s="7"/>
      <c r="BD279" s="18"/>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105"/>
    </row>
    <row r="280" spans="1:121" s="15" customFormat="1" x14ac:dyDescent="0.2">
      <c r="A280" s="20"/>
      <c r="C280" s="102"/>
      <c r="AI280" s="7"/>
      <c r="AJ280" s="7"/>
      <c r="AK280" s="7"/>
      <c r="AL280" s="7"/>
      <c r="AM280" s="7"/>
      <c r="AN280" s="7"/>
      <c r="AO280" s="7"/>
      <c r="AP280" s="7"/>
      <c r="AQ280" s="7"/>
      <c r="AR280" s="7"/>
      <c r="AS280" s="7"/>
      <c r="AT280" s="7"/>
      <c r="AU280" s="7"/>
      <c r="AV280" s="7"/>
      <c r="AW280" s="7"/>
      <c r="AX280" s="7"/>
      <c r="AY280" s="7"/>
      <c r="AZ280" s="7"/>
      <c r="BA280" s="7"/>
      <c r="BB280" s="7"/>
      <c r="BC280" s="7"/>
      <c r="BD280" s="18"/>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105"/>
    </row>
    <row r="281" spans="1:121" s="15" customFormat="1" x14ac:dyDescent="0.2">
      <c r="A281" s="20"/>
      <c r="C281" s="102"/>
      <c r="AI281" s="7"/>
      <c r="AJ281" s="7"/>
      <c r="AK281" s="7"/>
      <c r="AL281" s="7"/>
      <c r="AM281" s="7"/>
      <c r="AN281" s="7"/>
      <c r="AO281" s="7"/>
      <c r="AP281" s="7"/>
      <c r="AQ281" s="7"/>
      <c r="AR281" s="7"/>
      <c r="AS281" s="7"/>
      <c r="AT281" s="7"/>
      <c r="AU281" s="7"/>
      <c r="AV281" s="7"/>
      <c r="AW281" s="7"/>
      <c r="AX281" s="7"/>
      <c r="AY281" s="7"/>
      <c r="AZ281" s="7"/>
      <c r="BA281" s="7"/>
      <c r="BB281" s="7"/>
      <c r="BC281" s="7"/>
      <c r="BD281" s="18"/>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105"/>
    </row>
    <row r="282" spans="1:121" s="15" customFormat="1" x14ac:dyDescent="0.2">
      <c r="A282" s="20"/>
      <c r="C282" s="102"/>
      <c r="AI282" s="7"/>
      <c r="AJ282" s="7"/>
      <c r="AK282" s="7"/>
      <c r="AL282" s="7"/>
      <c r="AM282" s="7"/>
      <c r="AN282" s="7"/>
      <c r="AO282" s="7"/>
      <c r="AP282" s="7"/>
      <c r="AQ282" s="7"/>
      <c r="AR282" s="7"/>
      <c r="AS282" s="7"/>
      <c r="AT282" s="7"/>
      <c r="AU282" s="7"/>
      <c r="AV282" s="7"/>
      <c r="AW282" s="7"/>
      <c r="AX282" s="7"/>
      <c r="AY282" s="7"/>
      <c r="AZ282" s="7"/>
      <c r="BA282" s="7"/>
      <c r="BB282" s="7"/>
      <c r="BC282" s="7"/>
      <c r="BD282" s="18"/>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105"/>
    </row>
    <row r="283" spans="1:121" s="15" customFormat="1" x14ac:dyDescent="0.2">
      <c r="A283" s="20"/>
      <c r="C283" s="102"/>
      <c r="AI283" s="7"/>
      <c r="AJ283" s="7"/>
      <c r="AK283" s="7"/>
      <c r="AL283" s="7"/>
      <c r="AM283" s="7"/>
      <c r="AN283" s="7"/>
      <c r="AO283" s="7"/>
      <c r="AP283" s="7"/>
      <c r="AQ283" s="7"/>
      <c r="AR283" s="7"/>
      <c r="AS283" s="7"/>
      <c r="AT283" s="7"/>
      <c r="AU283" s="7"/>
      <c r="AV283" s="7"/>
      <c r="AW283" s="7"/>
      <c r="AX283" s="7"/>
      <c r="AY283" s="7"/>
      <c r="AZ283" s="7"/>
      <c r="BA283" s="7"/>
      <c r="BB283" s="7"/>
      <c r="BC283" s="7"/>
      <c r="BD283" s="18"/>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105"/>
    </row>
    <row r="284" spans="1:121" s="15" customFormat="1" x14ac:dyDescent="0.2">
      <c r="A284" s="20"/>
      <c r="C284" s="102"/>
      <c r="AI284" s="7"/>
      <c r="AJ284" s="7"/>
      <c r="AK284" s="7"/>
      <c r="AL284" s="7"/>
      <c r="AM284" s="7"/>
      <c r="AN284" s="7"/>
      <c r="AO284" s="7"/>
      <c r="AP284" s="7"/>
      <c r="AQ284" s="7"/>
      <c r="AR284" s="7"/>
      <c r="AS284" s="7"/>
      <c r="AT284" s="7"/>
      <c r="AU284" s="7"/>
      <c r="AV284" s="7"/>
      <c r="AW284" s="7"/>
      <c r="AX284" s="7"/>
      <c r="AY284" s="7"/>
      <c r="AZ284" s="7"/>
      <c r="BA284" s="7"/>
      <c r="BB284" s="7"/>
      <c r="BC284" s="7"/>
      <c r="BD284" s="18"/>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105"/>
    </row>
    <row r="285" spans="1:121" s="15" customFormat="1" x14ac:dyDescent="0.2">
      <c r="A285" s="20"/>
      <c r="C285" s="102"/>
      <c r="AI285" s="7"/>
      <c r="AJ285" s="7"/>
      <c r="AK285" s="7"/>
      <c r="AL285" s="7"/>
      <c r="AM285" s="7"/>
      <c r="AN285" s="7"/>
      <c r="AO285" s="7"/>
      <c r="AP285" s="7"/>
      <c r="AQ285" s="7"/>
      <c r="AR285" s="7"/>
      <c r="AS285" s="7"/>
      <c r="AT285" s="7"/>
      <c r="AU285" s="7"/>
      <c r="AV285" s="7"/>
      <c r="AW285" s="7"/>
      <c r="AX285" s="7"/>
      <c r="AY285" s="7"/>
      <c r="AZ285" s="7"/>
      <c r="BA285" s="7"/>
      <c r="BB285" s="7"/>
      <c r="BC285" s="7"/>
      <c r="BD285" s="18"/>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105"/>
    </row>
    <row r="286" spans="1:121" s="15" customFormat="1" x14ac:dyDescent="0.2">
      <c r="A286" s="20"/>
      <c r="C286" s="102"/>
      <c r="AI286" s="7"/>
      <c r="AJ286" s="7"/>
      <c r="AK286" s="7"/>
      <c r="AL286" s="7"/>
      <c r="AM286" s="7"/>
      <c r="AN286" s="7"/>
      <c r="AO286" s="7"/>
      <c r="AP286" s="7"/>
      <c r="AQ286" s="7"/>
      <c r="AR286" s="7"/>
      <c r="AS286" s="7"/>
      <c r="AT286" s="7"/>
      <c r="AU286" s="7"/>
      <c r="AV286" s="7"/>
      <c r="AW286" s="7"/>
      <c r="AX286" s="7"/>
      <c r="AY286" s="7"/>
      <c r="AZ286" s="7"/>
      <c r="BA286" s="7"/>
      <c r="BB286" s="7"/>
      <c r="BC286" s="7"/>
      <c r="BD286" s="18"/>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105"/>
    </row>
    <row r="287" spans="1:121" s="15" customFormat="1" x14ac:dyDescent="0.2">
      <c r="A287" s="20"/>
      <c r="C287" s="102"/>
      <c r="AI287" s="7"/>
      <c r="AJ287" s="7"/>
      <c r="AK287" s="7"/>
      <c r="AL287" s="7"/>
      <c r="AM287" s="7"/>
      <c r="AN287" s="7"/>
      <c r="AO287" s="7"/>
      <c r="AP287" s="7"/>
      <c r="AQ287" s="7"/>
      <c r="AR287" s="7"/>
      <c r="AS287" s="7"/>
      <c r="AT287" s="7"/>
      <c r="AU287" s="7"/>
      <c r="AV287" s="7"/>
      <c r="AW287" s="7"/>
      <c r="AX287" s="7"/>
      <c r="AY287" s="7"/>
      <c r="AZ287" s="7"/>
      <c r="BA287" s="7"/>
      <c r="BB287" s="7"/>
      <c r="BC287" s="7"/>
      <c r="BD287" s="18"/>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105"/>
    </row>
    <row r="288" spans="1:121" s="15" customFormat="1" x14ac:dyDescent="0.2">
      <c r="A288" s="20"/>
      <c r="C288" s="102"/>
      <c r="AI288" s="7"/>
      <c r="AJ288" s="7"/>
      <c r="AK288" s="7"/>
      <c r="AL288" s="7"/>
      <c r="AM288" s="7"/>
      <c r="AN288" s="7"/>
      <c r="AO288" s="7"/>
      <c r="AP288" s="7"/>
      <c r="AQ288" s="7"/>
      <c r="AR288" s="7"/>
      <c r="AS288" s="7"/>
      <c r="AT288" s="7"/>
      <c r="AU288" s="7"/>
      <c r="AV288" s="7"/>
      <c r="AW288" s="7"/>
      <c r="AX288" s="7"/>
      <c r="AY288" s="7"/>
      <c r="AZ288" s="7"/>
      <c r="BA288" s="7"/>
      <c r="BB288" s="7"/>
      <c r="BC288" s="7"/>
      <c r="BD288" s="18"/>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105"/>
    </row>
    <row r="289" spans="1:121" s="15" customFormat="1" x14ac:dyDescent="0.2">
      <c r="A289" s="20"/>
      <c r="C289" s="102"/>
      <c r="AI289" s="7"/>
      <c r="AJ289" s="7"/>
      <c r="AK289" s="7"/>
      <c r="AL289" s="7"/>
      <c r="AM289" s="7"/>
      <c r="AN289" s="7"/>
      <c r="AO289" s="7"/>
      <c r="AP289" s="7"/>
      <c r="AQ289" s="7"/>
      <c r="AR289" s="7"/>
      <c r="AS289" s="7"/>
      <c r="AT289" s="7"/>
      <c r="AU289" s="7"/>
      <c r="AV289" s="7"/>
      <c r="AW289" s="7"/>
      <c r="AX289" s="7"/>
      <c r="AY289" s="7"/>
      <c r="AZ289" s="7"/>
      <c r="BA289" s="7"/>
      <c r="BB289" s="7"/>
      <c r="BC289" s="7"/>
      <c r="BD289" s="18"/>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105"/>
    </row>
    <row r="290" spans="1:121" s="15" customFormat="1" x14ac:dyDescent="0.2">
      <c r="A290" s="20"/>
      <c r="C290" s="102"/>
      <c r="AI290" s="7"/>
      <c r="AJ290" s="7"/>
      <c r="AK290" s="7"/>
      <c r="AL290" s="7"/>
      <c r="AM290" s="7"/>
      <c r="AN290" s="7"/>
      <c r="AO290" s="7"/>
      <c r="AP290" s="7"/>
      <c r="AQ290" s="7"/>
      <c r="AR290" s="7"/>
      <c r="AS290" s="7"/>
      <c r="AT290" s="7"/>
      <c r="AU290" s="7"/>
      <c r="AV290" s="7"/>
      <c r="AW290" s="7"/>
      <c r="AX290" s="7"/>
      <c r="AY290" s="7"/>
      <c r="AZ290" s="7"/>
      <c r="BA290" s="7"/>
      <c r="BB290" s="7"/>
      <c r="BC290" s="7"/>
      <c r="BD290" s="18"/>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105"/>
    </row>
    <row r="291" spans="1:121" s="15" customFormat="1" x14ac:dyDescent="0.2">
      <c r="A291" s="20"/>
      <c r="C291" s="102"/>
      <c r="AI291" s="7"/>
      <c r="AJ291" s="7"/>
      <c r="AK291" s="7"/>
      <c r="AL291" s="7"/>
      <c r="AM291" s="7"/>
      <c r="AN291" s="7"/>
      <c r="AO291" s="7"/>
      <c r="AP291" s="7"/>
      <c r="AQ291" s="7"/>
      <c r="AR291" s="7"/>
      <c r="AS291" s="7"/>
      <c r="AT291" s="7"/>
      <c r="AU291" s="7"/>
      <c r="AV291" s="7"/>
      <c r="AW291" s="7"/>
      <c r="AX291" s="7"/>
      <c r="AY291" s="7"/>
      <c r="AZ291" s="7"/>
      <c r="BA291" s="7"/>
      <c r="BB291" s="7"/>
      <c r="BC291" s="7"/>
      <c r="BD291" s="18"/>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105"/>
    </row>
    <row r="292" spans="1:121" s="15" customFormat="1" x14ac:dyDescent="0.2">
      <c r="A292" s="20"/>
      <c r="C292" s="102"/>
      <c r="AI292" s="7"/>
      <c r="AJ292" s="7"/>
      <c r="AK292" s="7"/>
      <c r="AL292" s="7"/>
      <c r="AM292" s="7"/>
      <c r="AN292" s="7"/>
      <c r="AO292" s="7"/>
      <c r="AP292" s="7"/>
      <c r="AQ292" s="7"/>
      <c r="AR292" s="7"/>
      <c r="AS292" s="7"/>
      <c r="AT292" s="7"/>
      <c r="AU292" s="7"/>
      <c r="AV292" s="7"/>
      <c r="AW292" s="7"/>
      <c r="AX292" s="7"/>
      <c r="AY292" s="7"/>
      <c r="AZ292" s="7"/>
      <c r="BA292" s="7"/>
      <c r="BB292" s="7"/>
      <c r="BC292" s="7"/>
      <c r="BD292" s="18"/>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105"/>
    </row>
    <row r="293" spans="1:121" s="15" customFormat="1" x14ac:dyDescent="0.2">
      <c r="A293" s="20"/>
      <c r="C293" s="102"/>
      <c r="AI293" s="7"/>
      <c r="AJ293" s="7"/>
      <c r="AK293" s="7"/>
      <c r="AL293" s="7"/>
      <c r="AM293" s="7"/>
      <c r="AN293" s="7"/>
      <c r="AO293" s="7"/>
      <c r="AP293" s="7"/>
      <c r="AQ293" s="7"/>
      <c r="AR293" s="7"/>
      <c r="AS293" s="7"/>
      <c r="AT293" s="7"/>
      <c r="AU293" s="7"/>
      <c r="AV293" s="7"/>
      <c r="AW293" s="7"/>
      <c r="AX293" s="7"/>
      <c r="AY293" s="7"/>
      <c r="AZ293" s="7"/>
      <c r="BA293" s="7"/>
      <c r="BB293" s="7"/>
      <c r="BC293" s="7"/>
      <c r="BD293" s="18"/>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105"/>
    </row>
    <row r="294" spans="1:121" s="15" customFormat="1" x14ac:dyDescent="0.2">
      <c r="A294" s="20"/>
      <c r="C294" s="102"/>
      <c r="AI294" s="7"/>
      <c r="AJ294" s="7"/>
      <c r="AK294" s="7"/>
      <c r="AL294" s="7"/>
      <c r="AM294" s="7"/>
      <c r="AN294" s="7"/>
      <c r="AO294" s="7"/>
      <c r="AP294" s="7"/>
      <c r="AQ294" s="7"/>
      <c r="AR294" s="7"/>
      <c r="AS294" s="7"/>
      <c r="AT294" s="7"/>
      <c r="AU294" s="7"/>
      <c r="AV294" s="7"/>
      <c r="AW294" s="7"/>
      <c r="AX294" s="7"/>
      <c r="AY294" s="7"/>
      <c r="AZ294" s="7"/>
      <c r="BA294" s="7"/>
      <c r="BB294" s="7"/>
      <c r="BC294" s="7"/>
      <c r="BD294" s="18"/>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105"/>
    </row>
    <row r="295" spans="1:121" s="15" customFormat="1" x14ac:dyDescent="0.2">
      <c r="A295" s="20"/>
      <c r="C295" s="102"/>
      <c r="AI295" s="7"/>
      <c r="AJ295" s="7"/>
      <c r="AK295" s="7"/>
      <c r="AL295" s="7"/>
      <c r="AM295" s="7"/>
      <c r="AN295" s="7"/>
      <c r="AO295" s="7"/>
      <c r="AP295" s="7"/>
      <c r="AQ295" s="7"/>
      <c r="AR295" s="7"/>
      <c r="AS295" s="7"/>
      <c r="AT295" s="7"/>
      <c r="AU295" s="7"/>
      <c r="AV295" s="7"/>
      <c r="AW295" s="7"/>
      <c r="AX295" s="7"/>
      <c r="AY295" s="7"/>
      <c r="AZ295" s="7"/>
      <c r="BA295" s="7"/>
      <c r="BB295" s="7"/>
      <c r="BC295" s="7"/>
      <c r="BD295" s="18"/>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105"/>
    </row>
    <row r="296" spans="1:121" s="15" customFormat="1" x14ac:dyDescent="0.2">
      <c r="A296" s="20"/>
      <c r="C296" s="102"/>
      <c r="AI296" s="7"/>
      <c r="AJ296" s="7"/>
      <c r="AK296" s="7"/>
      <c r="AL296" s="7"/>
      <c r="AM296" s="7"/>
      <c r="AN296" s="7"/>
      <c r="AO296" s="7"/>
      <c r="AP296" s="7"/>
      <c r="AQ296" s="7"/>
      <c r="AR296" s="7"/>
      <c r="AS296" s="7"/>
      <c r="AT296" s="7"/>
      <c r="AU296" s="7"/>
      <c r="AV296" s="7"/>
      <c r="AW296" s="7"/>
      <c r="AX296" s="7"/>
      <c r="AY296" s="7"/>
      <c r="AZ296" s="7"/>
      <c r="BA296" s="7"/>
      <c r="BB296" s="7"/>
      <c r="BC296" s="7"/>
      <c r="BD296" s="18"/>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105"/>
    </row>
    <row r="297" spans="1:121" s="15" customFormat="1" x14ac:dyDescent="0.2">
      <c r="A297" s="20"/>
      <c r="C297" s="102"/>
      <c r="AI297" s="7"/>
      <c r="AJ297" s="7"/>
      <c r="AK297" s="7"/>
      <c r="AL297" s="7"/>
      <c r="AM297" s="7"/>
      <c r="AN297" s="7"/>
      <c r="AO297" s="7"/>
      <c r="AP297" s="7"/>
      <c r="AQ297" s="7"/>
      <c r="AR297" s="7"/>
      <c r="AS297" s="7"/>
      <c r="AT297" s="7"/>
      <c r="AU297" s="7"/>
      <c r="AV297" s="7"/>
      <c r="AW297" s="7"/>
      <c r="AX297" s="7"/>
      <c r="AY297" s="7"/>
      <c r="AZ297" s="7"/>
      <c r="BA297" s="7"/>
      <c r="BB297" s="7"/>
      <c r="BC297" s="7"/>
      <c r="BD297" s="18"/>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105"/>
    </row>
    <row r="298" spans="1:121" s="15" customFormat="1" x14ac:dyDescent="0.2">
      <c r="A298" s="20"/>
      <c r="C298" s="102"/>
      <c r="AI298" s="7"/>
      <c r="AJ298" s="7"/>
      <c r="AK298" s="7"/>
      <c r="AL298" s="7"/>
      <c r="AM298" s="7"/>
      <c r="AN298" s="7"/>
      <c r="AO298" s="7"/>
      <c r="AP298" s="7"/>
      <c r="AQ298" s="7"/>
      <c r="AR298" s="7"/>
      <c r="AS298" s="7"/>
      <c r="AT298" s="7"/>
      <c r="AU298" s="7"/>
      <c r="AV298" s="7"/>
      <c r="AW298" s="7"/>
      <c r="AX298" s="7"/>
      <c r="AY298" s="7"/>
      <c r="AZ298" s="7"/>
      <c r="BA298" s="7"/>
      <c r="BB298" s="7"/>
      <c r="BC298" s="7"/>
      <c r="BD298" s="18"/>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105"/>
    </row>
    <row r="299" spans="1:121" s="15" customFormat="1" x14ac:dyDescent="0.2">
      <c r="A299" s="20"/>
      <c r="C299" s="102"/>
      <c r="AI299" s="7"/>
      <c r="AJ299" s="7"/>
      <c r="AK299" s="7"/>
      <c r="AL299" s="7"/>
      <c r="AM299" s="7"/>
      <c r="AN299" s="7"/>
      <c r="AO299" s="7"/>
      <c r="AP299" s="7"/>
      <c r="AQ299" s="7"/>
      <c r="AR299" s="7"/>
      <c r="AS299" s="7"/>
      <c r="AT299" s="7"/>
      <c r="AU299" s="7"/>
      <c r="AV299" s="7"/>
      <c r="AW299" s="7"/>
      <c r="AX299" s="7"/>
      <c r="AY299" s="7"/>
      <c r="AZ299" s="7"/>
      <c r="BA299" s="7"/>
      <c r="BB299" s="7"/>
      <c r="BC299" s="7"/>
      <c r="BD299" s="18"/>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105"/>
    </row>
    <row r="300" spans="1:121" s="15" customFormat="1" x14ac:dyDescent="0.2">
      <c r="A300" s="20"/>
      <c r="C300" s="102"/>
      <c r="AI300" s="7"/>
      <c r="AJ300" s="7"/>
      <c r="AK300" s="7"/>
      <c r="AL300" s="7"/>
      <c r="AM300" s="7"/>
      <c r="AN300" s="7"/>
      <c r="AO300" s="7"/>
      <c r="AP300" s="7"/>
      <c r="AQ300" s="7"/>
      <c r="AR300" s="7"/>
      <c r="AS300" s="7"/>
      <c r="AT300" s="7"/>
      <c r="AU300" s="7"/>
      <c r="AV300" s="7"/>
      <c r="AW300" s="7"/>
      <c r="AX300" s="7"/>
      <c r="AY300" s="7"/>
      <c r="AZ300" s="7"/>
      <c r="BA300" s="7"/>
      <c r="BB300" s="7"/>
      <c r="BC300" s="7"/>
      <c r="BD300" s="18"/>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105"/>
    </row>
    <row r="301" spans="1:121" s="15" customFormat="1" x14ac:dyDescent="0.2">
      <c r="A301" s="20"/>
      <c r="C301" s="102"/>
      <c r="AI301" s="7"/>
      <c r="AJ301" s="7"/>
      <c r="AK301" s="7"/>
      <c r="AL301" s="7"/>
      <c r="AM301" s="7"/>
      <c r="AN301" s="7"/>
      <c r="AO301" s="7"/>
      <c r="AP301" s="7"/>
      <c r="AQ301" s="7"/>
      <c r="AR301" s="7"/>
      <c r="AS301" s="7"/>
      <c r="AT301" s="7"/>
      <c r="AU301" s="7"/>
      <c r="AV301" s="7"/>
      <c r="AW301" s="7"/>
      <c r="AX301" s="7"/>
      <c r="AY301" s="7"/>
      <c r="AZ301" s="7"/>
      <c r="BA301" s="7"/>
      <c r="BB301" s="7"/>
      <c r="BC301" s="7"/>
      <c r="BD301" s="18"/>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105"/>
    </row>
    <row r="302" spans="1:121" s="15" customFormat="1" x14ac:dyDescent="0.2">
      <c r="A302" s="20"/>
      <c r="C302" s="102"/>
      <c r="AI302" s="7"/>
      <c r="AJ302" s="7"/>
      <c r="AK302" s="7"/>
      <c r="AL302" s="7"/>
      <c r="AM302" s="7"/>
      <c r="AN302" s="7"/>
      <c r="AO302" s="7"/>
      <c r="AP302" s="7"/>
      <c r="AQ302" s="7"/>
      <c r="AR302" s="7"/>
      <c r="AS302" s="7"/>
      <c r="AT302" s="7"/>
      <c r="AU302" s="7"/>
      <c r="AV302" s="7"/>
      <c r="AW302" s="7"/>
      <c r="AX302" s="7"/>
      <c r="AY302" s="7"/>
      <c r="AZ302" s="7"/>
      <c r="BA302" s="7"/>
      <c r="BB302" s="7"/>
      <c r="BC302" s="7"/>
      <c r="BD302" s="18"/>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105"/>
    </row>
    <row r="303" spans="1:121" s="15" customFormat="1" x14ac:dyDescent="0.2">
      <c r="A303" s="20"/>
      <c r="C303" s="102"/>
      <c r="AI303" s="7"/>
      <c r="AJ303" s="7"/>
      <c r="AK303" s="7"/>
      <c r="AL303" s="7"/>
      <c r="AM303" s="7"/>
      <c r="AN303" s="7"/>
      <c r="AO303" s="7"/>
      <c r="AP303" s="7"/>
      <c r="AQ303" s="7"/>
      <c r="AR303" s="7"/>
      <c r="AS303" s="7"/>
      <c r="AT303" s="7"/>
      <c r="AU303" s="7"/>
      <c r="AV303" s="7"/>
      <c r="AW303" s="7"/>
      <c r="AX303" s="7"/>
      <c r="AY303" s="7"/>
      <c r="AZ303" s="7"/>
      <c r="BA303" s="7"/>
      <c r="BB303" s="7"/>
      <c r="BC303" s="7"/>
      <c r="BD303" s="18"/>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105"/>
    </row>
    <row r="304" spans="1:121" s="15" customFormat="1" x14ac:dyDescent="0.2">
      <c r="A304" s="20"/>
      <c r="C304" s="102"/>
      <c r="AI304" s="7"/>
      <c r="AJ304" s="7"/>
      <c r="AK304" s="7"/>
      <c r="AL304" s="7"/>
      <c r="AM304" s="7"/>
      <c r="AN304" s="7"/>
      <c r="AO304" s="7"/>
      <c r="AP304" s="7"/>
      <c r="AQ304" s="7"/>
      <c r="AR304" s="7"/>
      <c r="AS304" s="7"/>
      <c r="AT304" s="7"/>
      <c r="AU304" s="7"/>
      <c r="AV304" s="7"/>
      <c r="AW304" s="7"/>
      <c r="AX304" s="7"/>
      <c r="AY304" s="7"/>
      <c r="AZ304" s="7"/>
      <c r="BA304" s="7"/>
      <c r="BB304" s="7"/>
      <c r="BC304" s="7"/>
      <c r="BD304" s="18"/>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105"/>
    </row>
    <row r="305" spans="1:121" s="15" customFormat="1" x14ac:dyDescent="0.2">
      <c r="A305" s="20"/>
      <c r="C305" s="102"/>
      <c r="AI305" s="7"/>
      <c r="AJ305" s="7"/>
      <c r="AK305" s="7"/>
      <c r="AL305" s="7"/>
      <c r="AM305" s="7"/>
      <c r="AN305" s="7"/>
      <c r="AO305" s="7"/>
      <c r="AP305" s="7"/>
      <c r="AQ305" s="7"/>
      <c r="AR305" s="7"/>
      <c r="AS305" s="7"/>
      <c r="AT305" s="7"/>
      <c r="AU305" s="7"/>
      <c r="AV305" s="7"/>
      <c r="AW305" s="7"/>
      <c r="AX305" s="7"/>
      <c r="AY305" s="7"/>
      <c r="AZ305" s="7"/>
      <c r="BA305" s="7"/>
      <c r="BB305" s="7"/>
      <c r="BC305" s="7"/>
      <c r="BD305" s="18"/>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105"/>
    </row>
    <row r="306" spans="1:121" s="15" customFormat="1" x14ac:dyDescent="0.2">
      <c r="A306" s="20"/>
      <c r="C306" s="102"/>
      <c r="AI306" s="7"/>
      <c r="AJ306" s="7"/>
      <c r="AK306" s="7"/>
      <c r="AL306" s="7"/>
      <c r="AM306" s="7"/>
      <c r="AN306" s="7"/>
      <c r="AO306" s="7"/>
      <c r="AP306" s="7"/>
      <c r="AQ306" s="7"/>
      <c r="AR306" s="7"/>
      <c r="AS306" s="7"/>
      <c r="AT306" s="7"/>
      <c r="AU306" s="7"/>
      <c r="AV306" s="7"/>
      <c r="AW306" s="7"/>
      <c r="AX306" s="7"/>
      <c r="AY306" s="7"/>
      <c r="AZ306" s="7"/>
      <c r="BA306" s="7"/>
      <c r="BB306" s="7"/>
      <c r="BC306" s="7"/>
      <c r="BD306" s="18"/>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105"/>
    </row>
    <row r="307" spans="1:121" s="15" customFormat="1" x14ac:dyDescent="0.2">
      <c r="A307" s="20"/>
      <c r="C307" s="102"/>
      <c r="AI307" s="7"/>
      <c r="AJ307" s="7"/>
      <c r="AK307" s="7"/>
      <c r="AL307" s="7"/>
      <c r="AM307" s="7"/>
      <c r="AN307" s="7"/>
      <c r="AO307" s="7"/>
      <c r="AP307" s="7"/>
      <c r="AQ307" s="7"/>
      <c r="AR307" s="7"/>
      <c r="AS307" s="7"/>
      <c r="AT307" s="7"/>
      <c r="AU307" s="7"/>
      <c r="AV307" s="7"/>
      <c r="AW307" s="7"/>
      <c r="AX307" s="7"/>
      <c r="AY307" s="7"/>
      <c r="AZ307" s="7"/>
      <c r="BA307" s="7"/>
      <c r="BB307" s="7"/>
      <c r="BC307" s="7"/>
      <c r="BD307" s="18"/>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105"/>
    </row>
    <row r="308" spans="1:121" s="15" customFormat="1" x14ac:dyDescent="0.2">
      <c r="A308" s="20"/>
      <c r="C308" s="102"/>
      <c r="AI308" s="7"/>
      <c r="AJ308" s="7"/>
      <c r="AK308" s="7"/>
      <c r="AL308" s="7"/>
      <c r="AM308" s="7"/>
      <c r="AN308" s="7"/>
      <c r="AO308" s="7"/>
      <c r="AP308" s="7"/>
      <c r="AQ308" s="7"/>
      <c r="AR308" s="7"/>
      <c r="AS308" s="7"/>
      <c r="AT308" s="7"/>
      <c r="AU308" s="7"/>
      <c r="AV308" s="7"/>
      <c r="AW308" s="7"/>
      <c r="AX308" s="7"/>
      <c r="AY308" s="7"/>
      <c r="AZ308" s="7"/>
      <c r="BA308" s="7"/>
      <c r="BB308" s="7"/>
      <c r="BC308" s="7"/>
      <c r="BD308" s="18"/>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105"/>
    </row>
    <row r="309" spans="1:121" s="15" customFormat="1" x14ac:dyDescent="0.2">
      <c r="A309" s="20"/>
      <c r="C309" s="102"/>
      <c r="AI309" s="7"/>
      <c r="AJ309" s="7"/>
      <c r="AK309" s="7"/>
      <c r="AL309" s="7"/>
      <c r="AM309" s="7"/>
      <c r="AN309" s="7"/>
      <c r="AO309" s="7"/>
      <c r="AP309" s="7"/>
      <c r="AQ309" s="7"/>
      <c r="AR309" s="7"/>
      <c r="AS309" s="7"/>
      <c r="AT309" s="7"/>
      <c r="AU309" s="7"/>
      <c r="AV309" s="7"/>
      <c r="AW309" s="7"/>
      <c r="AX309" s="7"/>
      <c r="AY309" s="7"/>
      <c r="AZ309" s="7"/>
      <c r="BA309" s="7"/>
      <c r="BB309" s="7"/>
      <c r="BC309" s="7"/>
      <c r="BD309" s="18"/>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105"/>
    </row>
    <row r="310" spans="1:121" s="15" customFormat="1" x14ac:dyDescent="0.2">
      <c r="A310" s="20"/>
      <c r="C310" s="102"/>
      <c r="AI310" s="7"/>
      <c r="AJ310" s="7"/>
      <c r="AK310" s="7"/>
      <c r="AL310" s="7"/>
      <c r="AM310" s="7"/>
      <c r="AN310" s="7"/>
      <c r="AO310" s="7"/>
      <c r="AP310" s="7"/>
      <c r="AQ310" s="7"/>
      <c r="AR310" s="7"/>
      <c r="AS310" s="7"/>
      <c r="AT310" s="7"/>
      <c r="AU310" s="7"/>
      <c r="AV310" s="7"/>
      <c r="AW310" s="7"/>
      <c r="AX310" s="7"/>
      <c r="AY310" s="7"/>
      <c r="AZ310" s="7"/>
      <c r="BA310" s="7"/>
      <c r="BB310" s="7"/>
      <c r="BC310" s="7"/>
      <c r="BD310" s="18"/>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105"/>
    </row>
    <row r="311" spans="1:121" s="15" customFormat="1" x14ac:dyDescent="0.2">
      <c r="A311" s="20"/>
      <c r="C311" s="102"/>
      <c r="AI311" s="7"/>
      <c r="AJ311" s="7"/>
      <c r="AK311" s="7"/>
      <c r="AL311" s="7"/>
      <c r="AM311" s="7"/>
      <c r="AN311" s="7"/>
      <c r="AO311" s="7"/>
      <c r="AP311" s="7"/>
      <c r="AQ311" s="7"/>
      <c r="AR311" s="7"/>
      <c r="AS311" s="7"/>
      <c r="AT311" s="7"/>
      <c r="AU311" s="7"/>
      <c r="AV311" s="7"/>
      <c r="AW311" s="7"/>
      <c r="AX311" s="7"/>
      <c r="AY311" s="7"/>
      <c r="AZ311" s="7"/>
      <c r="BA311" s="7"/>
      <c r="BB311" s="7"/>
      <c r="BC311" s="7"/>
      <c r="BD311" s="18"/>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105"/>
    </row>
    <row r="312" spans="1:121" s="15" customFormat="1" x14ac:dyDescent="0.2">
      <c r="A312" s="20"/>
      <c r="C312" s="102"/>
      <c r="AI312" s="7"/>
      <c r="AJ312" s="7"/>
      <c r="AK312" s="7"/>
      <c r="AL312" s="7"/>
      <c r="AM312" s="7"/>
      <c r="AN312" s="7"/>
      <c r="AO312" s="7"/>
      <c r="AP312" s="7"/>
      <c r="AQ312" s="7"/>
      <c r="AR312" s="7"/>
      <c r="AS312" s="7"/>
      <c r="AT312" s="7"/>
      <c r="AU312" s="7"/>
      <c r="AV312" s="7"/>
      <c r="AW312" s="7"/>
      <c r="AX312" s="7"/>
      <c r="AY312" s="7"/>
      <c r="AZ312" s="7"/>
      <c r="BA312" s="7"/>
      <c r="BB312" s="7"/>
      <c r="BC312" s="7"/>
      <c r="BD312" s="18"/>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105"/>
    </row>
    <row r="313" spans="1:121" s="15" customFormat="1" x14ac:dyDescent="0.2">
      <c r="A313" s="20"/>
      <c r="C313" s="102"/>
      <c r="AI313" s="7"/>
      <c r="AJ313" s="7"/>
      <c r="AK313" s="7"/>
      <c r="AL313" s="7"/>
      <c r="AM313" s="7"/>
      <c r="AN313" s="7"/>
      <c r="AO313" s="7"/>
      <c r="AP313" s="7"/>
      <c r="AQ313" s="7"/>
      <c r="AR313" s="7"/>
      <c r="AS313" s="7"/>
      <c r="AT313" s="7"/>
      <c r="AU313" s="7"/>
      <c r="AV313" s="7"/>
      <c r="AW313" s="7"/>
      <c r="AX313" s="7"/>
      <c r="AY313" s="7"/>
      <c r="AZ313" s="7"/>
      <c r="BA313" s="7"/>
      <c r="BB313" s="7"/>
      <c r="BC313" s="7"/>
      <c r="BD313" s="18"/>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105"/>
    </row>
    <row r="314" spans="1:121" s="15" customFormat="1" x14ac:dyDescent="0.2">
      <c r="A314" s="20"/>
      <c r="C314" s="102"/>
      <c r="AI314" s="7"/>
      <c r="AJ314" s="7"/>
      <c r="AK314" s="7"/>
      <c r="AL314" s="7"/>
      <c r="AM314" s="7"/>
      <c r="AN314" s="7"/>
      <c r="AO314" s="7"/>
      <c r="AP314" s="7"/>
      <c r="AQ314" s="7"/>
      <c r="AR314" s="7"/>
      <c r="AS314" s="7"/>
      <c r="AT314" s="7"/>
      <c r="AU314" s="7"/>
      <c r="AV314" s="7"/>
      <c r="AW314" s="7"/>
      <c r="AX314" s="7"/>
      <c r="AY314" s="7"/>
      <c r="AZ314" s="7"/>
      <c r="BA314" s="7"/>
      <c r="BB314" s="7"/>
      <c r="BC314" s="7"/>
      <c r="BD314" s="18"/>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105"/>
    </row>
    <row r="315" spans="1:121" s="15" customFormat="1" x14ac:dyDescent="0.2">
      <c r="A315" s="20"/>
      <c r="C315" s="102"/>
      <c r="AI315" s="7"/>
      <c r="AJ315" s="7"/>
      <c r="AK315" s="7"/>
      <c r="AL315" s="7"/>
      <c r="AM315" s="7"/>
      <c r="AN315" s="7"/>
      <c r="AO315" s="7"/>
      <c r="AP315" s="7"/>
      <c r="AQ315" s="7"/>
      <c r="AR315" s="7"/>
      <c r="AS315" s="7"/>
      <c r="AT315" s="7"/>
      <c r="AU315" s="7"/>
      <c r="AV315" s="7"/>
      <c r="AW315" s="7"/>
      <c r="AX315" s="7"/>
      <c r="AY315" s="7"/>
      <c r="AZ315" s="7"/>
      <c r="BA315" s="7"/>
      <c r="BB315" s="7"/>
      <c r="BC315" s="7"/>
      <c r="BD315" s="18"/>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105"/>
    </row>
    <row r="316" spans="1:121" s="15" customFormat="1" x14ac:dyDescent="0.2">
      <c r="A316" s="20"/>
      <c r="C316" s="102"/>
      <c r="AI316" s="7"/>
      <c r="AJ316" s="7"/>
      <c r="AK316" s="7"/>
      <c r="AL316" s="7"/>
      <c r="AM316" s="7"/>
      <c r="AN316" s="7"/>
      <c r="AO316" s="7"/>
      <c r="AP316" s="7"/>
      <c r="AQ316" s="7"/>
      <c r="AR316" s="7"/>
      <c r="AS316" s="7"/>
      <c r="AT316" s="7"/>
      <c r="AU316" s="7"/>
      <c r="AV316" s="7"/>
      <c r="AW316" s="7"/>
      <c r="AX316" s="7"/>
      <c r="AY316" s="7"/>
      <c r="AZ316" s="7"/>
      <c r="BA316" s="7"/>
      <c r="BB316" s="7"/>
      <c r="BC316" s="7"/>
      <c r="BD316" s="18"/>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105"/>
    </row>
    <row r="317" spans="1:121" s="15" customFormat="1" x14ac:dyDescent="0.2">
      <c r="A317" s="20"/>
      <c r="C317" s="102"/>
      <c r="AI317" s="7"/>
      <c r="AJ317" s="7"/>
      <c r="AK317" s="7"/>
      <c r="AL317" s="7"/>
      <c r="AM317" s="7"/>
      <c r="AN317" s="7"/>
      <c r="AO317" s="7"/>
      <c r="AP317" s="7"/>
      <c r="AQ317" s="7"/>
      <c r="AR317" s="7"/>
      <c r="AS317" s="7"/>
      <c r="AT317" s="7"/>
      <c r="AU317" s="7"/>
      <c r="AV317" s="7"/>
      <c r="AW317" s="7"/>
      <c r="AX317" s="7"/>
      <c r="AY317" s="7"/>
      <c r="AZ317" s="7"/>
      <c r="BA317" s="7"/>
      <c r="BB317" s="7"/>
      <c r="BC317" s="7"/>
      <c r="BD317" s="18"/>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105"/>
    </row>
    <row r="318" spans="1:121" s="15" customFormat="1" x14ac:dyDescent="0.2">
      <c r="A318" s="20"/>
      <c r="C318" s="102"/>
      <c r="AI318" s="7"/>
      <c r="AJ318" s="7"/>
      <c r="AK318" s="7"/>
      <c r="AL318" s="7"/>
      <c r="AM318" s="7"/>
      <c r="AN318" s="7"/>
      <c r="AO318" s="7"/>
      <c r="AP318" s="7"/>
      <c r="AQ318" s="7"/>
      <c r="AR318" s="7"/>
      <c r="AS318" s="7"/>
      <c r="AT318" s="7"/>
      <c r="AU318" s="7"/>
      <c r="AV318" s="7"/>
      <c r="AW318" s="7"/>
      <c r="AX318" s="7"/>
      <c r="AY318" s="7"/>
      <c r="AZ318" s="7"/>
      <c r="BA318" s="7"/>
      <c r="BB318" s="7"/>
      <c r="BC318" s="7"/>
      <c r="BD318" s="18"/>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105"/>
    </row>
    <row r="319" spans="1:121" s="15" customFormat="1" x14ac:dyDescent="0.2">
      <c r="A319" s="20"/>
      <c r="C319" s="102"/>
      <c r="AI319" s="7"/>
      <c r="AJ319" s="7"/>
      <c r="AK319" s="7"/>
      <c r="AL319" s="7"/>
      <c r="AM319" s="7"/>
      <c r="AN319" s="7"/>
      <c r="AO319" s="7"/>
      <c r="AP319" s="7"/>
      <c r="AQ319" s="7"/>
      <c r="AR319" s="7"/>
      <c r="AS319" s="7"/>
      <c r="AT319" s="7"/>
      <c r="AU319" s="7"/>
      <c r="AV319" s="7"/>
      <c r="AW319" s="7"/>
      <c r="AX319" s="7"/>
      <c r="AY319" s="7"/>
      <c r="AZ319" s="7"/>
      <c r="BA319" s="7"/>
      <c r="BB319" s="7"/>
      <c r="BC319" s="7"/>
      <c r="BD319" s="18"/>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105"/>
    </row>
    <row r="320" spans="1:121" s="15" customFormat="1" x14ac:dyDescent="0.2">
      <c r="A320" s="20"/>
      <c r="C320" s="102"/>
      <c r="AI320" s="7"/>
      <c r="AJ320" s="7"/>
      <c r="AK320" s="7"/>
      <c r="AL320" s="7"/>
      <c r="AM320" s="7"/>
      <c r="AN320" s="7"/>
      <c r="AO320" s="7"/>
      <c r="AP320" s="7"/>
      <c r="AQ320" s="7"/>
      <c r="AR320" s="7"/>
      <c r="AS320" s="7"/>
      <c r="AT320" s="7"/>
      <c r="AU320" s="7"/>
      <c r="AV320" s="7"/>
      <c r="AW320" s="7"/>
      <c r="AX320" s="7"/>
      <c r="AY320" s="7"/>
      <c r="AZ320" s="7"/>
      <c r="BA320" s="7"/>
      <c r="BB320" s="7"/>
      <c r="BC320" s="7"/>
      <c r="BD320" s="18"/>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105"/>
    </row>
    <row r="321" spans="1:121" s="15" customFormat="1" x14ac:dyDescent="0.2">
      <c r="A321" s="20"/>
      <c r="C321" s="102"/>
      <c r="AI321" s="7"/>
      <c r="AJ321" s="7"/>
      <c r="AK321" s="7"/>
      <c r="AL321" s="7"/>
      <c r="AM321" s="7"/>
      <c r="AN321" s="7"/>
      <c r="AO321" s="7"/>
      <c r="AP321" s="7"/>
      <c r="AQ321" s="7"/>
      <c r="AR321" s="7"/>
      <c r="AS321" s="7"/>
      <c r="AT321" s="7"/>
      <c r="AU321" s="7"/>
      <c r="AV321" s="7"/>
      <c r="AW321" s="7"/>
      <c r="AX321" s="7"/>
      <c r="AY321" s="7"/>
      <c r="AZ321" s="7"/>
      <c r="BA321" s="7"/>
      <c r="BB321" s="7"/>
      <c r="BC321" s="7"/>
      <c r="BD321" s="18"/>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105"/>
    </row>
    <row r="322" spans="1:121" s="15" customFormat="1" x14ac:dyDescent="0.2">
      <c r="A322" s="20"/>
      <c r="C322" s="102"/>
      <c r="AI322" s="7"/>
      <c r="AJ322" s="7"/>
      <c r="AK322" s="7"/>
      <c r="AL322" s="7"/>
      <c r="AM322" s="7"/>
      <c r="AN322" s="7"/>
      <c r="AO322" s="7"/>
      <c r="AP322" s="7"/>
      <c r="AQ322" s="7"/>
      <c r="AR322" s="7"/>
      <c r="AS322" s="7"/>
      <c r="AT322" s="7"/>
      <c r="AU322" s="7"/>
      <c r="AV322" s="7"/>
      <c r="AW322" s="7"/>
      <c r="AX322" s="7"/>
      <c r="AY322" s="7"/>
      <c r="AZ322" s="7"/>
      <c r="BA322" s="7"/>
      <c r="BB322" s="7"/>
      <c r="BC322" s="7"/>
      <c r="BD322" s="18"/>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105"/>
    </row>
    <row r="323" spans="1:121" s="15" customFormat="1" x14ac:dyDescent="0.2">
      <c r="A323" s="20"/>
      <c r="C323" s="102"/>
      <c r="AI323" s="7"/>
      <c r="AJ323" s="7"/>
      <c r="AK323" s="7"/>
      <c r="AL323" s="7"/>
      <c r="AM323" s="7"/>
      <c r="AN323" s="7"/>
      <c r="AO323" s="7"/>
      <c r="AP323" s="7"/>
      <c r="AQ323" s="7"/>
      <c r="AR323" s="7"/>
      <c r="AS323" s="7"/>
      <c r="AT323" s="7"/>
      <c r="AU323" s="7"/>
      <c r="AV323" s="7"/>
      <c r="AW323" s="7"/>
      <c r="AX323" s="7"/>
      <c r="AY323" s="7"/>
      <c r="AZ323" s="7"/>
      <c r="BA323" s="7"/>
      <c r="BB323" s="7"/>
      <c r="BC323" s="7"/>
      <c r="BD323" s="18"/>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105"/>
    </row>
    <row r="324" spans="1:121" s="15" customFormat="1" x14ac:dyDescent="0.2">
      <c r="A324" s="20"/>
      <c r="C324" s="102"/>
      <c r="AI324" s="7"/>
      <c r="AJ324" s="7"/>
      <c r="AK324" s="7"/>
      <c r="AL324" s="7"/>
      <c r="AM324" s="7"/>
      <c r="AN324" s="7"/>
      <c r="AO324" s="7"/>
      <c r="AP324" s="7"/>
      <c r="AQ324" s="7"/>
      <c r="AR324" s="7"/>
      <c r="AS324" s="7"/>
      <c r="AT324" s="7"/>
      <c r="AU324" s="7"/>
      <c r="AV324" s="7"/>
      <c r="AW324" s="7"/>
      <c r="AX324" s="7"/>
      <c r="AY324" s="7"/>
      <c r="AZ324" s="7"/>
      <c r="BA324" s="7"/>
      <c r="BB324" s="7"/>
      <c r="BC324" s="7"/>
      <c r="BD324" s="18"/>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105"/>
    </row>
    <row r="325" spans="1:121" s="15" customFormat="1" x14ac:dyDescent="0.2">
      <c r="A325" s="20"/>
      <c r="C325" s="102"/>
      <c r="AI325" s="7"/>
      <c r="AJ325" s="7"/>
      <c r="AK325" s="7"/>
      <c r="AL325" s="7"/>
      <c r="AM325" s="7"/>
      <c r="AN325" s="7"/>
      <c r="AO325" s="7"/>
      <c r="AP325" s="7"/>
      <c r="AQ325" s="7"/>
      <c r="AR325" s="7"/>
      <c r="AS325" s="7"/>
      <c r="AT325" s="7"/>
      <c r="AU325" s="7"/>
      <c r="AV325" s="7"/>
      <c r="AW325" s="7"/>
      <c r="AX325" s="7"/>
      <c r="AY325" s="7"/>
      <c r="AZ325" s="7"/>
      <c r="BA325" s="7"/>
      <c r="BB325" s="7"/>
      <c r="BC325" s="7"/>
      <c r="BD325" s="18"/>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105"/>
    </row>
    <row r="326" spans="1:121" s="15" customFormat="1" x14ac:dyDescent="0.2">
      <c r="A326" s="20"/>
      <c r="C326" s="102"/>
      <c r="AI326" s="7"/>
      <c r="AJ326" s="7"/>
      <c r="AK326" s="7"/>
      <c r="AL326" s="7"/>
      <c r="AM326" s="7"/>
      <c r="AN326" s="7"/>
      <c r="AO326" s="7"/>
      <c r="AP326" s="7"/>
      <c r="AQ326" s="7"/>
      <c r="AR326" s="7"/>
      <c r="AS326" s="7"/>
      <c r="AT326" s="7"/>
      <c r="AU326" s="7"/>
      <c r="AV326" s="7"/>
      <c r="AW326" s="7"/>
      <c r="AX326" s="7"/>
      <c r="AY326" s="7"/>
      <c r="AZ326" s="7"/>
      <c r="BA326" s="7"/>
      <c r="BB326" s="7"/>
      <c r="BC326" s="7"/>
      <c r="BD326" s="18"/>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105"/>
    </row>
    <row r="327" spans="1:121" s="15" customFormat="1" x14ac:dyDescent="0.2">
      <c r="A327" s="20"/>
      <c r="C327" s="102"/>
      <c r="AI327" s="7"/>
      <c r="AJ327" s="7"/>
      <c r="AK327" s="7"/>
      <c r="AL327" s="7"/>
      <c r="AM327" s="7"/>
      <c r="AN327" s="7"/>
      <c r="AO327" s="7"/>
      <c r="AP327" s="7"/>
      <c r="AQ327" s="7"/>
      <c r="AR327" s="7"/>
      <c r="AS327" s="7"/>
      <c r="AT327" s="7"/>
      <c r="AU327" s="7"/>
      <c r="AV327" s="7"/>
      <c r="AW327" s="7"/>
      <c r="AX327" s="7"/>
      <c r="AY327" s="7"/>
      <c r="AZ327" s="7"/>
      <c r="BA327" s="7"/>
      <c r="BB327" s="7"/>
      <c r="BC327" s="7"/>
      <c r="BD327" s="18"/>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105"/>
    </row>
    <row r="328" spans="1:121" s="15" customFormat="1" x14ac:dyDescent="0.2">
      <c r="A328" s="20"/>
      <c r="C328" s="102"/>
      <c r="AI328" s="7"/>
      <c r="AJ328" s="7"/>
      <c r="AK328" s="7"/>
      <c r="AL328" s="7"/>
      <c r="AM328" s="7"/>
      <c r="AN328" s="7"/>
      <c r="AO328" s="7"/>
      <c r="AP328" s="7"/>
      <c r="AQ328" s="7"/>
      <c r="AR328" s="7"/>
      <c r="AS328" s="7"/>
      <c r="AT328" s="7"/>
      <c r="AU328" s="7"/>
      <c r="AV328" s="7"/>
      <c r="AW328" s="7"/>
      <c r="AX328" s="7"/>
      <c r="AY328" s="7"/>
      <c r="AZ328" s="7"/>
      <c r="BA328" s="7"/>
      <c r="BB328" s="7"/>
      <c r="BC328" s="7"/>
      <c r="BD328" s="18"/>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105"/>
    </row>
    <row r="329" spans="1:121" s="15" customFormat="1" x14ac:dyDescent="0.2">
      <c r="A329" s="20"/>
      <c r="C329" s="102"/>
      <c r="AI329" s="7"/>
      <c r="AJ329" s="7"/>
      <c r="AK329" s="7"/>
      <c r="AL329" s="7"/>
      <c r="AM329" s="7"/>
      <c r="AN329" s="7"/>
      <c r="AO329" s="7"/>
      <c r="AP329" s="7"/>
      <c r="AQ329" s="7"/>
      <c r="AR329" s="7"/>
      <c r="AS329" s="7"/>
      <c r="AT329" s="7"/>
      <c r="AU329" s="7"/>
      <c r="AV329" s="7"/>
      <c r="AW329" s="7"/>
      <c r="AX329" s="7"/>
      <c r="AY329" s="7"/>
      <c r="AZ329" s="7"/>
      <c r="BA329" s="7"/>
      <c r="BB329" s="7"/>
      <c r="BC329" s="7"/>
      <c r="BD329" s="18"/>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105"/>
    </row>
    <row r="330" spans="1:121" s="15" customFormat="1" x14ac:dyDescent="0.2">
      <c r="A330" s="20"/>
      <c r="C330" s="102"/>
      <c r="AI330" s="7"/>
      <c r="AJ330" s="7"/>
      <c r="AK330" s="7"/>
      <c r="AL330" s="7"/>
      <c r="AM330" s="7"/>
      <c r="AN330" s="7"/>
      <c r="AO330" s="7"/>
      <c r="AP330" s="7"/>
      <c r="AQ330" s="7"/>
      <c r="AR330" s="7"/>
      <c r="AS330" s="7"/>
      <c r="AT330" s="7"/>
      <c r="AU330" s="7"/>
      <c r="AV330" s="7"/>
      <c r="AW330" s="7"/>
      <c r="AX330" s="7"/>
      <c r="AY330" s="7"/>
      <c r="AZ330" s="7"/>
      <c r="BA330" s="7"/>
      <c r="BB330" s="7"/>
      <c r="BC330" s="7"/>
      <c r="BD330" s="18"/>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105"/>
    </row>
    <row r="331" spans="1:121" s="15" customFormat="1" x14ac:dyDescent="0.2">
      <c r="A331" s="20"/>
      <c r="C331" s="102"/>
      <c r="AI331" s="7"/>
      <c r="AJ331" s="7"/>
      <c r="AK331" s="7"/>
      <c r="AL331" s="7"/>
      <c r="AM331" s="7"/>
      <c r="AN331" s="7"/>
      <c r="AO331" s="7"/>
      <c r="AP331" s="7"/>
      <c r="AQ331" s="7"/>
      <c r="AR331" s="7"/>
      <c r="AS331" s="7"/>
      <c r="AT331" s="7"/>
      <c r="AU331" s="7"/>
      <c r="AV331" s="7"/>
      <c r="AW331" s="7"/>
      <c r="AX331" s="7"/>
      <c r="AY331" s="7"/>
      <c r="AZ331" s="7"/>
      <c r="BA331" s="7"/>
      <c r="BB331" s="7"/>
      <c r="BC331" s="7"/>
      <c r="BD331" s="18"/>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105"/>
    </row>
    <row r="332" spans="1:121" s="15" customFormat="1" x14ac:dyDescent="0.2">
      <c r="A332" s="20"/>
      <c r="C332" s="102"/>
      <c r="AI332" s="7"/>
      <c r="AJ332" s="7"/>
      <c r="AK332" s="7"/>
      <c r="AL332" s="7"/>
      <c r="AM332" s="7"/>
      <c r="AN332" s="7"/>
      <c r="AO332" s="7"/>
      <c r="AP332" s="7"/>
      <c r="AQ332" s="7"/>
      <c r="AR332" s="7"/>
      <c r="AS332" s="7"/>
      <c r="AT332" s="7"/>
      <c r="AU332" s="7"/>
      <c r="AV332" s="7"/>
      <c r="AW332" s="7"/>
      <c r="AX332" s="7"/>
      <c r="AY332" s="7"/>
      <c r="AZ332" s="7"/>
      <c r="BA332" s="7"/>
      <c r="BB332" s="7"/>
      <c r="BC332" s="7"/>
      <c r="BD332" s="18"/>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105"/>
    </row>
    <row r="333" spans="1:121" s="15" customFormat="1" x14ac:dyDescent="0.2">
      <c r="A333" s="20"/>
      <c r="C333" s="102"/>
      <c r="AI333" s="7"/>
      <c r="AJ333" s="7"/>
      <c r="AK333" s="7"/>
      <c r="AL333" s="7"/>
      <c r="AM333" s="7"/>
      <c r="AN333" s="7"/>
      <c r="AO333" s="7"/>
      <c r="AP333" s="7"/>
      <c r="AQ333" s="7"/>
      <c r="AR333" s="7"/>
      <c r="AS333" s="7"/>
      <c r="AT333" s="7"/>
      <c r="AU333" s="7"/>
      <c r="AV333" s="7"/>
      <c r="AW333" s="7"/>
      <c r="AX333" s="7"/>
      <c r="AY333" s="7"/>
      <c r="AZ333" s="7"/>
      <c r="BA333" s="7"/>
      <c r="BB333" s="7"/>
      <c r="BC333" s="7"/>
      <c r="BD333" s="18"/>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105"/>
    </row>
    <row r="334" spans="1:121" s="15" customFormat="1" x14ac:dyDescent="0.2">
      <c r="A334" s="20"/>
      <c r="C334" s="102"/>
      <c r="AI334" s="7"/>
      <c r="AJ334" s="7"/>
      <c r="AK334" s="7"/>
      <c r="AL334" s="7"/>
      <c r="AM334" s="7"/>
      <c r="AN334" s="7"/>
      <c r="AO334" s="7"/>
      <c r="AP334" s="7"/>
      <c r="AQ334" s="7"/>
      <c r="AR334" s="7"/>
      <c r="AS334" s="7"/>
      <c r="AT334" s="7"/>
      <c r="AU334" s="7"/>
      <c r="AV334" s="7"/>
      <c r="AW334" s="7"/>
      <c r="AX334" s="7"/>
      <c r="AY334" s="7"/>
      <c r="AZ334" s="7"/>
      <c r="BA334" s="7"/>
      <c r="BB334" s="7"/>
      <c r="BC334" s="7"/>
      <c r="BD334" s="18"/>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105"/>
    </row>
    <row r="335" spans="1:121" s="15" customFormat="1" x14ac:dyDescent="0.2">
      <c r="A335" s="20"/>
      <c r="C335" s="102"/>
      <c r="AI335" s="7"/>
      <c r="AJ335" s="7"/>
      <c r="AK335" s="7"/>
      <c r="AL335" s="7"/>
      <c r="AM335" s="7"/>
      <c r="AN335" s="7"/>
      <c r="AO335" s="7"/>
      <c r="AP335" s="7"/>
      <c r="AQ335" s="7"/>
      <c r="AR335" s="7"/>
      <c r="AS335" s="7"/>
      <c r="AT335" s="7"/>
      <c r="AU335" s="7"/>
      <c r="AV335" s="7"/>
      <c r="AW335" s="7"/>
      <c r="AX335" s="7"/>
      <c r="AY335" s="7"/>
      <c r="AZ335" s="7"/>
      <c r="BA335" s="7"/>
      <c r="BB335" s="7"/>
      <c r="BC335" s="7"/>
      <c r="BD335" s="18"/>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105"/>
    </row>
    <row r="336" spans="1:121" s="15" customFormat="1" x14ac:dyDescent="0.2">
      <c r="A336" s="20"/>
      <c r="C336" s="102"/>
      <c r="AI336" s="7"/>
      <c r="AJ336" s="7"/>
      <c r="AK336" s="7"/>
      <c r="AL336" s="7"/>
      <c r="AM336" s="7"/>
      <c r="AN336" s="7"/>
      <c r="AO336" s="7"/>
      <c r="AP336" s="7"/>
      <c r="AQ336" s="7"/>
      <c r="AR336" s="7"/>
      <c r="AS336" s="7"/>
      <c r="AT336" s="7"/>
      <c r="AU336" s="7"/>
      <c r="AV336" s="7"/>
      <c r="AW336" s="7"/>
      <c r="AX336" s="7"/>
      <c r="AY336" s="7"/>
      <c r="AZ336" s="7"/>
      <c r="BA336" s="7"/>
      <c r="BB336" s="7"/>
      <c r="BC336" s="7"/>
      <c r="BD336" s="18"/>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105"/>
    </row>
    <row r="337" spans="1:121" s="15" customFormat="1" x14ac:dyDescent="0.2">
      <c r="A337" s="20"/>
      <c r="C337" s="102"/>
      <c r="AI337" s="7"/>
      <c r="AJ337" s="7"/>
      <c r="AK337" s="7"/>
      <c r="AL337" s="7"/>
      <c r="AM337" s="7"/>
      <c r="AN337" s="7"/>
      <c r="AO337" s="7"/>
      <c r="AP337" s="7"/>
      <c r="AQ337" s="7"/>
      <c r="AR337" s="7"/>
      <c r="AS337" s="7"/>
      <c r="AT337" s="7"/>
      <c r="AU337" s="7"/>
      <c r="AV337" s="7"/>
      <c r="AW337" s="7"/>
      <c r="AX337" s="7"/>
      <c r="AY337" s="7"/>
      <c r="AZ337" s="7"/>
      <c r="BA337" s="7"/>
      <c r="BB337" s="7"/>
      <c r="BC337" s="7"/>
      <c r="BD337" s="18"/>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105"/>
    </row>
    <row r="338" spans="1:121" s="15" customFormat="1" x14ac:dyDescent="0.2">
      <c r="A338" s="20"/>
      <c r="C338" s="102"/>
      <c r="AI338" s="7"/>
      <c r="AJ338" s="7"/>
      <c r="AK338" s="7"/>
      <c r="AL338" s="7"/>
      <c r="AM338" s="7"/>
      <c r="AN338" s="7"/>
      <c r="AO338" s="7"/>
      <c r="AP338" s="7"/>
      <c r="AQ338" s="7"/>
      <c r="AR338" s="7"/>
      <c r="AS338" s="7"/>
      <c r="AT338" s="7"/>
      <c r="AU338" s="7"/>
      <c r="AV338" s="7"/>
      <c r="AW338" s="7"/>
      <c r="AX338" s="7"/>
      <c r="AY338" s="7"/>
      <c r="AZ338" s="7"/>
      <c r="BA338" s="7"/>
      <c r="BB338" s="7"/>
      <c r="BC338" s="7"/>
      <c r="BD338" s="18"/>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105"/>
    </row>
    <row r="339" spans="1:121" s="15" customFormat="1" x14ac:dyDescent="0.2">
      <c r="A339" s="20"/>
      <c r="C339" s="102"/>
      <c r="AI339" s="7"/>
      <c r="AJ339" s="7"/>
      <c r="AK339" s="7"/>
      <c r="AL339" s="7"/>
      <c r="AM339" s="7"/>
      <c r="AN339" s="7"/>
      <c r="AO339" s="7"/>
      <c r="AP339" s="7"/>
      <c r="AQ339" s="7"/>
      <c r="AR339" s="7"/>
      <c r="AS339" s="7"/>
      <c r="AT339" s="7"/>
      <c r="AU339" s="7"/>
      <c r="AV339" s="7"/>
      <c r="AW339" s="7"/>
      <c r="AX339" s="7"/>
      <c r="AY339" s="7"/>
      <c r="AZ339" s="7"/>
      <c r="BA339" s="7"/>
      <c r="BB339" s="7"/>
      <c r="BC339" s="7"/>
      <c r="BD339" s="18"/>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105"/>
    </row>
    <row r="340" spans="1:121" s="15" customFormat="1" x14ac:dyDescent="0.2">
      <c r="A340" s="20"/>
      <c r="C340" s="102"/>
      <c r="AI340" s="7"/>
      <c r="AJ340" s="7"/>
      <c r="AK340" s="7"/>
      <c r="AL340" s="7"/>
      <c r="AM340" s="7"/>
      <c r="AN340" s="7"/>
      <c r="AO340" s="7"/>
      <c r="AP340" s="7"/>
      <c r="AQ340" s="7"/>
      <c r="AR340" s="7"/>
      <c r="AS340" s="7"/>
      <c r="AT340" s="7"/>
      <c r="AU340" s="7"/>
      <c r="AV340" s="7"/>
      <c r="AW340" s="7"/>
      <c r="AX340" s="7"/>
      <c r="AY340" s="7"/>
      <c r="AZ340" s="7"/>
      <c r="BA340" s="7"/>
      <c r="BB340" s="7"/>
      <c r="BC340" s="7"/>
      <c r="BD340" s="18"/>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105"/>
    </row>
    <row r="341" spans="1:121" s="15" customFormat="1" x14ac:dyDescent="0.2">
      <c r="A341" s="20"/>
      <c r="C341" s="102"/>
      <c r="AI341" s="7"/>
      <c r="AJ341" s="7"/>
      <c r="AK341" s="7"/>
      <c r="AL341" s="7"/>
      <c r="AM341" s="7"/>
      <c r="AN341" s="7"/>
      <c r="AO341" s="7"/>
      <c r="AP341" s="7"/>
      <c r="AQ341" s="7"/>
      <c r="AR341" s="7"/>
      <c r="AS341" s="7"/>
      <c r="AT341" s="7"/>
      <c r="AU341" s="7"/>
      <c r="AV341" s="7"/>
      <c r="AW341" s="7"/>
      <c r="AX341" s="7"/>
      <c r="AY341" s="7"/>
      <c r="AZ341" s="7"/>
      <c r="BA341" s="7"/>
      <c r="BB341" s="7"/>
      <c r="BC341" s="7"/>
      <c r="BD341" s="18"/>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105"/>
    </row>
    <row r="342" spans="1:121" s="15" customFormat="1" x14ac:dyDescent="0.2">
      <c r="A342" s="20"/>
      <c r="C342" s="102"/>
      <c r="AI342" s="7"/>
      <c r="AJ342" s="7"/>
      <c r="AK342" s="7"/>
      <c r="AL342" s="7"/>
      <c r="AM342" s="7"/>
      <c r="AN342" s="7"/>
      <c r="AO342" s="7"/>
      <c r="AP342" s="7"/>
      <c r="AQ342" s="7"/>
      <c r="AR342" s="7"/>
      <c r="AS342" s="7"/>
      <c r="AT342" s="7"/>
      <c r="AU342" s="7"/>
      <c r="AV342" s="7"/>
      <c r="AW342" s="7"/>
      <c r="AX342" s="7"/>
      <c r="AY342" s="7"/>
      <c r="AZ342" s="7"/>
      <c r="BA342" s="7"/>
      <c r="BB342" s="7"/>
      <c r="BC342" s="7"/>
      <c r="BD342" s="18"/>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105"/>
    </row>
    <row r="343" spans="1:121" s="15" customFormat="1" x14ac:dyDescent="0.2">
      <c r="A343" s="20"/>
      <c r="C343" s="102"/>
      <c r="AI343" s="7"/>
      <c r="AJ343" s="7"/>
      <c r="AK343" s="7"/>
      <c r="AL343" s="7"/>
      <c r="AM343" s="7"/>
      <c r="AN343" s="7"/>
      <c r="AO343" s="7"/>
      <c r="AP343" s="7"/>
      <c r="AQ343" s="7"/>
      <c r="AR343" s="7"/>
      <c r="AS343" s="7"/>
      <c r="AT343" s="7"/>
      <c r="AU343" s="7"/>
      <c r="AV343" s="7"/>
      <c r="AW343" s="7"/>
      <c r="AX343" s="7"/>
      <c r="AY343" s="7"/>
      <c r="AZ343" s="7"/>
      <c r="BA343" s="7"/>
      <c r="BB343" s="7"/>
      <c r="BC343" s="7"/>
      <c r="BD343" s="18"/>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105"/>
    </row>
    <row r="344" spans="1:121" s="15" customFormat="1" x14ac:dyDescent="0.2">
      <c r="A344" s="20"/>
      <c r="C344" s="102"/>
      <c r="AI344" s="7"/>
      <c r="AJ344" s="7"/>
      <c r="AK344" s="7"/>
      <c r="AL344" s="7"/>
      <c r="AM344" s="7"/>
      <c r="AN344" s="7"/>
      <c r="AO344" s="7"/>
      <c r="AP344" s="7"/>
      <c r="AQ344" s="7"/>
      <c r="AR344" s="7"/>
      <c r="AS344" s="7"/>
      <c r="AT344" s="7"/>
      <c r="AU344" s="7"/>
      <c r="AV344" s="7"/>
      <c r="AW344" s="7"/>
      <c r="AX344" s="7"/>
      <c r="AY344" s="7"/>
      <c r="AZ344" s="7"/>
      <c r="BA344" s="7"/>
      <c r="BB344" s="7"/>
      <c r="BC344" s="7"/>
      <c r="BD344" s="18"/>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105"/>
    </row>
    <row r="345" spans="1:121" s="15" customFormat="1" x14ac:dyDescent="0.2">
      <c r="A345" s="20"/>
      <c r="C345" s="102"/>
      <c r="AI345" s="7"/>
      <c r="AJ345" s="7"/>
      <c r="AK345" s="7"/>
      <c r="AL345" s="7"/>
      <c r="AM345" s="7"/>
      <c r="AN345" s="7"/>
      <c r="AO345" s="7"/>
      <c r="AP345" s="7"/>
      <c r="AQ345" s="7"/>
      <c r="AR345" s="7"/>
      <c r="AS345" s="7"/>
      <c r="AT345" s="7"/>
      <c r="AU345" s="7"/>
      <c r="AV345" s="7"/>
      <c r="AW345" s="7"/>
      <c r="AX345" s="7"/>
      <c r="AY345" s="7"/>
      <c r="AZ345" s="7"/>
      <c r="BA345" s="7"/>
      <c r="BB345" s="7"/>
      <c r="BC345" s="7"/>
      <c r="BD345" s="18"/>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105"/>
    </row>
    <row r="346" spans="1:121" s="15" customFormat="1" x14ac:dyDescent="0.2">
      <c r="A346" s="20"/>
      <c r="C346" s="102"/>
      <c r="AI346" s="7"/>
      <c r="AJ346" s="7"/>
      <c r="AK346" s="7"/>
      <c r="AL346" s="7"/>
      <c r="AM346" s="7"/>
      <c r="AN346" s="7"/>
      <c r="AO346" s="7"/>
      <c r="AP346" s="7"/>
      <c r="AQ346" s="7"/>
      <c r="AR346" s="7"/>
      <c r="AS346" s="7"/>
      <c r="AT346" s="7"/>
      <c r="AU346" s="7"/>
      <c r="AV346" s="7"/>
      <c r="AW346" s="7"/>
      <c r="AX346" s="7"/>
      <c r="AY346" s="7"/>
      <c r="AZ346" s="7"/>
      <c r="BA346" s="7"/>
      <c r="BB346" s="7"/>
      <c r="BC346" s="7"/>
      <c r="BD346" s="18"/>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105"/>
    </row>
    <row r="347" spans="1:121" s="15" customFormat="1" x14ac:dyDescent="0.2">
      <c r="A347" s="20"/>
      <c r="C347" s="102"/>
      <c r="AI347" s="7"/>
      <c r="AJ347" s="7"/>
      <c r="AK347" s="7"/>
      <c r="AL347" s="7"/>
      <c r="AM347" s="7"/>
      <c r="AN347" s="7"/>
      <c r="AO347" s="7"/>
      <c r="AP347" s="7"/>
      <c r="AQ347" s="7"/>
      <c r="AR347" s="7"/>
      <c r="AS347" s="7"/>
      <c r="AT347" s="7"/>
      <c r="AU347" s="7"/>
      <c r="AV347" s="7"/>
      <c r="AW347" s="7"/>
      <c r="AX347" s="7"/>
      <c r="AY347" s="7"/>
      <c r="AZ347" s="7"/>
      <c r="BA347" s="7"/>
      <c r="BB347" s="7"/>
      <c r="BC347" s="7"/>
      <c r="BD347" s="18"/>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105"/>
    </row>
    <row r="348" spans="1:121" s="15" customFormat="1" x14ac:dyDescent="0.2">
      <c r="A348" s="20"/>
      <c r="C348" s="102"/>
      <c r="AI348" s="7"/>
      <c r="AJ348" s="7"/>
      <c r="AK348" s="7"/>
      <c r="AL348" s="7"/>
      <c r="AM348" s="7"/>
      <c r="AN348" s="7"/>
      <c r="AO348" s="7"/>
      <c r="AP348" s="7"/>
      <c r="AQ348" s="7"/>
      <c r="AR348" s="7"/>
      <c r="AS348" s="7"/>
      <c r="AT348" s="7"/>
      <c r="AU348" s="7"/>
      <c r="AV348" s="7"/>
      <c r="AW348" s="7"/>
      <c r="AX348" s="7"/>
      <c r="AY348" s="7"/>
      <c r="AZ348" s="7"/>
      <c r="BA348" s="7"/>
      <c r="BB348" s="7"/>
      <c r="BC348" s="7"/>
      <c r="BD348" s="18"/>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105"/>
    </row>
    <row r="349" spans="1:121" s="15" customFormat="1" x14ac:dyDescent="0.2">
      <c r="A349" s="20"/>
      <c r="C349" s="102"/>
      <c r="AI349" s="7"/>
      <c r="AJ349" s="7"/>
      <c r="AK349" s="7"/>
      <c r="AL349" s="7"/>
      <c r="AM349" s="7"/>
      <c r="AN349" s="7"/>
      <c r="AO349" s="7"/>
      <c r="AP349" s="7"/>
      <c r="AQ349" s="7"/>
      <c r="AR349" s="7"/>
      <c r="AS349" s="7"/>
      <c r="AT349" s="7"/>
      <c r="AU349" s="7"/>
      <c r="AV349" s="7"/>
      <c r="AW349" s="7"/>
      <c r="AX349" s="7"/>
      <c r="AY349" s="7"/>
      <c r="AZ349" s="7"/>
      <c r="BA349" s="7"/>
      <c r="BB349" s="7"/>
      <c r="BC349" s="7"/>
      <c r="BD349" s="18"/>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105"/>
    </row>
    <row r="350" spans="1:121" s="15" customFormat="1" x14ac:dyDescent="0.2">
      <c r="A350" s="20"/>
      <c r="C350" s="102"/>
      <c r="AI350" s="7"/>
      <c r="AJ350" s="7"/>
      <c r="AK350" s="7"/>
      <c r="AL350" s="7"/>
      <c r="AM350" s="7"/>
      <c r="AN350" s="7"/>
      <c r="AO350" s="7"/>
      <c r="AP350" s="7"/>
      <c r="AQ350" s="7"/>
      <c r="AR350" s="7"/>
      <c r="AS350" s="7"/>
      <c r="AT350" s="7"/>
      <c r="AU350" s="7"/>
      <c r="AV350" s="7"/>
      <c r="AW350" s="7"/>
      <c r="AX350" s="7"/>
      <c r="AY350" s="7"/>
      <c r="AZ350" s="7"/>
      <c r="BA350" s="7"/>
      <c r="BB350" s="7"/>
      <c r="BC350" s="7"/>
      <c r="BD350" s="18"/>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105"/>
    </row>
    <row r="351" spans="1:121" s="15" customFormat="1" x14ac:dyDescent="0.2">
      <c r="A351" s="20"/>
      <c r="C351" s="102"/>
      <c r="AI351" s="7"/>
      <c r="AJ351" s="7"/>
      <c r="AK351" s="7"/>
      <c r="AL351" s="7"/>
      <c r="AM351" s="7"/>
      <c r="AN351" s="7"/>
      <c r="AO351" s="7"/>
      <c r="AP351" s="7"/>
      <c r="AQ351" s="7"/>
      <c r="AR351" s="7"/>
      <c r="AS351" s="7"/>
      <c r="AT351" s="7"/>
      <c r="AU351" s="7"/>
      <c r="AV351" s="7"/>
      <c r="AW351" s="7"/>
      <c r="AX351" s="7"/>
      <c r="AY351" s="7"/>
      <c r="AZ351" s="7"/>
      <c r="BA351" s="7"/>
      <c r="BB351" s="7"/>
      <c r="BC351" s="7"/>
      <c r="BD351" s="18"/>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105"/>
    </row>
    <row r="352" spans="1:121" s="15" customFormat="1" x14ac:dyDescent="0.2">
      <c r="A352" s="20"/>
      <c r="C352" s="102"/>
      <c r="AI352" s="7"/>
      <c r="AJ352" s="7"/>
      <c r="AK352" s="7"/>
      <c r="AL352" s="7"/>
      <c r="AM352" s="7"/>
      <c r="AN352" s="7"/>
      <c r="AO352" s="7"/>
      <c r="AP352" s="7"/>
      <c r="AQ352" s="7"/>
      <c r="AR352" s="7"/>
      <c r="AS352" s="7"/>
      <c r="AT352" s="7"/>
      <c r="AU352" s="7"/>
      <c r="AV352" s="7"/>
      <c r="AW352" s="7"/>
      <c r="AX352" s="7"/>
      <c r="AY352" s="7"/>
      <c r="AZ352" s="7"/>
      <c r="BA352" s="7"/>
      <c r="BB352" s="7"/>
      <c r="BC352" s="7"/>
      <c r="BD352" s="18"/>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105"/>
    </row>
    <row r="353" spans="1:121" s="15" customFormat="1" x14ac:dyDescent="0.2">
      <c r="A353" s="20"/>
      <c r="C353" s="102"/>
      <c r="AI353" s="7"/>
      <c r="AJ353" s="7"/>
      <c r="AK353" s="7"/>
      <c r="AL353" s="7"/>
      <c r="AM353" s="7"/>
      <c r="AN353" s="7"/>
      <c r="AO353" s="7"/>
      <c r="AP353" s="7"/>
      <c r="AQ353" s="7"/>
      <c r="AR353" s="7"/>
      <c r="AS353" s="7"/>
      <c r="AT353" s="7"/>
      <c r="AU353" s="7"/>
      <c r="AV353" s="7"/>
      <c r="AW353" s="7"/>
      <c r="AX353" s="7"/>
      <c r="AY353" s="7"/>
      <c r="AZ353" s="7"/>
      <c r="BA353" s="7"/>
      <c r="BB353" s="7"/>
      <c r="BC353" s="7"/>
      <c r="BD353" s="18"/>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105"/>
    </row>
    <row r="354" spans="1:121" s="15" customFormat="1" x14ac:dyDescent="0.2">
      <c r="A354" s="20"/>
      <c r="C354" s="102"/>
      <c r="AI354" s="7"/>
      <c r="AJ354" s="7"/>
      <c r="AK354" s="7"/>
      <c r="AL354" s="7"/>
      <c r="AM354" s="7"/>
      <c r="AN354" s="7"/>
      <c r="AO354" s="7"/>
      <c r="AP354" s="7"/>
      <c r="AQ354" s="7"/>
      <c r="AR354" s="7"/>
      <c r="AS354" s="7"/>
      <c r="AT354" s="7"/>
      <c r="AU354" s="7"/>
      <c r="AV354" s="7"/>
      <c r="AW354" s="7"/>
      <c r="AX354" s="7"/>
      <c r="AY354" s="7"/>
      <c r="AZ354" s="7"/>
      <c r="BA354" s="7"/>
      <c r="BB354" s="7"/>
      <c r="BC354" s="7"/>
      <c r="BD354" s="18"/>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105"/>
    </row>
    <row r="355" spans="1:121" s="15" customFormat="1" x14ac:dyDescent="0.2">
      <c r="A355" s="20"/>
      <c r="C355" s="102"/>
      <c r="AI355" s="7"/>
      <c r="AJ355" s="7"/>
      <c r="AK355" s="7"/>
      <c r="AL355" s="7"/>
      <c r="AM355" s="7"/>
      <c r="AN355" s="7"/>
      <c r="AO355" s="7"/>
      <c r="AP355" s="7"/>
      <c r="AQ355" s="7"/>
      <c r="AR355" s="7"/>
      <c r="AS355" s="7"/>
      <c r="AT355" s="7"/>
      <c r="AU355" s="7"/>
      <c r="AV355" s="7"/>
      <c r="AW355" s="7"/>
      <c r="AX355" s="7"/>
      <c r="AY355" s="7"/>
      <c r="AZ355" s="7"/>
      <c r="BA355" s="7"/>
      <c r="BB355" s="7"/>
      <c r="BC355" s="7"/>
      <c r="BD355" s="18"/>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105"/>
    </row>
    <row r="356" spans="1:121" s="15" customFormat="1" x14ac:dyDescent="0.2">
      <c r="A356" s="20"/>
      <c r="C356" s="102"/>
      <c r="AI356" s="7"/>
      <c r="AJ356" s="7"/>
      <c r="AK356" s="7"/>
      <c r="AL356" s="7"/>
      <c r="AM356" s="7"/>
      <c r="AN356" s="7"/>
      <c r="AO356" s="7"/>
      <c r="AP356" s="7"/>
      <c r="AQ356" s="7"/>
      <c r="AR356" s="7"/>
      <c r="AS356" s="7"/>
      <c r="AT356" s="7"/>
      <c r="AU356" s="7"/>
      <c r="AV356" s="7"/>
      <c r="AW356" s="7"/>
      <c r="AX356" s="7"/>
      <c r="AY356" s="7"/>
      <c r="AZ356" s="7"/>
      <c r="BA356" s="7"/>
      <c r="BB356" s="7"/>
      <c r="BC356" s="7"/>
      <c r="BD356" s="18"/>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105"/>
    </row>
    <row r="357" spans="1:121" s="15" customFormat="1" x14ac:dyDescent="0.2">
      <c r="A357" s="20"/>
      <c r="C357" s="102"/>
      <c r="AI357" s="7"/>
      <c r="AJ357" s="7"/>
      <c r="AK357" s="7"/>
      <c r="AL357" s="7"/>
      <c r="AM357" s="7"/>
      <c r="AN357" s="7"/>
      <c r="AO357" s="7"/>
      <c r="AP357" s="7"/>
      <c r="AQ357" s="7"/>
      <c r="AR357" s="7"/>
      <c r="AS357" s="7"/>
      <c r="AT357" s="7"/>
      <c r="AU357" s="7"/>
      <c r="AV357" s="7"/>
      <c r="AW357" s="7"/>
      <c r="AX357" s="7"/>
      <c r="AY357" s="7"/>
      <c r="AZ357" s="7"/>
      <c r="BA357" s="7"/>
      <c r="BB357" s="7"/>
      <c r="BC357" s="7"/>
      <c r="BD357" s="18"/>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105"/>
    </row>
    <row r="358" spans="1:121" s="15" customFormat="1" x14ac:dyDescent="0.2">
      <c r="A358" s="20"/>
      <c r="C358" s="102"/>
      <c r="AI358" s="7"/>
      <c r="AJ358" s="7"/>
      <c r="AK358" s="7"/>
      <c r="AL358" s="7"/>
      <c r="AM358" s="7"/>
      <c r="AN358" s="7"/>
      <c r="AO358" s="7"/>
      <c r="AP358" s="7"/>
      <c r="AQ358" s="7"/>
      <c r="AR358" s="7"/>
      <c r="AS358" s="7"/>
      <c r="AT358" s="7"/>
      <c r="AU358" s="7"/>
      <c r="AV358" s="7"/>
      <c r="AW358" s="7"/>
      <c r="AX358" s="7"/>
      <c r="AY358" s="7"/>
      <c r="AZ358" s="7"/>
      <c r="BA358" s="7"/>
      <c r="BB358" s="7"/>
      <c r="BC358" s="7"/>
      <c r="BD358" s="18"/>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105"/>
    </row>
    <row r="359" spans="1:121" s="15" customFormat="1" x14ac:dyDescent="0.2">
      <c r="A359" s="20"/>
      <c r="C359" s="102"/>
      <c r="AI359" s="7"/>
      <c r="AJ359" s="7"/>
      <c r="AK359" s="7"/>
      <c r="AL359" s="7"/>
      <c r="AM359" s="7"/>
      <c r="AN359" s="7"/>
      <c r="AO359" s="7"/>
      <c r="AP359" s="7"/>
      <c r="AQ359" s="7"/>
      <c r="AR359" s="7"/>
      <c r="AS359" s="7"/>
      <c r="AT359" s="7"/>
      <c r="AU359" s="7"/>
      <c r="AV359" s="7"/>
      <c r="AW359" s="7"/>
      <c r="AX359" s="7"/>
      <c r="AY359" s="7"/>
      <c r="AZ359" s="7"/>
      <c r="BA359" s="7"/>
      <c r="BB359" s="7"/>
      <c r="BC359" s="7"/>
      <c r="BD359" s="18"/>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105"/>
    </row>
    <row r="360" spans="1:121" s="15" customFormat="1" x14ac:dyDescent="0.2">
      <c r="A360" s="20"/>
      <c r="C360" s="102"/>
      <c r="AI360" s="7"/>
      <c r="AJ360" s="7"/>
      <c r="AK360" s="7"/>
      <c r="AL360" s="7"/>
      <c r="AM360" s="7"/>
      <c r="AN360" s="7"/>
      <c r="AO360" s="7"/>
      <c r="AP360" s="7"/>
      <c r="AQ360" s="7"/>
      <c r="AR360" s="7"/>
      <c r="AS360" s="7"/>
      <c r="AT360" s="7"/>
      <c r="AU360" s="7"/>
      <c r="AV360" s="7"/>
      <c r="AW360" s="7"/>
      <c r="AX360" s="7"/>
      <c r="AY360" s="7"/>
      <c r="AZ360" s="7"/>
      <c r="BA360" s="7"/>
      <c r="BB360" s="7"/>
      <c r="BC360" s="7"/>
      <c r="BD360" s="18"/>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105"/>
    </row>
    <row r="361" spans="1:121" s="15" customFormat="1" x14ac:dyDescent="0.2">
      <c r="A361" s="20"/>
      <c r="C361" s="102"/>
      <c r="AI361" s="7"/>
      <c r="AJ361" s="7"/>
      <c r="AK361" s="7"/>
      <c r="AL361" s="7"/>
      <c r="AM361" s="7"/>
      <c r="AN361" s="7"/>
      <c r="AO361" s="7"/>
      <c r="AP361" s="7"/>
      <c r="AQ361" s="7"/>
      <c r="AR361" s="7"/>
      <c r="AS361" s="7"/>
      <c r="AT361" s="7"/>
      <c r="AU361" s="7"/>
      <c r="AV361" s="7"/>
      <c r="AW361" s="7"/>
      <c r="AX361" s="7"/>
      <c r="AY361" s="7"/>
      <c r="AZ361" s="7"/>
      <c r="BA361" s="7"/>
      <c r="BB361" s="7"/>
      <c r="BC361" s="7"/>
      <c r="BD361" s="18"/>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105"/>
    </row>
    <row r="362" spans="1:121" s="15" customFormat="1" x14ac:dyDescent="0.2">
      <c r="A362" s="20"/>
      <c r="C362" s="102"/>
      <c r="AI362" s="7"/>
      <c r="AJ362" s="7"/>
      <c r="AK362" s="7"/>
      <c r="AL362" s="7"/>
      <c r="AM362" s="7"/>
      <c r="AN362" s="7"/>
      <c r="AO362" s="7"/>
      <c r="AP362" s="7"/>
      <c r="AQ362" s="7"/>
      <c r="AR362" s="7"/>
      <c r="AS362" s="7"/>
      <c r="AT362" s="7"/>
      <c r="AU362" s="7"/>
      <c r="AV362" s="7"/>
      <c r="AW362" s="7"/>
      <c r="AX362" s="7"/>
      <c r="AY362" s="7"/>
      <c r="AZ362" s="7"/>
      <c r="BA362" s="7"/>
      <c r="BB362" s="7"/>
      <c r="BC362" s="7"/>
      <c r="BD362" s="18"/>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105"/>
    </row>
    <row r="363" spans="1:121" s="15" customFormat="1" x14ac:dyDescent="0.2">
      <c r="A363" s="20"/>
      <c r="C363" s="102"/>
      <c r="AI363" s="7"/>
      <c r="AJ363" s="7"/>
      <c r="AK363" s="7"/>
      <c r="AL363" s="7"/>
      <c r="AM363" s="7"/>
      <c r="AN363" s="7"/>
      <c r="AO363" s="7"/>
      <c r="AP363" s="7"/>
      <c r="AQ363" s="7"/>
      <c r="AR363" s="7"/>
      <c r="AS363" s="7"/>
      <c r="AT363" s="7"/>
      <c r="AU363" s="7"/>
      <c r="AV363" s="7"/>
      <c r="AW363" s="7"/>
      <c r="AX363" s="7"/>
      <c r="AY363" s="7"/>
      <c r="AZ363" s="7"/>
      <c r="BA363" s="7"/>
      <c r="BB363" s="7"/>
      <c r="BC363" s="7"/>
      <c r="BD363" s="18"/>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105"/>
    </row>
    <row r="364" spans="1:121" s="15" customFormat="1" x14ac:dyDescent="0.2">
      <c r="A364" s="20"/>
      <c r="C364" s="102"/>
      <c r="AI364" s="7"/>
      <c r="AJ364" s="7"/>
      <c r="AK364" s="7"/>
      <c r="AL364" s="7"/>
      <c r="AM364" s="7"/>
      <c r="AN364" s="7"/>
      <c r="AO364" s="7"/>
      <c r="AP364" s="7"/>
      <c r="AQ364" s="7"/>
      <c r="AR364" s="7"/>
      <c r="AS364" s="7"/>
      <c r="AT364" s="7"/>
      <c r="AU364" s="7"/>
      <c r="AV364" s="7"/>
      <c r="AW364" s="7"/>
      <c r="AX364" s="7"/>
      <c r="AY364" s="7"/>
      <c r="AZ364" s="7"/>
      <c r="BA364" s="7"/>
      <c r="BB364" s="7"/>
      <c r="BC364" s="7"/>
      <c r="BD364" s="18"/>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105"/>
    </row>
    <row r="365" spans="1:121" s="15" customFormat="1" x14ac:dyDescent="0.2">
      <c r="A365" s="20"/>
      <c r="C365" s="102"/>
      <c r="AI365" s="7"/>
      <c r="AJ365" s="7"/>
      <c r="AK365" s="7"/>
      <c r="AL365" s="7"/>
      <c r="AM365" s="7"/>
      <c r="AN365" s="7"/>
      <c r="AO365" s="7"/>
      <c r="AP365" s="7"/>
      <c r="AQ365" s="7"/>
      <c r="AR365" s="7"/>
      <c r="AS365" s="7"/>
      <c r="AT365" s="7"/>
      <c r="AU365" s="7"/>
      <c r="AV365" s="7"/>
      <c r="AW365" s="7"/>
      <c r="AX365" s="7"/>
      <c r="AY365" s="7"/>
      <c r="AZ365" s="7"/>
      <c r="BA365" s="7"/>
      <c r="BB365" s="7"/>
      <c r="BC365" s="7"/>
      <c r="BD365" s="18"/>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105"/>
    </row>
    <row r="366" spans="1:121" s="15" customFormat="1" x14ac:dyDescent="0.2">
      <c r="A366" s="20"/>
      <c r="C366" s="102"/>
      <c r="AI366" s="7"/>
      <c r="AJ366" s="7"/>
      <c r="AK366" s="7"/>
      <c r="AL366" s="7"/>
      <c r="AM366" s="7"/>
      <c r="AN366" s="7"/>
      <c r="AO366" s="7"/>
      <c r="AP366" s="7"/>
      <c r="AQ366" s="7"/>
      <c r="AR366" s="7"/>
      <c r="AS366" s="7"/>
      <c r="AT366" s="7"/>
      <c r="AU366" s="7"/>
      <c r="AV366" s="7"/>
      <c r="AW366" s="7"/>
      <c r="AX366" s="7"/>
      <c r="AY366" s="7"/>
      <c r="AZ366" s="7"/>
      <c r="BA366" s="7"/>
      <c r="BB366" s="7"/>
      <c r="BC366" s="7"/>
      <c r="BD366" s="18"/>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105"/>
    </row>
    <row r="367" spans="1:121" s="15" customFormat="1" x14ac:dyDescent="0.2">
      <c r="A367" s="20"/>
      <c r="C367" s="102"/>
      <c r="AI367" s="7"/>
      <c r="AJ367" s="7"/>
      <c r="AK367" s="7"/>
      <c r="AL367" s="7"/>
      <c r="AM367" s="7"/>
      <c r="AN367" s="7"/>
      <c r="AO367" s="7"/>
      <c r="AP367" s="7"/>
      <c r="AQ367" s="7"/>
      <c r="AR367" s="7"/>
      <c r="AS367" s="7"/>
      <c r="AT367" s="7"/>
      <c r="AU367" s="7"/>
      <c r="AV367" s="7"/>
      <c r="AW367" s="7"/>
      <c r="AX367" s="7"/>
      <c r="AY367" s="7"/>
      <c r="AZ367" s="7"/>
      <c r="BA367" s="7"/>
      <c r="BB367" s="7"/>
      <c r="BC367" s="7"/>
      <c r="BD367" s="18"/>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105"/>
    </row>
    <row r="368" spans="1:121" s="15" customFormat="1" x14ac:dyDescent="0.2">
      <c r="A368" s="20"/>
      <c r="C368" s="102"/>
      <c r="AI368" s="7"/>
      <c r="AJ368" s="7"/>
      <c r="AK368" s="7"/>
      <c r="AL368" s="7"/>
      <c r="AM368" s="7"/>
      <c r="AN368" s="7"/>
      <c r="AO368" s="7"/>
      <c r="AP368" s="7"/>
      <c r="AQ368" s="7"/>
      <c r="AR368" s="7"/>
      <c r="AS368" s="7"/>
      <c r="AT368" s="7"/>
      <c r="AU368" s="7"/>
      <c r="AV368" s="7"/>
      <c r="AW368" s="7"/>
      <c r="AX368" s="7"/>
      <c r="AY368" s="7"/>
      <c r="AZ368" s="7"/>
      <c r="BA368" s="7"/>
      <c r="BB368" s="7"/>
      <c r="BC368" s="7"/>
      <c r="BD368" s="18"/>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105"/>
    </row>
    <row r="369" spans="1:121" s="15" customFormat="1" x14ac:dyDescent="0.2">
      <c r="A369" s="20"/>
      <c r="C369" s="102"/>
      <c r="AI369" s="7"/>
      <c r="AJ369" s="7"/>
      <c r="AK369" s="7"/>
      <c r="AL369" s="7"/>
      <c r="AM369" s="7"/>
      <c r="AN369" s="7"/>
      <c r="AO369" s="7"/>
      <c r="AP369" s="7"/>
      <c r="AQ369" s="7"/>
      <c r="AR369" s="7"/>
      <c r="AS369" s="7"/>
      <c r="AT369" s="7"/>
      <c r="AU369" s="7"/>
      <c r="AV369" s="7"/>
      <c r="AW369" s="7"/>
      <c r="AX369" s="7"/>
      <c r="AY369" s="7"/>
      <c r="AZ369" s="7"/>
      <c r="BA369" s="7"/>
      <c r="BB369" s="7"/>
      <c r="BC369" s="7"/>
      <c r="BD369" s="18"/>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105"/>
    </row>
    <row r="370" spans="1:121" s="15" customFormat="1" x14ac:dyDescent="0.2">
      <c r="A370" s="20"/>
      <c r="C370" s="102"/>
      <c r="AI370" s="7"/>
      <c r="AJ370" s="7"/>
      <c r="AK370" s="7"/>
      <c r="AL370" s="7"/>
      <c r="AM370" s="7"/>
      <c r="AN370" s="7"/>
      <c r="AO370" s="7"/>
      <c r="AP370" s="7"/>
      <c r="AQ370" s="7"/>
      <c r="AR370" s="7"/>
      <c r="AS370" s="7"/>
      <c r="AT370" s="7"/>
      <c r="AU370" s="7"/>
      <c r="AV370" s="7"/>
      <c r="AW370" s="7"/>
      <c r="AX370" s="7"/>
      <c r="AY370" s="7"/>
      <c r="AZ370" s="7"/>
      <c r="BA370" s="7"/>
      <c r="BB370" s="7"/>
      <c r="BC370" s="7"/>
      <c r="BD370" s="18"/>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105"/>
    </row>
    <row r="371" spans="1:121" s="15" customFormat="1" x14ac:dyDescent="0.2">
      <c r="A371" s="20"/>
      <c r="C371" s="102"/>
      <c r="AI371" s="7"/>
      <c r="AJ371" s="7"/>
      <c r="AK371" s="7"/>
      <c r="AL371" s="7"/>
      <c r="AM371" s="7"/>
      <c r="AN371" s="7"/>
      <c r="AO371" s="7"/>
      <c r="AP371" s="7"/>
      <c r="AQ371" s="7"/>
      <c r="AR371" s="7"/>
      <c r="AS371" s="7"/>
      <c r="AT371" s="7"/>
      <c r="AU371" s="7"/>
      <c r="AV371" s="7"/>
      <c r="AW371" s="7"/>
      <c r="AX371" s="7"/>
      <c r="AY371" s="7"/>
      <c r="AZ371" s="7"/>
      <c r="BA371" s="7"/>
      <c r="BB371" s="7"/>
      <c r="BC371" s="7"/>
      <c r="BD371" s="18"/>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105"/>
    </row>
    <row r="372" spans="1:121" s="15" customFormat="1" x14ac:dyDescent="0.2">
      <c r="A372" s="20"/>
      <c r="C372" s="102"/>
      <c r="AI372" s="7"/>
      <c r="AJ372" s="7"/>
      <c r="AK372" s="7"/>
      <c r="AL372" s="7"/>
      <c r="AM372" s="7"/>
      <c r="AN372" s="7"/>
      <c r="AO372" s="7"/>
      <c r="AP372" s="7"/>
      <c r="AQ372" s="7"/>
      <c r="AR372" s="7"/>
      <c r="AS372" s="7"/>
      <c r="AT372" s="7"/>
      <c r="AU372" s="7"/>
      <c r="AV372" s="7"/>
      <c r="AW372" s="7"/>
      <c r="AX372" s="7"/>
      <c r="AY372" s="7"/>
      <c r="AZ372" s="7"/>
      <c r="BA372" s="7"/>
      <c r="BB372" s="7"/>
      <c r="BC372" s="7"/>
      <c r="BD372" s="18"/>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105"/>
    </row>
    <row r="373" spans="1:121" s="15" customFormat="1" x14ac:dyDescent="0.2">
      <c r="A373" s="20"/>
      <c r="C373" s="102"/>
      <c r="AI373" s="7"/>
      <c r="AJ373" s="7"/>
      <c r="AK373" s="7"/>
      <c r="AL373" s="7"/>
      <c r="AM373" s="7"/>
      <c r="AN373" s="7"/>
      <c r="AO373" s="7"/>
      <c r="AP373" s="7"/>
      <c r="AQ373" s="7"/>
      <c r="AR373" s="7"/>
      <c r="AS373" s="7"/>
      <c r="AT373" s="7"/>
      <c r="AU373" s="7"/>
      <c r="AV373" s="7"/>
      <c r="AW373" s="7"/>
      <c r="AX373" s="7"/>
      <c r="AY373" s="7"/>
      <c r="AZ373" s="7"/>
      <c r="BA373" s="7"/>
      <c r="BB373" s="7"/>
      <c r="BC373" s="7"/>
      <c r="BD373" s="18"/>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105"/>
    </row>
    <row r="374" spans="1:121" s="15" customFormat="1" x14ac:dyDescent="0.2">
      <c r="A374" s="20"/>
      <c r="C374" s="102"/>
      <c r="AI374" s="7"/>
      <c r="AJ374" s="7"/>
      <c r="AK374" s="7"/>
      <c r="AL374" s="7"/>
      <c r="AM374" s="7"/>
      <c r="AN374" s="7"/>
      <c r="AO374" s="7"/>
      <c r="AP374" s="7"/>
      <c r="AQ374" s="7"/>
      <c r="AR374" s="7"/>
      <c r="AS374" s="7"/>
      <c r="AT374" s="7"/>
      <c r="AU374" s="7"/>
      <c r="AV374" s="7"/>
      <c r="AW374" s="7"/>
      <c r="AX374" s="7"/>
      <c r="AY374" s="7"/>
      <c r="AZ374" s="7"/>
      <c r="BA374" s="7"/>
      <c r="BB374" s="7"/>
      <c r="BC374" s="7"/>
      <c r="BD374" s="18"/>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105"/>
    </row>
    <row r="375" spans="1:121" s="15" customFormat="1" x14ac:dyDescent="0.2">
      <c r="A375" s="20"/>
      <c r="C375" s="102"/>
      <c r="AI375" s="7"/>
      <c r="AJ375" s="7"/>
      <c r="AK375" s="7"/>
      <c r="AL375" s="7"/>
      <c r="AM375" s="7"/>
      <c r="AN375" s="7"/>
      <c r="AO375" s="7"/>
      <c r="AP375" s="7"/>
      <c r="AQ375" s="7"/>
      <c r="AR375" s="7"/>
      <c r="AS375" s="7"/>
      <c r="AT375" s="7"/>
      <c r="AU375" s="7"/>
      <c r="AV375" s="7"/>
      <c r="AW375" s="7"/>
      <c r="AX375" s="7"/>
      <c r="AY375" s="7"/>
      <c r="AZ375" s="7"/>
      <c r="BA375" s="7"/>
      <c r="BB375" s="7"/>
      <c r="BC375" s="7"/>
      <c r="BD375" s="18"/>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105"/>
    </row>
    <row r="376" spans="1:121" s="15" customFormat="1" x14ac:dyDescent="0.2">
      <c r="A376" s="20"/>
      <c r="C376" s="102"/>
      <c r="AI376" s="7"/>
      <c r="AJ376" s="7"/>
      <c r="AK376" s="7"/>
      <c r="AL376" s="7"/>
      <c r="AM376" s="7"/>
      <c r="AN376" s="7"/>
      <c r="AO376" s="7"/>
      <c r="AP376" s="7"/>
      <c r="AQ376" s="7"/>
      <c r="AR376" s="7"/>
      <c r="AS376" s="7"/>
      <c r="AT376" s="7"/>
      <c r="AU376" s="7"/>
      <c r="AV376" s="7"/>
      <c r="AW376" s="7"/>
      <c r="AX376" s="7"/>
      <c r="AY376" s="7"/>
      <c r="AZ376" s="7"/>
      <c r="BA376" s="7"/>
      <c r="BB376" s="7"/>
      <c r="BC376" s="7"/>
      <c r="BD376" s="18"/>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105"/>
    </row>
    <row r="377" spans="1:121" s="15" customFormat="1" x14ac:dyDescent="0.2">
      <c r="A377" s="20"/>
      <c r="C377" s="102"/>
      <c r="AI377" s="7"/>
      <c r="AJ377" s="7"/>
      <c r="AK377" s="7"/>
      <c r="AL377" s="7"/>
      <c r="AM377" s="7"/>
      <c r="AN377" s="7"/>
      <c r="AO377" s="7"/>
      <c r="AP377" s="7"/>
      <c r="AQ377" s="7"/>
      <c r="AR377" s="7"/>
      <c r="AS377" s="7"/>
      <c r="AT377" s="7"/>
      <c r="AU377" s="7"/>
      <c r="AV377" s="7"/>
      <c r="AW377" s="7"/>
      <c r="AX377" s="7"/>
      <c r="AY377" s="7"/>
      <c r="AZ377" s="7"/>
      <c r="BA377" s="7"/>
      <c r="BB377" s="7"/>
      <c r="BC377" s="7"/>
      <c r="BD377" s="18"/>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105"/>
    </row>
    <row r="378" spans="1:121" s="15" customFormat="1" x14ac:dyDescent="0.2">
      <c r="A378" s="20"/>
      <c r="C378" s="102"/>
      <c r="AI378" s="7"/>
      <c r="AJ378" s="7"/>
      <c r="AK378" s="7"/>
      <c r="AL378" s="7"/>
      <c r="AM378" s="7"/>
      <c r="AN378" s="7"/>
      <c r="AO378" s="7"/>
      <c r="AP378" s="7"/>
      <c r="AQ378" s="7"/>
      <c r="AR378" s="7"/>
      <c r="AS378" s="7"/>
      <c r="AT378" s="7"/>
      <c r="AU378" s="7"/>
      <c r="AV378" s="7"/>
      <c r="AW378" s="7"/>
      <c r="AX378" s="7"/>
      <c r="AY378" s="7"/>
      <c r="AZ378" s="7"/>
      <c r="BA378" s="7"/>
      <c r="BB378" s="7"/>
      <c r="BC378" s="7"/>
      <c r="BD378" s="18"/>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105"/>
    </row>
    <row r="379" spans="1:121" s="15" customFormat="1" x14ac:dyDescent="0.2">
      <c r="A379" s="20"/>
      <c r="C379" s="102"/>
      <c r="AI379" s="7"/>
      <c r="AJ379" s="7"/>
      <c r="AK379" s="7"/>
      <c r="AL379" s="7"/>
      <c r="AM379" s="7"/>
      <c r="AN379" s="7"/>
      <c r="AO379" s="7"/>
      <c r="AP379" s="7"/>
      <c r="AQ379" s="7"/>
      <c r="AR379" s="7"/>
      <c r="AS379" s="7"/>
      <c r="AT379" s="7"/>
      <c r="AU379" s="7"/>
      <c r="AV379" s="7"/>
      <c r="AW379" s="7"/>
      <c r="AX379" s="7"/>
      <c r="AY379" s="7"/>
      <c r="AZ379" s="7"/>
      <c r="BA379" s="7"/>
      <c r="BB379" s="7"/>
      <c r="BC379" s="7"/>
      <c r="BD379" s="18"/>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105"/>
    </row>
    <row r="380" spans="1:121" s="15" customFormat="1" x14ac:dyDescent="0.2">
      <c r="A380" s="20"/>
      <c r="C380" s="102"/>
      <c r="AI380" s="7"/>
      <c r="AJ380" s="7"/>
      <c r="AK380" s="7"/>
      <c r="AL380" s="7"/>
      <c r="AM380" s="7"/>
      <c r="AN380" s="7"/>
      <c r="AO380" s="7"/>
      <c r="AP380" s="7"/>
      <c r="AQ380" s="7"/>
      <c r="AR380" s="7"/>
      <c r="AS380" s="7"/>
      <c r="AT380" s="7"/>
      <c r="AU380" s="7"/>
      <c r="AV380" s="7"/>
      <c r="AW380" s="7"/>
      <c r="AX380" s="7"/>
      <c r="AY380" s="7"/>
      <c r="AZ380" s="7"/>
      <c r="BA380" s="7"/>
      <c r="BB380" s="7"/>
      <c r="BC380" s="7"/>
      <c r="BD380" s="18"/>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105"/>
    </row>
    <row r="381" spans="1:121" s="15" customFormat="1" x14ac:dyDescent="0.2">
      <c r="A381" s="20"/>
      <c r="C381" s="102"/>
      <c r="AI381" s="7"/>
      <c r="AJ381" s="7"/>
      <c r="AK381" s="7"/>
      <c r="AL381" s="7"/>
      <c r="AM381" s="7"/>
      <c r="AN381" s="7"/>
      <c r="AO381" s="7"/>
      <c r="AP381" s="7"/>
      <c r="AQ381" s="7"/>
      <c r="AR381" s="7"/>
      <c r="AS381" s="7"/>
      <c r="AT381" s="7"/>
      <c r="AU381" s="7"/>
      <c r="AV381" s="7"/>
      <c r="AW381" s="7"/>
      <c r="AX381" s="7"/>
      <c r="AY381" s="7"/>
      <c r="AZ381" s="7"/>
      <c r="BA381" s="7"/>
      <c r="BB381" s="7"/>
      <c r="BC381" s="7"/>
      <c r="BD381" s="18"/>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105"/>
    </row>
    <row r="382" spans="1:121" s="15" customFormat="1" x14ac:dyDescent="0.2">
      <c r="A382" s="20"/>
      <c r="C382" s="102"/>
      <c r="AI382" s="7"/>
      <c r="AJ382" s="7"/>
      <c r="AK382" s="7"/>
      <c r="AL382" s="7"/>
      <c r="AM382" s="7"/>
      <c r="AN382" s="7"/>
      <c r="AO382" s="7"/>
      <c r="AP382" s="7"/>
      <c r="AQ382" s="7"/>
      <c r="AR382" s="7"/>
      <c r="AS382" s="7"/>
      <c r="AT382" s="7"/>
      <c r="AU382" s="7"/>
      <c r="AV382" s="7"/>
      <c r="AW382" s="7"/>
      <c r="AX382" s="7"/>
      <c r="AY382" s="7"/>
      <c r="AZ382" s="7"/>
      <c r="BA382" s="7"/>
      <c r="BB382" s="7"/>
      <c r="BC382" s="7"/>
      <c r="BD382" s="18"/>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105"/>
    </row>
    <row r="383" spans="1:121" s="15" customFormat="1" x14ac:dyDescent="0.2">
      <c r="A383" s="20"/>
      <c r="C383" s="102"/>
      <c r="AI383" s="7"/>
      <c r="AJ383" s="7"/>
      <c r="AK383" s="7"/>
      <c r="AL383" s="7"/>
      <c r="AM383" s="7"/>
      <c r="AN383" s="7"/>
      <c r="AO383" s="7"/>
      <c r="AP383" s="7"/>
      <c r="AQ383" s="7"/>
      <c r="AR383" s="7"/>
      <c r="AS383" s="7"/>
      <c r="AT383" s="7"/>
      <c r="AU383" s="7"/>
      <c r="AV383" s="7"/>
      <c r="AW383" s="7"/>
      <c r="AX383" s="7"/>
      <c r="AY383" s="7"/>
      <c r="AZ383" s="7"/>
      <c r="BA383" s="7"/>
      <c r="BB383" s="7"/>
      <c r="BC383" s="7"/>
      <c r="BD383" s="18"/>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105"/>
    </row>
    <row r="384" spans="1:121" s="15" customFormat="1" x14ac:dyDescent="0.2">
      <c r="A384" s="20"/>
      <c r="C384" s="102"/>
      <c r="AI384" s="7"/>
      <c r="AJ384" s="7"/>
      <c r="AK384" s="7"/>
      <c r="AL384" s="7"/>
      <c r="AM384" s="7"/>
      <c r="AN384" s="7"/>
      <c r="AO384" s="7"/>
      <c r="AP384" s="7"/>
      <c r="AQ384" s="7"/>
      <c r="AR384" s="7"/>
      <c r="AS384" s="7"/>
      <c r="AT384" s="7"/>
      <c r="AU384" s="7"/>
      <c r="AV384" s="7"/>
      <c r="AW384" s="7"/>
      <c r="AX384" s="7"/>
      <c r="AY384" s="7"/>
      <c r="AZ384" s="7"/>
      <c r="BA384" s="7"/>
      <c r="BB384" s="7"/>
      <c r="BC384" s="7"/>
      <c r="BD384" s="18"/>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105"/>
    </row>
    <row r="385" spans="1:121" s="15" customFormat="1" x14ac:dyDescent="0.2">
      <c r="A385" s="20"/>
      <c r="C385" s="102"/>
      <c r="AI385" s="7"/>
      <c r="AJ385" s="7"/>
      <c r="AK385" s="7"/>
      <c r="AL385" s="7"/>
      <c r="AM385" s="7"/>
      <c r="AN385" s="7"/>
      <c r="AO385" s="7"/>
      <c r="AP385" s="7"/>
      <c r="AQ385" s="7"/>
      <c r="AR385" s="7"/>
      <c r="AS385" s="7"/>
      <c r="AT385" s="7"/>
      <c r="AU385" s="7"/>
      <c r="AV385" s="7"/>
      <c r="AW385" s="7"/>
      <c r="AX385" s="7"/>
      <c r="AY385" s="7"/>
      <c r="AZ385" s="7"/>
      <c r="BA385" s="7"/>
      <c r="BB385" s="7"/>
      <c r="BC385" s="7"/>
      <c r="BD385" s="18"/>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105"/>
    </row>
    <row r="386" spans="1:121" s="15" customFormat="1" x14ac:dyDescent="0.2">
      <c r="A386" s="20"/>
      <c r="C386" s="102"/>
      <c r="AI386" s="7"/>
      <c r="AJ386" s="7"/>
      <c r="AK386" s="7"/>
      <c r="AL386" s="7"/>
      <c r="AM386" s="7"/>
      <c r="AN386" s="7"/>
      <c r="AO386" s="7"/>
      <c r="AP386" s="7"/>
      <c r="AQ386" s="7"/>
      <c r="AR386" s="7"/>
      <c r="AS386" s="7"/>
      <c r="AT386" s="7"/>
      <c r="AU386" s="7"/>
      <c r="AV386" s="7"/>
      <c r="AW386" s="7"/>
      <c r="AX386" s="7"/>
      <c r="AY386" s="7"/>
      <c r="AZ386" s="7"/>
      <c r="BA386" s="7"/>
      <c r="BB386" s="7"/>
      <c r="BC386" s="7"/>
      <c r="BD386" s="18"/>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105"/>
    </row>
    <row r="387" spans="1:121" s="15" customFormat="1" x14ac:dyDescent="0.2">
      <c r="A387" s="20"/>
      <c r="C387" s="102"/>
      <c r="AI387" s="7"/>
      <c r="AJ387" s="7"/>
      <c r="AK387" s="7"/>
      <c r="AL387" s="7"/>
      <c r="AM387" s="7"/>
      <c r="AN387" s="7"/>
      <c r="AO387" s="7"/>
      <c r="AP387" s="7"/>
      <c r="AQ387" s="7"/>
      <c r="AR387" s="7"/>
      <c r="AS387" s="7"/>
      <c r="AT387" s="7"/>
      <c r="AU387" s="7"/>
      <c r="AV387" s="7"/>
      <c r="AW387" s="7"/>
      <c r="AX387" s="7"/>
      <c r="AY387" s="7"/>
      <c r="AZ387" s="7"/>
      <c r="BA387" s="7"/>
      <c r="BB387" s="7"/>
      <c r="BC387" s="7"/>
      <c r="BD387" s="18"/>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105"/>
    </row>
    <row r="388" spans="1:121" s="15" customFormat="1" x14ac:dyDescent="0.2">
      <c r="A388" s="20"/>
      <c r="C388" s="102"/>
      <c r="AI388" s="7"/>
      <c r="AJ388" s="7"/>
      <c r="AK388" s="7"/>
      <c r="AL388" s="7"/>
      <c r="AM388" s="7"/>
      <c r="AN388" s="7"/>
      <c r="AO388" s="7"/>
      <c r="AP388" s="7"/>
      <c r="AQ388" s="7"/>
      <c r="AR388" s="7"/>
      <c r="AS388" s="7"/>
      <c r="AT388" s="7"/>
      <c r="AU388" s="7"/>
      <c r="AV388" s="7"/>
      <c r="AW388" s="7"/>
      <c r="AX388" s="7"/>
      <c r="AY388" s="7"/>
      <c r="AZ388" s="7"/>
      <c r="BA388" s="7"/>
      <c r="BB388" s="7"/>
      <c r="BC388" s="7"/>
      <c r="BD388" s="18"/>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105"/>
    </row>
    <row r="389" spans="1:121" s="15" customFormat="1" x14ac:dyDescent="0.2">
      <c r="A389" s="20"/>
      <c r="C389" s="102"/>
      <c r="AI389" s="7"/>
      <c r="AJ389" s="7"/>
      <c r="AK389" s="7"/>
      <c r="AL389" s="7"/>
      <c r="AM389" s="7"/>
      <c r="AN389" s="7"/>
      <c r="AO389" s="7"/>
      <c r="AP389" s="7"/>
      <c r="AQ389" s="7"/>
      <c r="AR389" s="7"/>
      <c r="AS389" s="7"/>
      <c r="AT389" s="7"/>
      <c r="AU389" s="7"/>
      <c r="AV389" s="7"/>
      <c r="AW389" s="7"/>
      <c r="AX389" s="7"/>
      <c r="AY389" s="7"/>
      <c r="AZ389" s="7"/>
      <c r="BA389" s="7"/>
      <c r="BB389" s="7"/>
      <c r="BC389" s="7"/>
      <c r="BD389" s="18"/>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105"/>
    </row>
    <row r="390" spans="1:121" s="15" customFormat="1" x14ac:dyDescent="0.2">
      <c r="A390" s="20"/>
      <c r="C390" s="102"/>
      <c r="AI390" s="7"/>
      <c r="AJ390" s="7"/>
      <c r="AK390" s="7"/>
      <c r="AL390" s="7"/>
      <c r="AM390" s="7"/>
      <c r="AN390" s="7"/>
      <c r="AO390" s="7"/>
      <c r="AP390" s="7"/>
      <c r="AQ390" s="7"/>
      <c r="AR390" s="7"/>
      <c r="AS390" s="7"/>
      <c r="AT390" s="7"/>
      <c r="AU390" s="7"/>
      <c r="AV390" s="7"/>
      <c r="AW390" s="7"/>
      <c r="AX390" s="7"/>
      <c r="AY390" s="7"/>
      <c r="AZ390" s="7"/>
      <c r="BA390" s="7"/>
      <c r="BB390" s="7"/>
      <c r="BC390" s="7"/>
      <c r="BD390" s="18"/>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105"/>
    </row>
    <row r="391" spans="1:121" s="15" customFormat="1" x14ac:dyDescent="0.2">
      <c r="A391" s="20"/>
      <c r="C391" s="102"/>
      <c r="AI391" s="7"/>
      <c r="AJ391" s="7"/>
      <c r="AK391" s="7"/>
      <c r="AL391" s="7"/>
      <c r="AM391" s="7"/>
      <c r="AN391" s="7"/>
      <c r="AO391" s="7"/>
      <c r="AP391" s="7"/>
      <c r="AQ391" s="7"/>
      <c r="AR391" s="7"/>
      <c r="AS391" s="7"/>
      <c r="AT391" s="7"/>
      <c r="AU391" s="7"/>
      <c r="AV391" s="7"/>
      <c r="AW391" s="7"/>
      <c r="AX391" s="7"/>
      <c r="AY391" s="7"/>
      <c r="AZ391" s="7"/>
      <c r="BA391" s="7"/>
      <c r="BB391" s="7"/>
      <c r="BC391" s="7"/>
      <c r="BD391" s="18"/>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105"/>
    </row>
    <row r="392" spans="1:121" s="15" customFormat="1" x14ac:dyDescent="0.2">
      <c r="A392" s="20"/>
      <c r="C392" s="102"/>
      <c r="AI392" s="7"/>
      <c r="AJ392" s="7"/>
      <c r="AK392" s="7"/>
      <c r="AL392" s="7"/>
      <c r="AM392" s="7"/>
      <c r="AN392" s="7"/>
      <c r="AO392" s="7"/>
      <c r="AP392" s="7"/>
      <c r="AQ392" s="7"/>
      <c r="AR392" s="7"/>
      <c r="AS392" s="7"/>
      <c r="AT392" s="7"/>
      <c r="AU392" s="7"/>
      <c r="AV392" s="7"/>
      <c r="AW392" s="7"/>
      <c r="AX392" s="7"/>
      <c r="AY392" s="7"/>
      <c r="AZ392" s="7"/>
      <c r="BA392" s="7"/>
      <c r="BB392" s="7"/>
      <c r="BC392" s="7"/>
      <c r="BD392" s="18"/>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105"/>
    </row>
    <row r="393" spans="1:121" s="15" customFormat="1" x14ac:dyDescent="0.2">
      <c r="A393" s="20"/>
      <c r="C393" s="102"/>
      <c r="AI393" s="7"/>
      <c r="AJ393" s="7"/>
      <c r="AK393" s="7"/>
      <c r="AL393" s="7"/>
      <c r="AM393" s="7"/>
      <c r="AN393" s="7"/>
      <c r="AO393" s="7"/>
      <c r="AP393" s="7"/>
      <c r="AQ393" s="7"/>
      <c r="AR393" s="7"/>
      <c r="AS393" s="7"/>
      <c r="AT393" s="7"/>
      <c r="AU393" s="7"/>
      <c r="AV393" s="7"/>
      <c r="AW393" s="7"/>
      <c r="AX393" s="7"/>
      <c r="AY393" s="7"/>
      <c r="AZ393" s="7"/>
      <c r="BA393" s="7"/>
      <c r="BB393" s="7"/>
      <c r="BC393" s="7"/>
      <c r="BD393" s="18"/>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105"/>
    </row>
    <row r="394" spans="1:121" s="15" customFormat="1" x14ac:dyDescent="0.2">
      <c r="A394" s="20"/>
      <c r="C394" s="102"/>
      <c r="AI394" s="7"/>
      <c r="AJ394" s="7"/>
      <c r="AK394" s="7"/>
      <c r="AL394" s="7"/>
      <c r="AM394" s="7"/>
      <c r="AN394" s="7"/>
      <c r="AO394" s="7"/>
      <c r="AP394" s="7"/>
      <c r="AQ394" s="7"/>
      <c r="AR394" s="7"/>
      <c r="AS394" s="7"/>
      <c r="AT394" s="7"/>
      <c r="AU394" s="7"/>
      <c r="AV394" s="7"/>
      <c r="AW394" s="7"/>
      <c r="AX394" s="7"/>
      <c r="AY394" s="7"/>
      <c r="AZ394" s="7"/>
      <c r="BA394" s="7"/>
      <c r="BB394" s="7"/>
      <c r="BC394" s="7"/>
      <c r="BD394" s="18"/>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105"/>
    </row>
    <row r="395" spans="1:121" s="15" customFormat="1" x14ac:dyDescent="0.2">
      <c r="A395" s="20"/>
      <c r="C395" s="102"/>
      <c r="AI395" s="7"/>
      <c r="AJ395" s="7"/>
      <c r="AK395" s="7"/>
      <c r="AL395" s="7"/>
      <c r="AM395" s="7"/>
      <c r="AN395" s="7"/>
      <c r="AO395" s="7"/>
      <c r="AP395" s="7"/>
      <c r="AQ395" s="7"/>
      <c r="AR395" s="7"/>
      <c r="AS395" s="7"/>
      <c r="AT395" s="7"/>
      <c r="AU395" s="7"/>
      <c r="AV395" s="7"/>
      <c r="AW395" s="7"/>
      <c r="AX395" s="7"/>
      <c r="AY395" s="7"/>
      <c r="AZ395" s="7"/>
      <c r="BA395" s="7"/>
      <c r="BB395" s="7"/>
      <c r="BC395" s="7"/>
      <c r="BD395" s="18"/>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105"/>
    </row>
    <row r="396" spans="1:121" s="15" customFormat="1" x14ac:dyDescent="0.2">
      <c r="A396" s="20"/>
      <c r="C396" s="102"/>
      <c r="AI396" s="7"/>
      <c r="AJ396" s="7"/>
      <c r="AK396" s="7"/>
      <c r="AL396" s="7"/>
      <c r="AM396" s="7"/>
      <c r="AN396" s="7"/>
      <c r="AO396" s="7"/>
      <c r="AP396" s="7"/>
      <c r="AQ396" s="7"/>
      <c r="AR396" s="7"/>
      <c r="AS396" s="7"/>
      <c r="AT396" s="7"/>
      <c r="AU396" s="7"/>
      <c r="AV396" s="7"/>
      <c r="AW396" s="7"/>
      <c r="AX396" s="7"/>
      <c r="AY396" s="7"/>
      <c r="AZ396" s="7"/>
      <c r="BA396" s="7"/>
      <c r="BB396" s="7"/>
      <c r="BC396" s="7"/>
      <c r="BD396" s="18"/>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105"/>
    </row>
    <row r="397" spans="1:121" s="15" customFormat="1" x14ac:dyDescent="0.2">
      <c r="A397" s="20"/>
      <c r="C397" s="102"/>
      <c r="AI397" s="7"/>
      <c r="AJ397" s="7"/>
      <c r="AK397" s="7"/>
      <c r="AL397" s="7"/>
      <c r="AM397" s="7"/>
      <c r="AN397" s="7"/>
      <c r="AO397" s="7"/>
      <c r="AP397" s="7"/>
      <c r="AQ397" s="7"/>
      <c r="AR397" s="7"/>
      <c r="AS397" s="7"/>
      <c r="AT397" s="7"/>
      <c r="AU397" s="7"/>
      <c r="AV397" s="7"/>
      <c r="AW397" s="7"/>
      <c r="AX397" s="7"/>
      <c r="AY397" s="7"/>
      <c r="AZ397" s="7"/>
      <c r="BA397" s="7"/>
      <c r="BB397" s="7"/>
      <c r="BC397" s="7"/>
      <c r="BD397" s="18"/>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105"/>
    </row>
    <row r="398" spans="1:121" s="15" customFormat="1" x14ac:dyDescent="0.2">
      <c r="A398" s="20"/>
      <c r="C398" s="102"/>
      <c r="AI398" s="7"/>
      <c r="AJ398" s="7"/>
      <c r="AK398" s="7"/>
      <c r="AL398" s="7"/>
      <c r="AM398" s="7"/>
      <c r="AN398" s="7"/>
      <c r="AO398" s="7"/>
      <c r="AP398" s="7"/>
      <c r="AQ398" s="7"/>
      <c r="AR398" s="7"/>
      <c r="AS398" s="7"/>
      <c r="AT398" s="7"/>
      <c r="AU398" s="7"/>
      <c r="AV398" s="7"/>
      <c r="AW398" s="7"/>
      <c r="AX398" s="7"/>
      <c r="AY398" s="7"/>
      <c r="AZ398" s="7"/>
      <c r="BA398" s="7"/>
      <c r="BB398" s="7"/>
      <c r="BC398" s="7"/>
      <c r="BD398" s="18"/>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105"/>
    </row>
    <row r="399" spans="1:121" s="15" customFormat="1" x14ac:dyDescent="0.2">
      <c r="A399" s="20"/>
      <c r="C399" s="102"/>
      <c r="AI399" s="7"/>
      <c r="AJ399" s="7"/>
      <c r="AK399" s="7"/>
      <c r="AL399" s="7"/>
      <c r="AM399" s="7"/>
      <c r="AN399" s="7"/>
      <c r="AO399" s="7"/>
      <c r="AP399" s="7"/>
      <c r="AQ399" s="7"/>
      <c r="AR399" s="7"/>
      <c r="AS399" s="7"/>
      <c r="AT399" s="7"/>
      <c r="AU399" s="7"/>
      <c r="AV399" s="7"/>
      <c r="AW399" s="7"/>
      <c r="AX399" s="7"/>
      <c r="AY399" s="7"/>
      <c r="AZ399" s="7"/>
      <c r="BA399" s="7"/>
      <c r="BB399" s="7"/>
      <c r="BC399" s="7"/>
      <c r="BD399" s="18"/>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105"/>
    </row>
    <row r="400" spans="1:121" s="15" customFormat="1" x14ac:dyDescent="0.2">
      <c r="A400" s="20"/>
      <c r="C400" s="102"/>
      <c r="AI400" s="7"/>
      <c r="AJ400" s="7"/>
      <c r="AK400" s="7"/>
      <c r="AL400" s="7"/>
      <c r="AM400" s="7"/>
      <c r="AN400" s="7"/>
      <c r="AO400" s="7"/>
      <c r="AP400" s="7"/>
      <c r="AQ400" s="7"/>
      <c r="AR400" s="7"/>
      <c r="AS400" s="7"/>
      <c r="AT400" s="7"/>
      <c r="AU400" s="7"/>
      <c r="AV400" s="7"/>
      <c r="AW400" s="7"/>
      <c r="AX400" s="7"/>
      <c r="AY400" s="7"/>
      <c r="AZ400" s="7"/>
      <c r="BA400" s="7"/>
      <c r="BB400" s="7"/>
      <c r="BC400" s="7"/>
      <c r="BD400" s="18"/>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105"/>
    </row>
    <row r="401" spans="1:121" s="15" customFormat="1" x14ac:dyDescent="0.2">
      <c r="A401" s="20"/>
      <c r="C401" s="102"/>
      <c r="AI401" s="7"/>
      <c r="AJ401" s="7"/>
      <c r="AK401" s="7"/>
      <c r="AL401" s="7"/>
      <c r="AM401" s="7"/>
      <c r="AN401" s="7"/>
      <c r="AO401" s="7"/>
      <c r="AP401" s="7"/>
      <c r="AQ401" s="7"/>
      <c r="AR401" s="7"/>
      <c r="AS401" s="7"/>
      <c r="AT401" s="7"/>
      <c r="AU401" s="7"/>
      <c r="AV401" s="7"/>
      <c r="AW401" s="7"/>
      <c r="AX401" s="7"/>
      <c r="AY401" s="7"/>
      <c r="AZ401" s="7"/>
      <c r="BA401" s="7"/>
      <c r="BB401" s="7"/>
      <c r="BC401" s="7"/>
      <c r="BD401" s="18"/>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105"/>
    </row>
    <row r="402" spans="1:121" s="15" customFormat="1" x14ac:dyDescent="0.2">
      <c r="A402" s="20"/>
      <c r="C402" s="102"/>
      <c r="AI402" s="7"/>
      <c r="AJ402" s="7"/>
      <c r="AK402" s="7"/>
      <c r="AL402" s="7"/>
      <c r="AM402" s="7"/>
      <c r="AN402" s="7"/>
      <c r="AO402" s="7"/>
      <c r="AP402" s="7"/>
      <c r="AQ402" s="7"/>
      <c r="AR402" s="7"/>
      <c r="AS402" s="7"/>
      <c r="AT402" s="7"/>
      <c r="AU402" s="7"/>
      <c r="AV402" s="7"/>
      <c r="AW402" s="7"/>
      <c r="AX402" s="7"/>
      <c r="AY402" s="7"/>
      <c r="AZ402" s="7"/>
      <c r="BA402" s="7"/>
      <c r="BB402" s="7"/>
      <c r="BC402" s="7"/>
      <c r="BD402" s="18"/>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105"/>
    </row>
    <row r="403" spans="1:121" s="15" customFormat="1" x14ac:dyDescent="0.2">
      <c r="A403" s="20"/>
      <c r="C403" s="102"/>
      <c r="AI403" s="7"/>
      <c r="AJ403" s="7"/>
      <c r="AK403" s="7"/>
      <c r="AL403" s="7"/>
      <c r="AM403" s="7"/>
      <c r="AN403" s="7"/>
      <c r="AO403" s="7"/>
      <c r="AP403" s="7"/>
      <c r="AQ403" s="7"/>
      <c r="AR403" s="7"/>
      <c r="AS403" s="7"/>
      <c r="AT403" s="7"/>
      <c r="AU403" s="7"/>
      <c r="AV403" s="7"/>
      <c r="AW403" s="7"/>
      <c r="AX403" s="7"/>
      <c r="AY403" s="7"/>
      <c r="AZ403" s="7"/>
      <c r="BA403" s="7"/>
      <c r="BB403" s="7"/>
      <c r="BC403" s="7"/>
      <c r="BD403" s="18"/>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105"/>
    </row>
    <row r="404" spans="1:121" s="15" customFormat="1" x14ac:dyDescent="0.2">
      <c r="A404" s="20"/>
      <c r="C404" s="102"/>
      <c r="AI404" s="7"/>
      <c r="AJ404" s="7"/>
      <c r="AK404" s="7"/>
      <c r="AL404" s="7"/>
      <c r="AM404" s="7"/>
      <c r="AN404" s="7"/>
      <c r="AO404" s="7"/>
      <c r="AP404" s="7"/>
      <c r="AQ404" s="7"/>
      <c r="AR404" s="7"/>
      <c r="AS404" s="7"/>
      <c r="AT404" s="7"/>
      <c r="AU404" s="7"/>
      <c r="AV404" s="7"/>
      <c r="AW404" s="7"/>
      <c r="AX404" s="7"/>
      <c r="AY404" s="7"/>
      <c r="AZ404" s="7"/>
      <c r="BA404" s="7"/>
      <c r="BB404" s="7"/>
      <c r="BC404" s="7"/>
      <c r="BD404" s="18"/>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105"/>
    </row>
    <row r="405" spans="1:121" s="15" customFormat="1" x14ac:dyDescent="0.2">
      <c r="A405" s="20"/>
      <c r="C405" s="102"/>
      <c r="AI405" s="7"/>
      <c r="AJ405" s="7"/>
      <c r="AK405" s="7"/>
      <c r="AL405" s="7"/>
      <c r="AM405" s="7"/>
      <c r="AN405" s="7"/>
      <c r="AO405" s="7"/>
      <c r="AP405" s="7"/>
      <c r="AQ405" s="7"/>
      <c r="AR405" s="7"/>
      <c r="AS405" s="7"/>
      <c r="AT405" s="7"/>
      <c r="AU405" s="7"/>
      <c r="AV405" s="7"/>
      <c r="AW405" s="7"/>
      <c r="AX405" s="7"/>
      <c r="AY405" s="7"/>
      <c r="AZ405" s="7"/>
      <c r="BA405" s="7"/>
      <c r="BB405" s="7"/>
      <c r="BC405" s="7"/>
      <c r="BD405" s="18"/>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105"/>
    </row>
    <row r="406" spans="1:121" s="15" customFormat="1" x14ac:dyDescent="0.2">
      <c r="A406" s="20"/>
      <c r="C406" s="102"/>
      <c r="AI406" s="7"/>
      <c r="AJ406" s="7"/>
      <c r="AK406" s="7"/>
      <c r="AL406" s="7"/>
      <c r="AM406" s="7"/>
      <c r="AN406" s="7"/>
      <c r="AO406" s="7"/>
      <c r="AP406" s="7"/>
      <c r="AQ406" s="7"/>
      <c r="AR406" s="7"/>
      <c r="AS406" s="7"/>
      <c r="AT406" s="7"/>
      <c r="AU406" s="7"/>
      <c r="AV406" s="7"/>
      <c r="AW406" s="7"/>
      <c r="AX406" s="7"/>
      <c r="AY406" s="7"/>
      <c r="AZ406" s="7"/>
      <c r="BA406" s="7"/>
      <c r="BB406" s="7"/>
      <c r="BC406" s="7"/>
      <c r="BD406" s="18"/>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105"/>
    </row>
    <row r="407" spans="1:121" s="15" customFormat="1" x14ac:dyDescent="0.2">
      <c r="A407" s="20"/>
      <c r="C407" s="102"/>
      <c r="AI407" s="7"/>
      <c r="AJ407" s="7"/>
      <c r="AK407" s="7"/>
      <c r="AL407" s="7"/>
      <c r="AM407" s="7"/>
      <c r="AN407" s="7"/>
      <c r="AO407" s="7"/>
      <c r="AP407" s="7"/>
      <c r="AQ407" s="7"/>
      <c r="AR407" s="7"/>
      <c r="AS407" s="7"/>
      <c r="AT407" s="7"/>
      <c r="AU407" s="7"/>
      <c r="AV407" s="7"/>
      <c r="AW407" s="7"/>
      <c r="AX407" s="7"/>
      <c r="AY407" s="7"/>
      <c r="AZ407" s="7"/>
      <c r="BA407" s="7"/>
      <c r="BB407" s="7"/>
      <c r="BC407" s="7"/>
      <c r="BD407" s="18"/>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105"/>
    </row>
    <row r="408" spans="1:121" s="15" customFormat="1" x14ac:dyDescent="0.2">
      <c r="A408" s="20"/>
      <c r="C408" s="102"/>
      <c r="AI408" s="7"/>
      <c r="AJ408" s="7"/>
      <c r="AK408" s="7"/>
      <c r="AL408" s="7"/>
      <c r="AM408" s="7"/>
      <c r="AN408" s="7"/>
      <c r="AO408" s="7"/>
      <c r="AP408" s="7"/>
      <c r="AQ408" s="7"/>
      <c r="AR408" s="7"/>
      <c r="AS408" s="7"/>
      <c r="AT408" s="7"/>
      <c r="AU408" s="7"/>
      <c r="AV408" s="7"/>
      <c r="AW408" s="7"/>
      <c r="AX408" s="7"/>
      <c r="AY408" s="7"/>
      <c r="AZ408" s="7"/>
      <c r="BA408" s="7"/>
      <c r="BB408" s="7"/>
      <c r="BC408" s="7"/>
      <c r="BD408" s="18"/>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105"/>
    </row>
    <row r="409" spans="1:121" s="15" customFormat="1" x14ac:dyDescent="0.2">
      <c r="A409" s="20"/>
      <c r="C409" s="102"/>
      <c r="AI409" s="7"/>
      <c r="AJ409" s="7"/>
      <c r="AK409" s="7"/>
      <c r="AL409" s="7"/>
      <c r="AM409" s="7"/>
      <c r="AN409" s="7"/>
      <c r="AO409" s="7"/>
      <c r="AP409" s="7"/>
      <c r="AQ409" s="7"/>
      <c r="AR409" s="7"/>
      <c r="AS409" s="7"/>
      <c r="AT409" s="7"/>
      <c r="AU409" s="7"/>
      <c r="AV409" s="7"/>
      <c r="AW409" s="7"/>
      <c r="AX409" s="7"/>
      <c r="AY409" s="7"/>
      <c r="AZ409" s="7"/>
      <c r="BA409" s="7"/>
      <c r="BB409" s="7"/>
      <c r="BC409" s="7"/>
      <c r="BD409" s="18"/>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105"/>
    </row>
    <row r="410" spans="1:121" s="15" customFormat="1" x14ac:dyDescent="0.2">
      <c r="A410" s="20"/>
      <c r="C410" s="102"/>
      <c r="AI410" s="7"/>
      <c r="AJ410" s="7"/>
      <c r="AK410" s="7"/>
      <c r="AL410" s="7"/>
      <c r="AM410" s="7"/>
      <c r="AN410" s="7"/>
      <c r="AO410" s="7"/>
      <c r="AP410" s="7"/>
      <c r="AQ410" s="7"/>
      <c r="AR410" s="7"/>
      <c r="AS410" s="7"/>
      <c r="AT410" s="7"/>
      <c r="AU410" s="7"/>
      <c r="AV410" s="7"/>
      <c r="AW410" s="7"/>
      <c r="AX410" s="7"/>
      <c r="AY410" s="7"/>
      <c r="AZ410" s="7"/>
      <c r="BA410" s="7"/>
      <c r="BB410" s="7"/>
      <c r="BC410" s="7"/>
      <c r="BD410" s="18"/>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105"/>
    </row>
    <row r="411" spans="1:121" s="15" customFormat="1" x14ac:dyDescent="0.2">
      <c r="A411" s="20"/>
      <c r="C411" s="102"/>
      <c r="AI411" s="7"/>
      <c r="AJ411" s="7"/>
      <c r="AK411" s="7"/>
      <c r="AL411" s="7"/>
      <c r="AM411" s="7"/>
      <c r="AN411" s="7"/>
      <c r="AO411" s="7"/>
      <c r="AP411" s="7"/>
      <c r="AQ411" s="7"/>
      <c r="AR411" s="7"/>
      <c r="AS411" s="7"/>
      <c r="AT411" s="7"/>
      <c r="AU411" s="7"/>
      <c r="AV411" s="7"/>
      <c r="AW411" s="7"/>
      <c r="AX411" s="7"/>
      <c r="AY411" s="7"/>
      <c r="AZ411" s="7"/>
      <c r="BA411" s="7"/>
      <c r="BB411" s="7"/>
      <c r="BC411" s="7"/>
      <c r="BD411" s="18"/>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105"/>
    </row>
    <row r="412" spans="1:121" s="15" customFormat="1" x14ac:dyDescent="0.2">
      <c r="A412" s="20"/>
      <c r="C412" s="102"/>
      <c r="AI412" s="7"/>
      <c r="AJ412" s="7"/>
      <c r="AK412" s="7"/>
      <c r="AL412" s="7"/>
      <c r="AM412" s="7"/>
      <c r="AN412" s="7"/>
      <c r="AO412" s="7"/>
      <c r="AP412" s="7"/>
      <c r="AQ412" s="7"/>
      <c r="AR412" s="7"/>
      <c r="AS412" s="7"/>
      <c r="AT412" s="7"/>
      <c r="AU412" s="7"/>
      <c r="AV412" s="7"/>
      <c r="AW412" s="7"/>
      <c r="AX412" s="7"/>
      <c r="AY412" s="7"/>
      <c r="AZ412" s="7"/>
      <c r="BA412" s="7"/>
      <c r="BB412" s="7"/>
      <c r="BC412" s="7"/>
      <c r="BD412" s="18"/>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105"/>
    </row>
    <row r="413" spans="1:121" s="15" customFormat="1" x14ac:dyDescent="0.2">
      <c r="A413" s="20"/>
      <c r="C413" s="102"/>
      <c r="AI413" s="7"/>
      <c r="AJ413" s="7"/>
      <c r="AK413" s="7"/>
      <c r="AL413" s="7"/>
      <c r="AM413" s="7"/>
      <c r="AN413" s="7"/>
      <c r="AO413" s="7"/>
      <c r="AP413" s="7"/>
      <c r="AQ413" s="7"/>
      <c r="AR413" s="7"/>
      <c r="AS413" s="7"/>
      <c r="AT413" s="7"/>
      <c r="AU413" s="7"/>
      <c r="AV413" s="7"/>
      <c r="AW413" s="7"/>
      <c r="AX413" s="7"/>
      <c r="AY413" s="7"/>
      <c r="AZ413" s="7"/>
      <c r="BA413" s="7"/>
      <c r="BB413" s="7"/>
      <c r="BC413" s="7"/>
      <c r="BD413" s="18"/>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105"/>
    </row>
    <row r="414" spans="1:121" s="15" customFormat="1" x14ac:dyDescent="0.2">
      <c r="A414" s="20"/>
      <c r="C414" s="102"/>
      <c r="AI414" s="7"/>
      <c r="AJ414" s="7"/>
      <c r="AK414" s="7"/>
      <c r="AL414" s="7"/>
      <c r="AM414" s="7"/>
      <c r="AN414" s="7"/>
      <c r="AO414" s="7"/>
      <c r="AP414" s="7"/>
      <c r="AQ414" s="7"/>
      <c r="AR414" s="7"/>
      <c r="AS414" s="7"/>
      <c r="AT414" s="7"/>
      <c r="AU414" s="7"/>
      <c r="AV414" s="7"/>
      <c r="AW414" s="7"/>
      <c r="AX414" s="7"/>
      <c r="AY414" s="7"/>
      <c r="AZ414" s="7"/>
      <c r="BA414" s="7"/>
      <c r="BB414" s="7"/>
      <c r="BC414" s="7"/>
      <c r="BD414" s="18"/>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105"/>
    </row>
    <row r="415" spans="1:121" s="15" customFormat="1" x14ac:dyDescent="0.2">
      <c r="A415" s="20"/>
      <c r="C415" s="102"/>
      <c r="AI415" s="7"/>
      <c r="AJ415" s="7"/>
      <c r="AK415" s="7"/>
      <c r="AL415" s="7"/>
      <c r="AM415" s="7"/>
      <c r="AN415" s="7"/>
      <c r="AO415" s="7"/>
      <c r="AP415" s="7"/>
      <c r="AQ415" s="7"/>
      <c r="AR415" s="7"/>
      <c r="AS415" s="7"/>
      <c r="AT415" s="7"/>
      <c r="AU415" s="7"/>
      <c r="AV415" s="7"/>
      <c r="AW415" s="7"/>
      <c r="AX415" s="7"/>
      <c r="AY415" s="7"/>
      <c r="AZ415" s="7"/>
      <c r="BA415" s="7"/>
      <c r="BB415" s="7"/>
      <c r="BC415" s="7"/>
      <c r="BD415" s="18"/>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105"/>
    </row>
    <row r="416" spans="1:121" s="15" customFormat="1" x14ac:dyDescent="0.2">
      <c r="A416" s="20"/>
      <c r="C416" s="102"/>
      <c r="AI416" s="7"/>
      <c r="AJ416" s="7"/>
      <c r="AK416" s="7"/>
      <c r="AL416" s="7"/>
      <c r="AM416" s="7"/>
      <c r="AN416" s="7"/>
      <c r="AO416" s="7"/>
      <c r="AP416" s="7"/>
      <c r="AQ416" s="7"/>
      <c r="AR416" s="7"/>
      <c r="AS416" s="7"/>
      <c r="AT416" s="7"/>
      <c r="AU416" s="7"/>
      <c r="AV416" s="7"/>
      <c r="AW416" s="7"/>
      <c r="AX416" s="7"/>
      <c r="AY416" s="7"/>
      <c r="AZ416" s="7"/>
      <c r="BA416" s="7"/>
      <c r="BB416" s="7"/>
      <c r="BC416" s="7"/>
      <c r="BD416" s="18"/>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105"/>
    </row>
    <row r="417" spans="1:121" s="15" customFormat="1" x14ac:dyDescent="0.2">
      <c r="A417" s="20"/>
      <c r="C417" s="102"/>
      <c r="AI417" s="7"/>
      <c r="AJ417" s="7"/>
      <c r="AK417" s="7"/>
      <c r="AL417" s="7"/>
      <c r="AM417" s="7"/>
      <c r="AN417" s="7"/>
      <c r="AO417" s="7"/>
      <c r="AP417" s="7"/>
      <c r="AQ417" s="7"/>
      <c r="AR417" s="7"/>
      <c r="AS417" s="7"/>
      <c r="AT417" s="7"/>
      <c r="AU417" s="7"/>
      <c r="AV417" s="7"/>
      <c r="AW417" s="7"/>
      <c r="AX417" s="7"/>
      <c r="AY417" s="7"/>
      <c r="AZ417" s="7"/>
      <c r="BA417" s="7"/>
      <c r="BB417" s="7"/>
      <c r="BC417" s="7"/>
      <c r="BD417" s="18"/>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105"/>
    </row>
    <row r="418" spans="1:121" s="15" customFormat="1" x14ac:dyDescent="0.2">
      <c r="A418" s="20"/>
      <c r="C418" s="102"/>
      <c r="AI418" s="7"/>
      <c r="AJ418" s="7"/>
      <c r="AK418" s="7"/>
      <c r="AL418" s="7"/>
      <c r="AM418" s="7"/>
      <c r="AN418" s="7"/>
      <c r="AO418" s="7"/>
      <c r="AP418" s="7"/>
      <c r="AQ418" s="7"/>
      <c r="AR418" s="7"/>
      <c r="AS418" s="7"/>
      <c r="AT418" s="7"/>
      <c r="AU418" s="7"/>
      <c r="AV418" s="7"/>
      <c r="AW418" s="7"/>
      <c r="AX418" s="7"/>
      <c r="AY418" s="7"/>
      <c r="AZ418" s="7"/>
      <c r="BA418" s="7"/>
      <c r="BB418" s="7"/>
      <c r="BC418" s="7"/>
      <c r="BD418" s="18"/>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105"/>
    </row>
    <row r="419" spans="1:121" s="15" customFormat="1" x14ac:dyDescent="0.2">
      <c r="A419" s="20"/>
      <c r="C419" s="102"/>
      <c r="AI419" s="7"/>
      <c r="AJ419" s="7"/>
      <c r="AK419" s="7"/>
      <c r="AL419" s="7"/>
      <c r="AM419" s="7"/>
      <c r="AN419" s="7"/>
      <c r="AO419" s="7"/>
      <c r="AP419" s="7"/>
      <c r="AQ419" s="7"/>
      <c r="AR419" s="7"/>
      <c r="AS419" s="7"/>
      <c r="AT419" s="7"/>
      <c r="AU419" s="7"/>
      <c r="AV419" s="7"/>
      <c r="AW419" s="7"/>
      <c r="AX419" s="7"/>
      <c r="AY419" s="7"/>
      <c r="AZ419" s="7"/>
      <c r="BA419" s="7"/>
      <c r="BB419" s="7"/>
      <c r="BC419" s="7"/>
      <c r="BD419" s="18"/>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105"/>
    </row>
    <row r="420" spans="1:121" s="15" customFormat="1" x14ac:dyDescent="0.2">
      <c r="A420" s="20"/>
      <c r="C420" s="102"/>
      <c r="AI420" s="7"/>
      <c r="AJ420" s="7"/>
      <c r="AK420" s="7"/>
      <c r="AL420" s="7"/>
      <c r="AM420" s="7"/>
      <c r="AN420" s="7"/>
      <c r="AO420" s="7"/>
      <c r="AP420" s="7"/>
      <c r="AQ420" s="7"/>
      <c r="AR420" s="7"/>
      <c r="AS420" s="7"/>
      <c r="AT420" s="7"/>
      <c r="AU420" s="7"/>
      <c r="AV420" s="7"/>
      <c r="AW420" s="7"/>
      <c r="AX420" s="7"/>
      <c r="AY420" s="7"/>
      <c r="AZ420" s="7"/>
      <c r="BA420" s="7"/>
      <c r="BB420" s="7"/>
      <c r="BC420" s="7"/>
      <c r="BD420" s="18"/>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105"/>
    </row>
    <row r="421" spans="1:121" s="15" customFormat="1" x14ac:dyDescent="0.2">
      <c r="A421" s="20"/>
      <c r="C421" s="102"/>
      <c r="AI421" s="7"/>
      <c r="AJ421" s="7"/>
      <c r="AK421" s="7"/>
      <c r="AL421" s="7"/>
      <c r="AM421" s="7"/>
      <c r="AN421" s="7"/>
      <c r="AO421" s="7"/>
      <c r="AP421" s="7"/>
      <c r="AQ421" s="7"/>
      <c r="AR421" s="7"/>
      <c r="AS421" s="7"/>
      <c r="AT421" s="7"/>
      <c r="AU421" s="7"/>
      <c r="AV421" s="7"/>
      <c r="AW421" s="7"/>
      <c r="AX421" s="7"/>
      <c r="AY421" s="7"/>
      <c r="AZ421" s="7"/>
      <c r="BA421" s="7"/>
      <c r="BB421" s="7"/>
      <c r="BC421" s="7"/>
      <c r="BD421" s="18"/>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105"/>
    </row>
    <row r="422" spans="1:121" s="15" customFormat="1" x14ac:dyDescent="0.2">
      <c r="A422" s="20"/>
      <c r="C422" s="102"/>
      <c r="AI422" s="7"/>
      <c r="AJ422" s="7"/>
      <c r="AK422" s="7"/>
      <c r="AL422" s="7"/>
      <c r="AM422" s="7"/>
      <c r="AN422" s="7"/>
      <c r="AO422" s="7"/>
      <c r="AP422" s="7"/>
      <c r="AQ422" s="7"/>
      <c r="AR422" s="7"/>
      <c r="AS422" s="7"/>
      <c r="AT422" s="7"/>
      <c r="AU422" s="7"/>
      <c r="AV422" s="7"/>
      <c r="AW422" s="7"/>
      <c r="AX422" s="7"/>
      <c r="AY422" s="7"/>
      <c r="AZ422" s="7"/>
      <c r="BA422" s="7"/>
      <c r="BB422" s="7"/>
      <c r="BC422" s="7"/>
      <c r="BD422" s="18"/>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105"/>
    </row>
    <row r="423" spans="1:121" s="15" customFormat="1" x14ac:dyDescent="0.2">
      <c r="A423" s="20"/>
      <c r="C423" s="102"/>
      <c r="AI423" s="7"/>
      <c r="AJ423" s="7"/>
      <c r="AK423" s="7"/>
      <c r="AL423" s="7"/>
      <c r="AM423" s="7"/>
      <c r="AN423" s="7"/>
      <c r="AO423" s="7"/>
      <c r="AP423" s="7"/>
      <c r="AQ423" s="7"/>
      <c r="AR423" s="7"/>
      <c r="AS423" s="7"/>
      <c r="AT423" s="7"/>
      <c r="AU423" s="7"/>
      <c r="AV423" s="7"/>
      <c r="AW423" s="7"/>
      <c r="AX423" s="7"/>
      <c r="AY423" s="7"/>
      <c r="AZ423" s="7"/>
      <c r="BA423" s="7"/>
      <c r="BB423" s="7"/>
      <c r="BC423" s="7"/>
      <c r="BD423" s="18"/>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105"/>
    </row>
    <row r="424" spans="1:121" s="15" customFormat="1" x14ac:dyDescent="0.2">
      <c r="A424" s="20"/>
      <c r="C424" s="102"/>
      <c r="AI424" s="7"/>
      <c r="AJ424" s="7"/>
      <c r="AK424" s="7"/>
      <c r="AL424" s="7"/>
      <c r="AM424" s="7"/>
      <c r="AN424" s="7"/>
      <c r="AO424" s="7"/>
      <c r="AP424" s="7"/>
      <c r="AQ424" s="7"/>
      <c r="AR424" s="7"/>
      <c r="AS424" s="7"/>
      <c r="AT424" s="7"/>
      <c r="AU424" s="7"/>
      <c r="AV424" s="7"/>
      <c r="AW424" s="7"/>
      <c r="AX424" s="7"/>
      <c r="AY424" s="7"/>
      <c r="AZ424" s="7"/>
      <c r="BA424" s="7"/>
      <c r="BB424" s="7"/>
      <c r="BC424" s="7"/>
      <c r="BD424" s="18"/>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105"/>
    </row>
    <row r="425" spans="1:121" s="15" customFormat="1" x14ac:dyDescent="0.2">
      <c r="A425" s="20"/>
      <c r="C425" s="102"/>
      <c r="AI425" s="7"/>
      <c r="AJ425" s="7"/>
      <c r="AK425" s="7"/>
      <c r="AL425" s="7"/>
      <c r="AM425" s="7"/>
      <c r="AN425" s="7"/>
      <c r="AO425" s="7"/>
      <c r="AP425" s="7"/>
      <c r="AQ425" s="7"/>
      <c r="AR425" s="7"/>
      <c r="AS425" s="7"/>
      <c r="AT425" s="7"/>
      <c r="AU425" s="7"/>
      <c r="AV425" s="7"/>
      <c r="AW425" s="7"/>
      <c r="AX425" s="7"/>
      <c r="AY425" s="7"/>
      <c r="AZ425" s="7"/>
      <c r="BA425" s="7"/>
      <c r="BB425" s="7"/>
      <c r="BC425" s="7"/>
      <c r="BD425" s="18"/>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105"/>
    </row>
    <row r="426" spans="1:121" s="15" customFormat="1" x14ac:dyDescent="0.2">
      <c r="A426" s="20"/>
      <c r="C426" s="102"/>
      <c r="AI426" s="7"/>
      <c r="AJ426" s="7"/>
      <c r="AK426" s="7"/>
      <c r="AL426" s="7"/>
      <c r="AM426" s="7"/>
      <c r="AN426" s="7"/>
      <c r="AO426" s="7"/>
      <c r="AP426" s="7"/>
      <c r="AQ426" s="7"/>
      <c r="AR426" s="7"/>
      <c r="AS426" s="7"/>
      <c r="AT426" s="7"/>
      <c r="AU426" s="7"/>
      <c r="AV426" s="7"/>
      <c r="AW426" s="7"/>
      <c r="AX426" s="7"/>
      <c r="AY426" s="7"/>
      <c r="AZ426" s="7"/>
      <c r="BA426" s="7"/>
      <c r="BB426" s="7"/>
      <c r="BC426" s="7"/>
      <c r="BD426" s="18"/>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105"/>
    </row>
    <row r="427" spans="1:121" s="15" customFormat="1" x14ac:dyDescent="0.2">
      <c r="A427" s="20"/>
      <c r="C427" s="102"/>
      <c r="AI427" s="7"/>
      <c r="AJ427" s="7"/>
      <c r="AK427" s="7"/>
      <c r="AL427" s="7"/>
      <c r="AM427" s="7"/>
      <c r="AN427" s="7"/>
      <c r="AO427" s="7"/>
      <c r="AP427" s="7"/>
      <c r="AQ427" s="7"/>
      <c r="AR427" s="7"/>
      <c r="AS427" s="7"/>
      <c r="AT427" s="7"/>
      <c r="AU427" s="7"/>
      <c r="AV427" s="7"/>
      <c r="AW427" s="7"/>
      <c r="AX427" s="7"/>
      <c r="AY427" s="7"/>
      <c r="AZ427" s="7"/>
      <c r="BA427" s="7"/>
      <c r="BB427" s="7"/>
      <c r="BC427" s="7"/>
      <c r="BD427" s="18"/>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105"/>
    </row>
    <row r="428" spans="1:121" s="15" customFormat="1" x14ac:dyDescent="0.2">
      <c r="A428" s="20"/>
      <c r="C428" s="102"/>
      <c r="AI428" s="7"/>
      <c r="AJ428" s="7"/>
      <c r="AK428" s="7"/>
      <c r="AL428" s="7"/>
      <c r="AM428" s="7"/>
      <c r="AN428" s="7"/>
      <c r="AO428" s="7"/>
      <c r="AP428" s="7"/>
      <c r="AQ428" s="7"/>
      <c r="AR428" s="7"/>
      <c r="AS428" s="7"/>
      <c r="AT428" s="7"/>
      <c r="AU428" s="7"/>
      <c r="AV428" s="7"/>
      <c r="AW428" s="7"/>
      <c r="AX428" s="7"/>
      <c r="AY428" s="7"/>
      <c r="AZ428" s="7"/>
      <c r="BA428" s="7"/>
      <c r="BB428" s="7"/>
      <c r="BC428" s="7"/>
      <c r="BD428" s="18"/>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105"/>
    </row>
    <row r="429" spans="1:121" s="15" customFormat="1" x14ac:dyDescent="0.2">
      <c r="A429" s="20"/>
      <c r="C429" s="102"/>
      <c r="AI429" s="7"/>
      <c r="AJ429" s="7"/>
      <c r="AK429" s="7"/>
      <c r="AL429" s="7"/>
      <c r="AM429" s="7"/>
      <c r="AN429" s="7"/>
      <c r="AO429" s="7"/>
      <c r="AP429" s="7"/>
      <c r="AQ429" s="7"/>
      <c r="AR429" s="7"/>
      <c r="AS429" s="7"/>
      <c r="AT429" s="7"/>
      <c r="AU429" s="7"/>
      <c r="AV429" s="7"/>
      <c r="AW429" s="7"/>
      <c r="AX429" s="7"/>
      <c r="AY429" s="7"/>
      <c r="AZ429" s="7"/>
      <c r="BA429" s="7"/>
      <c r="BB429" s="7"/>
      <c r="BC429" s="7"/>
      <c r="BD429" s="18"/>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105"/>
    </row>
    <row r="430" spans="1:121" s="15" customFormat="1" x14ac:dyDescent="0.2">
      <c r="A430" s="20"/>
      <c r="C430" s="102"/>
      <c r="AI430" s="7"/>
      <c r="AJ430" s="7"/>
      <c r="AK430" s="7"/>
      <c r="AL430" s="7"/>
      <c r="AM430" s="7"/>
      <c r="AN430" s="7"/>
      <c r="AO430" s="7"/>
      <c r="AP430" s="7"/>
      <c r="AQ430" s="7"/>
      <c r="AR430" s="7"/>
      <c r="AS430" s="7"/>
      <c r="AT430" s="7"/>
      <c r="AU430" s="7"/>
      <c r="AV430" s="7"/>
      <c r="AW430" s="7"/>
      <c r="AX430" s="7"/>
      <c r="AY430" s="7"/>
      <c r="AZ430" s="7"/>
      <c r="BA430" s="7"/>
      <c r="BB430" s="7"/>
      <c r="BC430" s="7"/>
      <c r="BD430" s="18"/>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105"/>
    </row>
    <row r="431" spans="1:121" s="15" customFormat="1" x14ac:dyDescent="0.2">
      <c r="A431" s="20"/>
      <c r="C431" s="102"/>
      <c r="AI431" s="7"/>
      <c r="AJ431" s="7"/>
      <c r="AK431" s="7"/>
      <c r="AL431" s="7"/>
      <c r="AM431" s="7"/>
      <c r="AN431" s="7"/>
      <c r="AO431" s="7"/>
      <c r="AP431" s="7"/>
      <c r="AQ431" s="7"/>
      <c r="AR431" s="7"/>
      <c r="AS431" s="7"/>
      <c r="AT431" s="7"/>
      <c r="AU431" s="7"/>
      <c r="AV431" s="7"/>
      <c r="AW431" s="7"/>
      <c r="AX431" s="7"/>
      <c r="AY431" s="7"/>
      <c r="AZ431" s="7"/>
      <c r="BA431" s="7"/>
      <c r="BB431" s="7"/>
      <c r="BC431" s="7"/>
      <c r="BD431" s="18"/>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105"/>
    </row>
    <row r="432" spans="1:121" s="15" customFormat="1" x14ac:dyDescent="0.2">
      <c r="A432" s="20"/>
      <c r="C432" s="102"/>
      <c r="AI432" s="7"/>
      <c r="AJ432" s="7"/>
      <c r="AK432" s="7"/>
      <c r="AL432" s="7"/>
      <c r="AM432" s="7"/>
      <c r="AN432" s="7"/>
      <c r="AO432" s="7"/>
      <c r="AP432" s="7"/>
      <c r="AQ432" s="7"/>
      <c r="AR432" s="7"/>
      <c r="AS432" s="7"/>
      <c r="AT432" s="7"/>
      <c r="AU432" s="7"/>
      <c r="AV432" s="7"/>
      <c r="AW432" s="7"/>
      <c r="AX432" s="7"/>
      <c r="AY432" s="7"/>
      <c r="AZ432" s="7"/>
      <c r="BA432" s="7"/>
      <c r="BB432" s="7"/>
      <c r="BC432" s="7"/>
      <c r="BD432" s="18"/>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105"/>
    </row>
    <row r="433" spans="1:121" s="15" customFormat="1" x14ac:dyDescent="0.2">
      <c r="A433" s="20"/>
      <c r="C433" s="102"/>
      <c r="AI433" s="7"/>
      <c r="AJ433" s="7"/>
      <c r="AK433" s="7"/>
      <c r="AL433" s="7"/>
      <c r="AM433" s="7"/>
      <c r="AN433" s="7"/>
      <c r="AO433" s="7"/>
      <c r="AP433" s="7"/>
      <c r="AQ433" s="7"/>
      <c r="AR433" s="7"/>
      <c r="AS433" s="7"/>
      <c r="AT433" s="7"/>
      <c r="AU433" s="7"/>
      <c r="AV433" s="7"/>
      <c r="AW433" s="7"/>
      <c r="AX433" s="7"/>
      <c r="AY433" s="7"/>
      <c r="AZ433" s="7"/>
      <c r="BA433" s="7"/>
      <c r="BB433" s="7"/>
      <c r="BC433" s="7"/>
      <c r="BD433" s="18"/>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105"/>
    </row>
    <row r="434" spans="1:121" s="15" customFormat="1" x14ac:dyDescent="0.2">
      <c r="A434" s="20"/>
      <c r="C434" s="102"/>
      <c r="AI434" s="7"/>
      <c r="AJ434" s="7"/>
      <c r="AK434" s="7"/>
      <c r="AL434" s="7"/>
      <c r="AM434" s="7"/>
      <c r="AN434" s="7"/>
      <c r="AO434" s="7"/>
      <c r="AP434" s="7"/>
      <c r="AQ434" s="7"/>
      <c r="AR434" s="7"/>
      <c r="AS434" s="7"/>
      <c r="AT434" s="7"/>
      <c r="AU434" s="7"/>
      <c r="AV434" s="7"/>
      <c r="AW434" s="7"/>
      <c r="AX434" s="7"/>
      <c r="AY434" s="7"/>
      <c r="AZ434" s="7"/>
      <c r="BA434" s="7"/>
      <c r="BB434" s="7"/>
      <c r="BC434" s="7"/>
      <c r="BD434" s="18"/>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105"/>
    </row>
    <row r="435" spans="1:121" s="15" customFormat="1" x14ac:dyDescent="0.2">
      <c r="A435" s="20"/>
      <c r="C435" s="102"/>
      <c r="AI435" s="7"/>
      <c r="AJ435" s="7"/>
      <c r="AK435" s="7"/>
      <c r="AL435" s="7"/>
      <c r="AM435" s="7"/>
      <c r="AN435" s="7"/>
      <c r="AO435" s="7"/>
      <c r="AP435" s="7"/>
      <c r="AQ435" s="7"/>
      <c r="AR435" s="7"/>
      <c r="AS435" s="7"/>
      <c r="AT435" s="7"/>
      <c r="AU435" s="7"/>
      <c r="AV435" s="7"/>
      <c r="AW435" s="7"/>
      <c r="AX435" s="7"/>
      <c r="AY435" s="7"/>
      <c r="AZ435" s="7"/>
      <c r="BA435" s="7"/>
      <c r="BB435" s="7"/>
      <c r="BC435" s="7"/>
      <c r="BD435" s="18"/>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105"/>
    </row>
    <row r="436" spans="1:121" s="15" customFormat="1" x14ac:dyDescent="0.2">
      <c r="A436" s="20"/>
      <c r="C436" s="102"/>
      <c r="AI436" s="7"/>
      <c r="AJ436" s="7"/>
      <c r="AK436" s="7"/>
      <c r="AL436" s="7"/>
      <c r="AM436" s="7"/>
      <c r="AN436" s="7"/>
      <c r="AO436" s="7"/>
      <c r="AP436" s="7"/>
      <c r="AQ436" s="7"/>
      <c r="AR436" s="7"/>
      <c r="AS436" s="7"/>
      <c r="AT436" s="7"/>
      <c r="AU436" s="7"/>
      <c r="AV436" s="7"/>
      <c r="AW436" s="7"/>
      <c r="AX436" s="7"/>
      <c r="AY436" s="7"/>
      <c r="AZ436" s="7"/>
      <c r="BA436" s="7"/>
      <c r="BB436" s="7"/>
      <c r="BC436" s="7"/>
      <c r="BD436" s="18"/>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105"/>
    </row>
    <row r="437" spans="1:121" s="15" customFormat="1" x14ac:dyDescent="0.2">
      <c r="A437" s="20"/>
      <c r="C437" s="102"/>
      <c r="AI437" s="7"/>
      <c r="AJ437" s="7"/>
      <c r="AK437" s="7"/>
      <c r="AL437" s="7"/>
      <c r="AM437" s="7"/>
      <c r="AN437" s="7"/>
      <c r="AO437" s="7"/>
      <c r="AP437" s="7"/>
      <c r="AQ437" s="7"/>
      <c r="AR437" s="7"/>
      <c r="AS437" s="7"/>
      <c r="AT437" s="7"/>
      <c r="AU437" s="7"/>
      <c r="AV437" s="7"/>
      <c r="AW437" s="7"/>
      <c r="AX437" s="7"/>
      <c r="AY437" s="7"/>
      <c r="AZ437" s="7"/>
      <c r="BA437" s="7"/>
      <c r="BB437" s="7"/>
      <c r="BC437" s="7"/>
      <c r="BD437" s="18"/>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105"/>
    </row>
    <row r="438" spans="1:121" s="15" customFormat="1" x14ac:dyDescent="0.2">
      <c r="A438" s="20"/>
      <c r="C438" s="102"/>
      <c r="AI438" s="7"/>
      <c r="AJ438" s="7"/>
      <c r="AK438" s="7"/>
      <c r="AL438" s="7"/>
      <c r="AM438" s="7"/>
      <c r="AN438" s="7"/>
      <c r="AO438" s="7"/>
      <c r="AP438" s="7"/>
      <c r="AQ438" s="7"/>
      <c r="AR438" s="7"/>
      <c r="AS438" s="7"/>
      <c r="AT438" s="7"/>
      <c r="AU438" s="7"/>
      <c r="AV438" s="7"/>
      <c r="AW438" s="7"/>
      <c r="AX438" s="7"/>
      <c r="AY438" s="7"/>
      <c r="AZ438" s="7"/>
      <c r="BA438" s="7"/>
      <c r="BB438" s="7"/>
      <c r="BC438" s="7"/>
      <c r="BD438" s="18"/>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105"/>
    </row>
    <row r="439" spans="1:121" s="15" customFormat="1" x14ac:dyDescent="0.2">
      <c r="A439" s="20"/>
      <c r="C439" s="102"/>
      <c r="AI439" s="7"/>
      <c r="AJ439" s="7"/>
      <c r="AK439" s="7"/>
      <c r="AL439" s="7"/>
      <c r="AM439" s="7"/>
      <c r="AN439" s="7"/>
      <c r="AO439" s="7"/>
      <c r="AP439" s="7"/>
      <c r="AQ439" s="7"/>
      <c r="AR439" s="7"/>
      <c r="AS439" s="7"/>
      <c r="AT439" s="7"/>
      <c r="AU439" s="7"/>
      <c r="AV439" s="7"/>
      <c r="AW439" s="7"/>
      <c r="AX439" s="7"/>
      <c r="AY439" s="7"/>
      <c r="AZ439" s="7"/>
      <c r="BA439" s="7"/>
      <c r="BB439" s="7"/>
      <c r="BC439" s="7"/>
      <c r="BD439" s="18"/>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105"/>
    </row>
    <row r="440" spans="1:121" s="15" customFormat="1" x14ac:dyDescent="0.2">
      <c r="A440" s="20"/>
      <c r="C440" s="102"/>
      <c r="AI440" s="7"/>
      <c r="AJ440" s="7"/>
      <c r="AK440" s="7"/>
      <c r="AL440" s="7"/>
      <c r="AM440" s="7"/>
      <c r="AN440" s="7"/>
      <c r="AO440" s="7"/>
      <c r="AP440" s="7"/>
      <c r="AQ440" s="7"/>
      <c r="AR440" s="7"/>
      <c r="AS440" s="7"/>
      <c r="AT440" s="7"/>
      <c r="AU440" s="7"/>
      <c r="AV440" s="7"/>
      <c r="AW440" s="7"/>
      <c r="AX440" s="7"/>
      <c r="AY440" s="7"/>
      <c r="AZ440" s="7"/>
      <c r="BA440" s="7"/>
      <c r="BB440" s="7"/>
      <c r="BC440" s="7"/>
      <c r="BD440" s="18"/>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105"/>
    </row>
    <row r="441" spans="1:121" s="15" customFormat="1" x14ac:dyDescent="0.2">
      <c r="A441" s="20"/>
      <c r="C441" s="102"/>
      <c r="AI441" s="7"/>
      <c r="AJ441" s="7"/>
      <c r="AK441" s="7"/>
      <c r="AL441" s="7"/>
      <c r="AM441" s="7"/>
      <c r="AN441" s="7"/>
      <c r="AO441" s="7"/>
      <c r="AP441" s="7"/>
      <c r="AQ441" s="7"/>
      <c r="AR441" s="7"/>
      <c r="AS441" s="7"/>
      <c r="AT441" s="7"/>
      <c r="AU441" s="7"/>
      <c r="AV441" s="7"/>
      <c r="AW441" s="7"/>
      <c r="AX441" s="7"/>
      <c r="AY441" s="7"/>
      <c r="AZ441" s="7"/>
      <c r="BA441" s="7"/>
      <c r="BB441" s="7"/>
      <c r="BC441" s="7"/>
      <c r="BD441" s="18"/>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105"/>
    </row>
    <row r="442" spans="1:121" s="15" customFormat="1" x14ac:dyDescent="0.2">
      <c r="A442" s="20"/>
      <c r="C442" s="102"/>
      <c r="AI442" s="7"/>
      <c r="AJ442" s="7"/>
      <c r="AK442" s="7"/>
      <c r="AL442" s="7"/>
      <c r="AM442" s="7"/>
      <c r="AN442" s="7"/>
      <c r="AO442" s="7"/>
      <c r="AP442" s="7"/>
      <c r="AQ442" s="7"/>
      <c r="AR442" s="7"/>
      <c r="AS442" s="7"/>
      <c r="AT442" s="7"/>
      <c r="AU442" s="7"/>
      <c r="AV442" s="7"/>
      <c r="AW442" s="7"/>
      <c r="AX442" s="7"/>
      <c r="AY442" s="7"/>
      <c r="AZ442" s="7"/>
      <c r="BA442" s="7"/>
      <c r="BB442" s="7"/>
      <c r="BC442" s="7"/>
      <c r="BD442" s="18"/>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105"/>
    </row>
    <row r="443" spans="1:121" s="15" customFormat="1" x14ac:dyDescent="0.2">
      <c r="A443" s="20"/>
      <c r="C443" s="102"/>
      <c r="AI443" s="7"/>
      <c r="AJ443" s="7"/>
      <c r="AK443" s="7"/>
      <c r="AL443" s="7"/>
      <c r="AM443" s="7"/>
      <c r="AN443" s="7"/>
      <c r="AO443" s="7"/>
      <c r="AP443" s="7"/>
      <c r="AQ443" s="7"/>
      <c r="AR443" s="7"/>
      <c r="AS443" s="7"/>
      <c r="AT443" s="7"/>
      <c r="AU443" s="7"/>
      <c r="AV443" s="7"/>
      <c r="AW443" s="7"/>
      <c r="AX443" s="7"/>
      <c r="AY443" s="7"/>
      <c r="AZ443" s="7"/>
      <c r="BA443" s="7"/>
      <c r="BB443" s="7"/>
      <c r="BC443" s="7"/>
      <c r="BD443" s="18"/>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105"/>
    </row>
    <row r="444" spans="1:121" s="15" customFormat="1" x14ac:dyDescent="0.2">
      <c r="A444" s="20"/>
      <c r="C444" s="102"/>
      <c r="AI444" s="7"/>
      <c r="AJ444" s="7"/>
      <c r="AK444" s="7"/>
      <c r="AL444" s="7"/>
      <c r="AM444" s="7"/>
      <c r="AN444" s="7"/>
      <c r="AO444" s="7"/>
      <c r="AP444" s="7"/>
      <c r="AQ444" s="7"/>
      <c r="AR444" s="7"/>
      <c r="AS444" s="7"/>
      <c r="AT444" s="7"/>
      <c r="AU444" s="7"/>
      <c r="AV444" s="7"/>
      <c r="AW444" s="7"/>
      <c r="AX444" s="7"/>
      <c r="AY444" s="7"/>
      <c r="AZ444" s="7"/>
      <c r="BA444" s="7"/>
      <c r="BB444" s="7"/>
      <c r="BC444" s="7"/>
      <c r="BD444" s="18"/>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105"/>
    </row>
    <row r="445" spans="1:121" s="15" customFormat="1" x14ac:dyDescent="0.2">
      <c r="A445" s="20"/>
      <c r="C445" s="102"/>
      <c r="AI445" s="7"/>
      <c r="AJ445" s="7"/>
      <c r="AK445" s="7"/>
      <c r="AL445" s="7"/>
      <c r="AM445" s="7"/>
      <c r="AN445" s="7"/>
      <c r="AO445" s="7"/>
      <c r="AP445" s="7"/>
      <c r="AQ445" s="7"/>
      <c r="AR445" s="7"/>
      <c r="AS445" s="7"/>
      <c r="AT445" s="7"/>
      <c r="AU445" s="7"/>
      <c r="AV445" s="7"/>
      <c r="AW445" s="7"/>
      <c r="AX445" s="7"/>
      <c r="AY445" s="7"/>
      <c r="AZ445" s="7"/>
      <c r="BA445" s="7"/>
      <c r="BB445" s="7"/>
      <c r="BC445" s="7"/>
      <c r="BD445" s="18"/>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105"/>
    </row>
    <row r="446" spans="1:121" s="15" customFormat="1" x14ac:dyDescent="0.2">
      <c r="A446" s="20"/>
      <c r="C446" s="102"/>
      <c r="AI446" s="7"/>
      <c r="AJ446" s="7"/>
      <c r="AK446" s="7"/>
      <c r="AL446" s="7"/>
      <c r="AM446" s="7"/>
      <c r="AN446" s="7"/>
      <c r="AO446" s="7"/>
      <c r="AP446" s="7"/>
      <c r="AQ446" s="7"/>
      <c r="AR446" s="7"/>
      <c r="AS446" s="7"/>
      <c r="AT446" s="7"/>
      <c r="AU446" s="7"/>
      <c r="AV446" s="7"/>
      <c r="AW446" s="7"/>
      <c r="AX446" s="7"/>
      <c r="AY446" s="7"/>
      <c r="AZ446" s="7"/>
      <c r="BA446" s="7"/>
      <c r="BB446" s="7"/>
      <c r="BC446" s="7"/>
      <c r="BD446" s="18"/>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105"/>
    </row>
    <row r="447" spans="1:121" s="15" customFormat="1" x14ac:dyDescent="0.2">
      <c r="A447" s="20"/>
      <c r="C447" s="102"/>
      <c r="AI447" s="7"/>
      <c r="AJ447" s="7"/>
      <c r="AK447" s="7"/>
      <c r="AL447" s="7"/>
      <c r="AM447" s="7"/>
      <c r="AN447" s="7"/>
      <c r="AO447" s="7"/>
      <c r="AP447" s="7"/>
      <c r="AQ447" s="7"/>
      <c r="AR447" s="7"/>
      <c r="AS447" s="7"/>
      <c r="AT447" s="7"/>
      <c r="AU447" s="7"/>
      <c r="AV447" s="7"/>
      <c r="AW447" s="7"/>
      <c r="AX447" s="7"/>
      <c r="AY447" s="7"/>
      <c r="AZ447" s="7"/>
      <c r="BA447" s="7"/>
      <c r="BB447" s="7"/>
      <c r="BC447" s="7"/>
      <c r="BD447" s="18"/>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105"/>
    </row>
    <row r="448" spans="1:121" s="15" customFormat="1" x14ac:dyDescent="0.2">
      <c r="A448" s="20"/>
      <c r="C448" s="102"/>
      <c r="AI448" s="7"/>
      <c r="AJ448" s="7"/>
      <c r="AK448" s="7"/>
      <c r="AL448" s="7"/>
      <c r="AM448" s="7"/>
      <c r="AN448" s="7"/>
      <c r="AO448" s="7"/>
      <c r="AP448" s="7"/>
      <c r="AQ448" s="7"/>
      <c r="AR448" s="7"/>
      <c r="AS448" s="7"/>
      <c r="AT448" s="7"/>
      <c r="AU448" s="7"/>
      <c r="AV448" s="7"/>
      <c r="AW448" s="7"/>
      <c r="AX448" s="7"/>
      <c r="AY448" s="7"/>
      <c r="AZ448" s="7"/>
      <c r="BA448" s="7"/>
      <c r="BB448" s="7"/>
      <c r="BC448" s="7"/>
      <c r="BD448" s="18"/>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105"/>
    </row>
    <row r="449" spans="1:121" s="15" customFormat="1" x14ac:dyDescent="0.2">
      <c r="A449" s="20"/>
      <c r="C449" s="102"/>
      <c r="AI449" s="7"/>
      <c r="AJ449" s="7"/>
      <c r="AK449" s="7"/>
      <c r="AL449" s="7"/>
      <c r="AM449" s="7"/>
      <c r="AN449" s="7"/>
      <c r="AO449" s="7"/>
      <c r="AP449" s="7"/>
      <c r="AQ449" s="7"/>
      <c r="AR449" s="7"/>
      <c r="AS449" s="7"/>
      <c r="AT449" s="7"/>
      <c r="AU449" s="7"/>
      <c r="AV449" s="7"/>
      <c r="AW449" s="7"/>
      <c r="AX449" s="7"/>
      <c r="AY449" s="7"/>
      <c r="AZ449" s="7"/>
      <c r="BA449" s="7"/>
      <c r="BB449" s="7"/>
      <c r="BC449" s="7"/>
      <c r="BD449" s="18"/>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105"/>
    </row>
    <row r="450" spans="1:121" s="15" customFormat="1" x14ac:dyDescent="0.2">
      <c r="A450" s="20"/>
      <c r="C450" s="102"/>
      <c r="AI450" s="7"/>
      <c r="AJ450" s="7"/>
      <c r="AK450" s="7"/>
      <c r="AL450" s="7"/>
      <c r="AM450" s="7"/>
      <c r="AN450" s="7"/>
      <c r="AO450" s="7"/>
      <c r="AP450" s="7"/>
      <c r="AQ450" s="7"/>
      <c r="AR450" s="7"/>
      <c r="AS450" s="7"/>
      <c r="AT450" s="7"/>
      <c r="AU450" s="7"/>
      <c r="AV450" s="7"/>
      <c r="AW450" s="7"/>
      <c r="AX450" s="7"/>
      <c r="AY450" s="7"/>
      <c r="AZ450" s="7"/>
      <c r="BA450" s="7"/>
      <c r="BB450" s="7"/>
      <c r="BC450" s="7"/>
      <c r="BD450" s="18"/>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105"/>
    </row>
    <row r="451" spans="1:121" s="15" customFormat="1" x14ac:dyDescent="0.2">
      <c r="A451" s="20"/>
      <c r="C451" s="102"/>
      <c r="AI451" s="7"/>
      <c r="AJ451" s="7"/>
      <c r="AK451" s="7"/>
      <c r="AL451" s="7"/>
      <c r="AM451" s="7"/>
      <c r="AN451" s="7"/>
      <c r="AO451" s="7"/>
      <c r="AP451" s="7"/>
      <c r="AQ451" s="7"/>
      <c r="AR451" s="7"/>
      <c r="AS451" s="7"/>
      <c r="AT451" s="7"/>
      <c r="AU451" s="7"/>
      <c r="AV451" s="7"/>
      <c r="AW451" s="7"/>
      <c r="AX451" s="7"/>
      <c r="AY451" s="7"/>
      <c r="AZ451" s="7"/>
      <c r="BA451" s="7"/>
      <c r="BB451" s="7"/>
      <c r="BC451" s="7"/>
      <c r="BD451" s="18"/>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105"/>
    </row>
    <row r="452" spans="1:121" s="15" customFormat="1" x14ac:dyDescent="0.2">
      <c r="A452" s="20"/>
      <c r="C452" s="102"/>
      <c r="AI452" s="7"/>
      <c r="AJ452" s="7"/>
      <c r="AK452" s="7"/>
      <c r="AL452" s="7"/>
      <c r="AM452" s="7"/>
      <c r="AN452" s="7"/>
      <c r="AO452" s="7"/>
      <c r="AP452" s="7"/>
      <c r="AQ452" s="7"/>
      <c r="AR452" s="7"/>
      <c r="AS452" s="7"/>
      <c r="AT452" s="7"/>
      <c r="AU452" s="7"/>
      <c r="AV452" s="7"/>
      <c r="AW452" s="7"/>
      <c r="AX452" s="7"/>
      <c r="AY452" s="7"/>
      <c r="AZ452" s="7"/>
      <c r="BA452" s="7"/>
      <c r="BB452" s="7"/>
      <c r="BC452" s="7"/>
      <c r="BD452" s="18"/>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105"/>
    </row>
    <row r="453" spans="1:121" s="15" customFormat="1" x14ac:dyDescent="0.2">
      <c r="A453" s="20"/>
      <c r="C453" s="102"/>
      <c r="AI453" s="7"/>
      <c r="AJ453" s="7"/>
      <c r="AK453" s="7"/>
      <c r="AL453" s="7"/>
      <c r="AM453" s="7"/>
      <c r="AN453" s="7"/>
      <c r="AO453" s="7"/>
      <c r="AP453" s="7"/>
      <c r="AQ453" s="7"/>
      <c r="AR453" s="7"/>
      <c r="AS453" s="7"/>
      <c r="AT453" s="7"/>
      <c r="AU453" s="7"/>
      <c r="AV453" s="7"/>
      <c r="AW453" s="7"/>
      <c r="AX453" s="7"/>
      <c r="AY453" s="7"/>
      <c r="AZ453" s="7"/>
      <c r="BA453" s="7"/>
      <c r="BB453" s="7"/>
      <c r="BC453" s="7"/>
      <c r="BD453" s="18"/>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105"/>
    </row>
    <row r="454" spans="1:121" s="15" customFormat="1" x14ac:dyDescent="0.2">
      <c r="A454" s="20"/>
      <c r="C454" s="102"/>
      <c r="AI454" s="7"/>
      <c r="AJ454" s="7"/>
      <c r="AK454" s="7"/>
      <c r="AL454" s="7"/>
      <c r="AM454" s="7"/>
      <c r="AN454" s="7"/>
      <c r="AO454" s="7"/>
      <c r="AP454" s="7"/>
      <c r="AQ454" s="7"/>
      <c r="AR454" s="7"/>
      <c r="AS454" s="7"/>
      <c r="AT454" s="7"/>
      <c r="AU454" s="7"/>
      <c r="AV454" s="7"/>
      <c r="AW454" s="7"/>
      <c r="AX454" s="7"/>
      <c r="AY454" s="7"/>
      <c r="AZ454" s="7"/>
      <c r="BA454" s="7"/>
      <c r="BB454" s="7"/>
      <c r="BC454" s="7"/>
      <c r="BD454" s="18"/>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105"/>
    </row>
    <row r="455" spans="1:121" s="15" customFormat="1" x14ac:dyDescent="0.2">
      <c r="A455" s="20"/>
      <c r="C455" s="102"/>
      <c r="AI455" s="7"/>
      <c r="AJ455" s="7"/>
      <c r="AK455" s="7"/>
      <c r="AL455" s="7"/>
      <c r="AM455" s="7"/>
      <c r="AN455" s="7"/>
      <c r="AO455" s="7"/>
      <c r="AP455" s="7"/>
      <c r="AQ455" s="7"/>
      <c r="AR455" s="7"/>
      <c r="AS455" s="7"/>
      <c r="AT455" s="7"/>
      <c r="AU455" s="7"/>
      <c r="AV455" s="7"/>
      <c r="AW455" s="7"/>
      <c r="AX455" s="7"/>
      <c r="AY455" s="7"/>
      <c r="AZ455" s="7"/>
      <c r="BA455" s="7"/>
      <c r="BB455" s="7"/>
      <c r="BC455" s="7"/>
      <c r="BD455" s="18"/>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105"/>
    </row>
    <row r="456" spans="1:121" s="15" customFormat="1" x14ac:dyDescent="0.2">
      <c r="A456" s="20"/>
      <c r="C456" s="102"/>
      <c r="AI456" s="7"/>
      <c r="AJ456" s="7"/>
      <c r="AK456" s="7"/>
      <c r="AL456" s="7"/>
      <c r="AM456" s="7"/>
      <c r="AN456" s="7"/>
      <c r="AO456" s="7"/>
      <c r="AP456" s="7"/>
      <c r="AQ456" s="7"/>
      <c r="AR456" s="7"/>
      <c r="AS456" s="7"/>
      <c r="AT456" s="7"/>
      <c r="AU456" s="7"/>
      <c r="AV456" s="7"/>
      <c r="AW456" s="7"/>
      <c r="AX456" s="7"/>
      <c r="AY456" s="7"/>
      <c r="AZ456" s="7"/>
      <c r="BA456" s="7"/>
      <c r="BB456" s="7"/>
      <c r="BC456" s="7"/>
      <c r="BD456" s="18"/>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105"/>
    </row>
    <row r="457" spans="1:121" s="15" customFormat="1" x14ac:dyDescent="0.2">
      <c r="A457" s="20"/>
      <c r="C457" s="102"/>
      <c r="AI457" s="7"/>
      <c r="AJ457" s="7"/>
      <c r="AK457" s="7"/>
      <c r="AL457" s="7"/>
      <c r="AM457" s="7"/>
      <c r="AN457" s="7"/>
      <c r="AO457" s="7"/>
      <c r="AP457" s="7"/>
      <c r="AQ457" s="7"/>
      <c r="AR457" s="7"/>
      <c r="AS457" s="7"/>
      <c r="AT457" s="7"/>
      <c r="AU457" s="7"/>
      <c r="AV457" s="7"/>
      <c r="AW457" s="7"/>
      <c r="AX457" s="7"/>
      <c r="AY457" s="7"/>
      <c r="AZ457" s="7"/>
      <c r="BA457" s="7"/>
      <c r="BB457" s="7"/>
      <c r="BC457" s="7"/>
      <c r="BD457" s="18"/>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105"/>
    </row>
    <row r="458" spans="1:121" s="15" customFormat="1" x14ac:dyDescent="0.2">
      <c r="A458" s="20"/>
      <c r="C458" s="102"/>
      <c r="AI458" s="7"/>
      <c r="AJ458" s="7"/>
      <c r="AK458" s="7"/>
      <c r="AL458" s="7"/>
      <c r="AM458" s="7"/>
      <c r="AN458" s="7"/>
      <c r="AO458" s="7"/>
      <c r="AP458" s="7"/>
      <c r="AQ458" s="7"/>
      <c r="AR458" s="7"/>
      <c r="AS458" s="7"/>
      <c r="AT458" s="7"/>
      <c r="AU458" s="7"/>
      <c r="AV458" s="7"/>
      <c r="AW458" s="7"/>
      <c r="AX458" s="7"/>
      <c r="AY458" s="7"/>
      <c r="AZ458" s="7"/>
      <c r="BA458" s="7"/>
      <c r="BB458" s="7"/>
      <c r="BC458" s="7"/>
      <c r="BD458" s="18"/>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105"/>
    </row>
    <row r="459" spans="1:121" s="15" customFormat="1" x14ac:dyDescent="0.2">
      <c r="A459" s="20"/>
      <c r="C459" s="102"/>
      <c r="AI459" s="7"/>
      <c r="AJ459" s="7"/>
      <c r="AK459" s="7"/>
      <c r="AL459" s="7"/>
      <c r="AM459" s="7"/>
      <c r="AN459" s="7"/>
      <c r="AO459" s="7"/>
      <c r="AP459" s="7"/>
      <c r="AQ459" s="7"/>
      <c r="AR459" s="7"/>
      <c r="AS459" s="7"/>
      <c r="AT459" s="7"/>
      <c r="AU459" s="7"/>
      <c r="AV459" s="7"/>
      <c r="AW459" s="7"/>
      <c r="AX459" s="7"/>
      <c r="AY459" s="7"/>
      <c r="AZ459" s="7"/>
      <c r="BA459" s="7"/>
      <c r="BB459" s="7"/>
      <c r="BC459" s="7"/>
      <c r="BD459" s="18"/>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105"/>
    </row>
    <row r="460" spans="1:121" s="15" customFormat="1" x14ac:dyDescent="0.2">
      <c r="A460" s="20"/>
      <c r="C460" s="102"/>
      <c r="AI460" s="7"/>
      <c r="AJ460" s="7"/>
      <c r="AK460" s="7"/>
      <c r="AL460" s="7"/>
      <c r="AM460" s="7"/>
      <c r="AN460" s="7"/>
      <c r="AO460" s="7"/>
      <c r="AP460" s="7"/>
      <c r="AQ460" s="7"/>
      <c r="AR460" s="7"/>
      <c r="AS460" s="7"/>
      <c r="AT460" s="7"/>
      <c r="AU460" s="7"/>
      <c r="AV460" s="7"/>
      <c r="AW460" s="7"/>
      <c r="AX460" s="7"/>
      <c r="AY460" s="7"/>
      <c r="AZ460" s="7"/>
      <c r="BA460" s="7"/>
      <c r="BB460" s="7"/>
      <c r="BC460" s="7"/>
      <c r="BD460" s="18"/>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105"/>
    </row>
    <row r="461" spans="1:121" s="15" customFormat="1" x14ac:dyDescent="0.2">
      <c r="A461" s="20"/>
      <c r="C461" s="102"/>
      <c r="AI461" s="7"/>
      <c r="AJ461" s="7"/>
      <c r="AK461" s="7"/>
      <c r="AL461" s="7"/>
      <c r="AM461" s="7"/>
      <c r="AN461" s="7"/>
      <c r="AO461" s="7"/>
      <c r="AP461" s="7"/>
      <c r="AQ461" s="7"/>
      <c r="AR461" s="7"/>
      <c r="AS461" s="7"/>
      <c r="AT461" s="7"/>
      <c r="AU461" s="7"/>
      <c r="AV461" s="7"/>
      <c r="AW461" s="7"/>
      <c r="AX461" s="7"/>
      <c r="AY461" s="7"/>
      <c r="AZ461" s="7"/>
      <c r="BA461" s="7"/>
      <c r="BB461" s="7"/>
      <c r="BC461" s="7"/>
      <c r="BD461" s="18"/>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105"/>
    </row>
    <row r="462" spans="1:121" s="15" customFormat="1" x14ac:dyDescent="0.2">
      <c r="A462" s="20"/>
      <c r="C462" s="102"/>
      <c r="AI462" s="7"/>
      <c r="AJ462" s="7"/>
      <c r="AK462" s="7"/>
      <c r="AL462" s="7"/>
      <c r="AM462" s="7"/>
      <c r="AN462" s="7"/>
      <c r="AO462" s="7"/>
      <c r="AP462" s="7"/>
      <c r="AQ462" s="7"/>
      <c r="AR462" s="7"/>
      <c r="AS462" s="7"/>
      <c r="AT462" s="7"/>
      <c r="AU462" s="7"/>
      <c r="AV462" s="7"/>
      <c r="AW462" s="7"/>
      <c r="AX462" s="7"/>
      <c r="AY462" s="7"/>
      <c r="AZ462" s="7"/>
      <c r="BA462" s="7"/>
      <c r="BB462" s="7"/>
      <c r="BC462" s="7"/>
      <c r="BD462" s="18"/>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105"/>
    </row>
    <row r="463" spans="1:121" s="15" customFormat="1" x14ac:dyDescent="0.2">
      <c r="A463" s="20"/>
      <c r="C463" s="102"/>
      <c r="AI463" s="7"/>
      <c r="AJ463" s="7"/>
      <c r="AK463" s="7"/>
      <c r="AL463" s="7"/>
      <c r="AM463" s="7"/>
      <c r="AN463" s="7"/>
      <c r="AO463" s="7"/>
      <c r="AP463" s="7"/>
      <c r="AQ463" s="7"/>
      <c r="AR463" s="7"/>
      <c r="AS463" s="7"/>
      <c r="AT463" s="7"/>
      <c r="AU463" s="7"/>
      <c r="AV463" s="7"/>
      <c r="AW463" s="7"/>
      <c r="AX463" s="7"/>
      <c r="AY463" s="7"/>
      <c r="AZ463" s="7"/>
      <c r="BA463" s="7"/>
      <c r="BB463" s="7"/>
      <c r="BC463" s="7"/>
      <c r="BD463" s="18"/>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105"/>
    </row>
    <row r="464" spans="1:121" s="15" customFormat="1" x14ac:dyDescent="0.2">
      <c r="A464" s="20"/>
      <c r="C464" s="102"/>
      <c r="AI464" s="7"/>
      <c r="AJ464" s="7"/>
      <c r="AK464" s="7"/>
      <c r="AL464" s="7"/>
      <c r="AM464" s="7"/>
      <c r="AN464" s="7"/>
      <c r="AO464" s="7"/>
      <c r="AP464" s="7"/>
      <c r="AQ464" s="7"/>
      <c r="AR464" s="7"/>
      <c r="AS464" s="7"/>
      <c r="AT464" s="7"/>
      <c r="AU464" s="7"/>
      <c r="AV464" s="7"/>
      <c r="AW464" s="7"/>
      <c r="AX464" s="7"/>
      <c r="AY464" s="7"/>
      <c r="AZ464" s="7"/>
      <c r="BA464" s="7"/>
      <c r="BB464" s="7"/>
      <c r="BC464" s="7"/>
      <c r="BD464" s="18"/>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105"/>
    </row>
    <row r="465" spans="1:121" s="15" customFormat="1" x14ac:dyDescent="0.2">
      <c r="A465" s="20"/>
      <c r="C465" s="102"/>
      <c r="AI465" s="7"/>
      <c r="AJ465" s="7"/>
      <c r="AK465" s="7"/>
      <c r="AL465" s="7"/>
      <c r="AM465" s="7"/>
      <c r="AN465" s="7"/>
      <c r="AO465" s="7"/>
      <c r="AP465" s="7"/>
      <c r="AQ465" s="7"/>
      <c r="AR465" s="7"/>
      <c r="AS465" s="7"/>
      <c r="AT465" s="7"/>
      <c r="AU465" s="7"/>
      <c r="AV465" s="7"/>
      <c r="AW465" s="7"/>
      <c r="AX465" s="7"/>
      <c r="AY465" s="7"/>
      <c r="AZ465" s="7"/>
      <c r="BA465" s="7"/>
      <c r="BB465" s="7"/>
      <c r="BC465" s="7"/>
      <c r="BD465" s="18"/>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105"/>
    </row>
    <row r="466" spans="1:121" s="15" customFormat="1" x14ac:dyDescent="0.2">
      <c r="A466" s="20"/>
      <c r="C466" s="102"/>
      <c r="AI466" s="7"/>
      <c r="AJ466" s="7"/>
      <c r="AK466" s="7"/>
      <c r="AL466" s="7"/>
      <c r="AM466" s="7"/>
      <c r="AN466" s="7"/>
      <c r="AO466" s="7"/>
      <c r="AP466" s="7"/>
      <c r="AQ466" s="7"/>
      <c r="AR466" s="7"/>
      <c r="AS466" s="7"/>
      <c r="AT466" s="7"/>
      <c r="AU466" s="7"/>
      <c r="AV466" s="7"/>
      <c r="AW466" s="7"/>
      <c r="AX466" s="7"/>
      <c r="AY466" s="7"/>
      <c r="AZ466" s="7"/>
      <c r="BA466" s="7"/>
      <c r="BB466" s="7"/>
      <c r="BC466" s="7"/>
      <c r="BD466" s="18"/>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105"/>
    </row>
    <row r="467" spans="1:121" s="15" customFormat="1" x14ac:dyDescent="0.2">
      <c r="A467" s="20"/>
      <c r="C467" s="102"/>
      <c r="AI467" s="7"/>
      <c r="AJ467" s="7"/>
      <c r="AK467" s="7"/>
      <c r="AL467" s="7"/>
      <c r="AM467" s="7"/>
      <c r="AN467" s="7"/>
      <c r="AO467" s="7"/>
      <c r="AP467" s="7"/>
      <c r="AQ467" s="7"/>
      <c r="AR467" s="7"/>
      <c r="AS467" s="7"/>
      <c r="AT467" s="7"/>
      <c r="AU467" s="7"/>
      <c r="AV467" s="7"/>
      <c r="AW467" s="7"/>
      <c r="AX467" s="7"/>
      <c r="AY467" s="7"/>
      <c r="AZ467" s="7"/>
      <c r="BA467" s="7"/>
      <c r="BB467" s="7"/>
      <c r="BC467" s="7"/>
      <c r="BD467" s="18"/>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105"/>
    </row>
    <row r="468" spans="1:121" s="15" customFormat="1" x14ac:dyDescent="0.2">
      <c r="A468" s="20"/>
      <c r="C468" s="102"/>
      <c r="AI468" s="7"/>
      <c r="AJ468" s="7"/>
      <c r="AK468" s="7"/>
      <c r="AL468" s="7"/>
      <c r="AM468" s="7"/>
      <c r="AN468" s="7"/>
      <c r="AO468" s="7"/>
      <c r="AP468" s="7"/>
      <c r="AQ468" s="7"/>
      <c r="AR468" s="7"/>
      <c r="AS468" s="7"/>
      <c r="AT468" s="7"/>
      <c r="AU468" s="7"/>
      <c r="AV468" s="7"/>
      <c r="AW468" s="7"/>
      <c r="AX468" s="7"/>
      <c r="AY468" s="7"/>
      <c r="AZ468" s="7"/>
      <c r="BA468" s="7"/>
      <c r="BB468" s="7"/>
      <c r="BC468" s="7"/>
      <c r="BD468" s="18"/>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105"/>
    </row>
    <row r="469" spans="1:121" s="15" customFormat="1" x14ac:dyDescent="0.2">
      <c r="A469" s="20"/>
      <c r="C469" s="102"/>
      <c r="AI469" s="7"/>
      <c r="AJ469" s="7"/>
      <c r="AK469" s="7"/>
      <c r="AL469" s="7"/>
      <c r="AM469" s="7"/>
      <c r="AN469" s="7"/>
      <c r="AO469" s="7"/>
      <c r="AP469" s="7"/>
      <c r="AQ469" s="7"/>
      <c r="AR469" s="7"/>
      <c r="AS469" s="7"/>
      <c r="AT469" s="7"/>
      <c r="AU469" s="7"/>
      <c r="AV469" s="7"/>
      <c r="AW469" s="7"/>
      <c r="AX469" s="7"/>
      <c r="AY469" s="7"/>
      <c r="AZ469" s="7"/>
      <c r="BA469" s="7"/>
      <c r="BB469" s="7"/>
      <c r="BC469" s="7"/>
      <c r="BD469" s="18"/>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105"/>
    </row>
    <row r="470" spans="1:121" s="15" customFormat="1" x14ac:dyDescent="0.2">
      <c r="A470" s="20"/>
      <c r="C470" s="102"/>
      <c r="AI470" s="7"/>
      <c r="AJ470" s="7"/>
      <c r="AK470" s="7"/>
      <c r="AL470" s="7"/>
      <c r="AM470" s="7"/>
      <c r="AN470" s="7"/>
      <c r="AO470" s="7"/>
      <c r="AP470" s="7"/>
      <c r="AQ470" s="7"/>
      <c r="AR470" s="7"/>
      <c r="AS470" s="7"/>
      <c r="AT470" s="7"/>
      <c r="AU470" s="7"/>
      <c r="AV470" s="7"/>
      <c r="AW470" s="7"/>
      <c r="AX470" s="7"/>
      <c r="AY470" s="7"/>
      <c r="AZ470" s="7"/>
      <c r="BA470" s="7"/>
      <c r="BB470" s="7"/>
      <c r="BC470" s="7"/>
      <c r="BD470" s="18"/>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105"/>
    </row>
    <row r="471" spans="1:121" s="15" customFormat="1" x14ac:dyDescent="0.2">
      <c r="A471" s="20"/>
      <c r="C471" s="102"/>
      <c r="AI471" s="7"/>
      <c r="AJ471" s="7"/>
      <c r="AK471" s="7"/>
      <c r="AL471" s="7"/>
      <c r="AM471" s="7"/>
      <c r="AN471" s="7"/>
      <c r="AO471" s="7"/>
      <c r="AP471" s="7"/>
      <c r="AQ471" s="7"/>
      <c r="AR471" s="7"/>
      <c r="AS471" s="7"/>
      <c r="AT471" s="7"/>
      <c r="AU471" s="7"/>
      <c r="AV471" s="7"/>
      <c r="AW471" s="7"/>
      <c r="AX471" s="7"/>
      <c r="AY471" s="7"/>
      <c r="AZ471" s="7"/>
      <c r="BA471" s="7"/>
      <c r="BB471" s="7"/>
      <c r="BC471" s="7"/>
      <c r="BD471" s="18"/>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105"/>
    </row>
    <row r="472" spans="1:121" s="15" customFormat="1" x14ac:dyDescent="0.2">
      <c r="A472" s="20"/>
      <c r="C472" s="102"/>
      <c r="AI472" s="7"/>
      <c r="AJ472" s="7"/>
      <c r="AK472" s="7"/>
      <c r="AL472" s="7"/>
      <c r="AM472" s="7"/>
      <c r="AN472" s="7"/>
      <c r="AO472" s="7"/>
      <c r="AP472" s="7"/>
      <c r="AQ472" s="7"/>
      <c r="AR472" s="7"/>
      <c r="AS472" s="7"/>
      <c r="AT472" s="7"/>
      <c r="AU472" s="7"/>
      <c r="AV472" s="7"/>
      <c r="AW472" s="7"/>
      <c r="AX472" s="7"/>
      <c r="AY472" s="7"/>
      <c r="AZ472" s="7"/>
      <c r="BA472" s="7"/>
      <c r="BB472" s="7"/>
      <c r="BC472" s="7"/>
      <c r="BD472" s="18"/>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105"/>
    </row>
    <row r="473" spans="1:121" s="15" customFormat="1" x14ac:dyDescent="0.2">
      <c r="A473" s="20"/>
      <c r="C473" s="102"/>
      <c r="AI473" s="7"/>
      <c r="AJ473" s="7"/>
      <c r="AK473" s="7"/>
      <c r="AL473" s="7"/>
      <c r="AM473" s="7"/>
      <c r="AN473" s="7"/>
      <c r="AO473" s="7"/>
      <c r="AP473" s="7"/>
      <c r="AQ473" s="7"/>
      <c r="AR473" s="7"/>
      <c r="AS473" s="7"/>
      <c r="AT473" s="7"/>
      <c r="AU473" s="7"/>
      <c r="AV473" s="7"/>
      <c r="AW473" s="7"/>
      <c r="AX473" s="7"/>
      <c r="AY473" s="7"/>
      <c r="AZ473" s="7"/>
      <c r="BA473" s="7"/>
      <c r="BB473" s="7"/>
      <c r="BC473" s="7"/>
      <c r="BD473" s="18"/>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105"/>
    </row>
    <row r="474" spans="1:121" s="15" customFormat="1" x14ac:dyDescent="0.2">
      <c r="A474" s="20"/>
      <c r="C474" s="102"/>
      <c r="AI474" s="7"/>
      <c r="AJ474" s="7"/>
      <c r="AK474" s="7"/>
      <c r="AL474" s="7"/>
      <c r="AM474" s="7"/>
      <c r="AN474" s="7"/>
      <c r="AO474" s="7"/>
      <c r="AP474" s="7"/>
      <c r="AQ474" s="7"/>
      <c r="AR474" s="7"/>
      <c r="AS474" s="7"/>
      <c r="AT474" s="7"/>
      <c r="AU474" s="7"/>
      <c r="AV474" s="7"/>
      <c r="AW474" s="7"/>
      <c r="AX474" s="7"/>
      <c r="AY474" s="7"/>
      <c r="AZ474" s="7"/>
      <c r="BA474" s="7"/>
      <c r="BB474" s="7"/>
      <c r="BC474" s="7"/>
      <c r="BD474" s="18"/>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105"/>
    </row>
    <row r="475" spans="1:121" s="15" customFormat="1" x14ac:dyDescent="0.2">
      <c r="A475" s="20"/>
      <c r="C475" s="102"/>
      <c r="AI475" s="7"/>
      <c r="AJ475" s="7"/>
      <c r="AK475" s="7"/>
      <c r="AL475" s="7"/>
      <c r="AM475" s="7"/>
      <c r="AN475" s="7"/>
      <c r="AO475" s="7"/>
      <c r="AP475" s="7"/>
      <c r="AQ475" s="7"/>
      <c r="AR475" s="7"/>
      <c r="AS475" s="7"/>
      <c r="AT475" s="7"/>
      <c r="AU475" s="7"/>
      <c r="AV475" s="7"/>
      <c r="AW475" s="7"/>
      <c r="AX475" s="7"/>
      <c r="AY475" s="7"/>
      <c r="AZ475" s="7"/>
      <c r="BA475" s="7"/>
      <c r="BB475" s="7"/>
      <c r="BC475" s="7"/>
      <c r="BD475" s="18"/>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105"/>
    </row>
    <row r="476" spans="1:121" s="15" customFormat="1" x14ac:dyDescent="0.2">
      <c r="A476" s="20"/>
      <c r="C476" s="102"/>
      <c r="AI476" s="7"/>
      <c r="AJ476" s="7"/>
      <c r="AK476" s="7"/>
      <c r="AL476" s="7"/>
      <c r="AM476" s="7"/>
      <c r="AN476" s="7"/>
      <c r="AO476" s="7"/>
      <c r="AP476" s="7"/>
      <c r="AQ476" s="7"/>
      <c r="AR476" s="7"/>
      <c r="AS476" s="7"/>
      <c r="AT476" s="7"/>
      <c r="AU476" s="7"/>
      <c r="AV476" s="7"/>
      <c r="AW476" s="7"/>
      <c r="AX476" s="7"/>
      <c r="AY476" s="7"/>
      <c r="AZ476" s="7"/>
      <c r="BA476" s="7"/>
      <c r="BB476" s="7"/>
      <c r="BC476" s="7"/>
      <c r="BD476" s="18"/>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105"/>
    </row>
    <row r="477" spans="1:121" s="15" customFormat="1" x14ac:dyDescent="0.2">
      <c r="A477" s="20"/>
      <c r="C477" s="102"/>
      <c r="AI477" s="7"/>
      <c r="AJ477" s="7"/>
      <c r="AK477" s="7"/>
      <c r="AL477" s="7"/>
      <c r="AM477" s="7"/>
      <c r="AN477" s="7"/>
      <c r="AO477" s="7"/>
      <c r="AP477" s="7"/>
      <c r="AQ477" s="7"/>
      <c r="AR477" s="7"/>
      <c r="AS477" s="7"/>
      <c r="AT477" s="7"/>
      <c r="AU477" s="7"/>
      <c r="AV477" s="7"/>
      <c r="AW477" s="7"/>
      <c r="AX477" s="7"/>
      <c r="AY477" s="7"/>
      <c r="AZ477" s="7"/>
      <c r="BA477" s="7"/>
      <c r="BB477" s="7"/>
      <c r="BC477" s="7"/>
      <c r="BD477" s="18"/>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105"/>
    </row>
    <row r="478" spans="1:121" s="15" customFormat="1" x14ac:dyDescent="0.2">
      <c r="A478" s="20"/>
      <c r="C478" s="102"/>
      <c r="AI478" s="7"/>
      <c r="AJ478" s="7"/>
      <c r="AK478" s="7"/>
      <c r="AL478" s="7"/>
      <c r="AM478" s="7"/>
      <c r="AN478" s="7"/>
      <c r="AO478" s="7"/>
      <c r="AP478" s="7"/>
      <c r="AQ478" s="7"/>
      <c r="AR478" s="7"/>
      <c r="AS478" s="7"/>
      <c r="AT478" s="7"/>
      <c r="AU478" s="7"/>
      <c r="AV478" s="7"/>
      <c r="AW478" s="7"/>
      <c r="AX478" s="7"/>
      <c r="AY478" s="7"/>
      <c r="AZ478" s="7"/>
      <c r="BA478" s="7"/>
      <c r="BB478" s="7"/>
      <c r="BC478" s="7"/>
      <c r="BD478" s="18"/>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105"/>
    </row>
    <row r="479" spans="1:121" s="15" customFormat="1" x14ac:dyDescent="0.2">
      <c r="A479" s="20"/>
      <c r="C479" s="102"/>
      <c r="AI479" s="7"/>
      <c r="AJ479" s="7"/>
      <c r="AK479" s="7"/>
      <c r="AL479" s="7"/>
      <c r="AM479" s="7"/>
      <c r="AN479" s="7"/>
      <c r="AO479" s="7"/>
      <c r="AP479" s="7"/>
      <c r="AQ479" s="7"/>
      <c r="AR479" s="7"/>
      <c r="AS479" s="7"/>
      <c r="AT479" s="7"/>
      <c r="AU479" s="7"/>
      <c r="AV479" s="7"/>
      <c r="AW479" s="7"/>
      <c r="AX479" s="7"/>
      <c r="AY479" s="7"/>
      <c r="AZ479" s="7"/>
      <c r="BA479" s="7"/>
      <c r="BB479" s="7"/>
      <c r="BC479" s="7"/>
      <c r="BD479" s="18"/>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105"/>
    </row>
    <row r="480" spans="1:121" s="15" customFormat="1" x14ac:dyDescent="0.2">
      <c r="A480" s="20"/>
      <c r="C480" s="102"/>
      <c r="AI480" s="7"/>
      <c r="AJ480" s="7"/>
      <c r="AK480" s="7"/>
      <c r="AL480" s="7"/>
      <c r="AM480" s="7"/>
      <c r="AN480" s="7"/>
      <c r="AO480" s="7"/>
      <c r="AP480" s="7"/>
      <c r="AQ480" s="7"/>
      <c r="AR480" s="7"/>
      <c r="AS480" s="7"/>
      <c r="AT480" s="7"/>
      <c r="AU480" s="7"/>
      <c r="AV480" s="7"/>
      <c r="AW480" s="7"/>
      <c r="AX480" s="7"/>
      <c r="AY480" s="7"/>
      <c r="AZ480" s="7"/>
      <c r="BA480" s="7"/>
      <c r="BB480" s="7"/>
      <c r="BC480" s="7"/>
      <c r="BD480" s="18"/>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105"/>
    </row>
    <row r="481" spans="1:121" s="15" customFormat="1" x14ac:dyDescent="0.2">
      <c r="A481" s="20"/>
      <c r="C481" s="102"/>
      <c r="AI481" s="7"/>
      <c r="AJ481" s="7"/>
      <c r="AK481" s="7"/>
      <c r="AL481" s="7"/>
      <c r="AM481" s="7"/>
      <c r="AN481" s="7"/>
      <c r="AO481" s="7"/>
      <c r="AP481" s="7"/>
      <c r="AQ481" s="7"/>
      <c r="AR481" s="7"/>
      <c r="AS481" s="7"/>
      <c r="AT481" s="7"/>
      <c r="AU481" s="7"/>
      <c r="AV481" s="7"/>
      <c r="AW481" s="7"/>
      <c r="AX481" s="7"/>
      <c r="AY481" s="7"/>
      <c r="AZ481" s="7"/>
      <c r="BA481" s="7"/>
      <c r="BB481" s="7"/>
      <c r="BC481" s="7"/>
      <c r="BD481" s="18"/>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105"/>
    </row>
    <row r="482" spans="1:121" s="15" customFormat="1" x14ac:dyDescent="0.2">
      <c r="A482" s="20"/>
      <c r="C482" s="102"/>
      <c r="AI482" s="7"/>
      <c r="AJ482" s="7"/>
      <c r="AK482" s="7"/>
      <c r="AL482" s="7"/>
      <c r="AM482" s="7"/>
      <c r="AN482" s="7"/>
      <c r="AO482" s="7"/>
      <c r="AP482" s="7"/>
      <c r="AQ482" s="7"/>
      <c r="AR482" s="7"/>
      <c r="AS482" s="7"/>
      <c r="AT482" s="7"/>
      <c r="AU482" s="7"/>
      <c r="AV482" s="7"/>
      <c r="AW482" s="7"/>
      <c r="AX482" s="7"/>
      <c r="AY482" s="7"/>
      <c r="AZ482" s="7"/>
      <c r="BA482" s="7"/>
      <c r="BB482" s="7"/>
      <c r="BC482" s="7"/>
      <c r="BD482" s="18"/>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105"/>
    </row>
    <row r="483" spans="1:121" s="15" customFormat="1" x14ac:dyDescent="0.2">
      <c r="A483" s="20"/>
      <c r="C483" s="102"/>
      <c r="AI483" s="7"/>
      <c r="AJ483" s="7"/>
      <c r="AK483" s="7"/>
      <c r="AL483" s="7"/>
      <c r="AM483" s="7"/>
      <c r="AN483" s="7"/>
      <c r="AO483" s="7"/>
      <c r="AP483" s="7"/>
      <c r="AQ483" s="7"/>
      <c r="AR483" s="7"/>
      <c r="AS483" s="7"/>
      <c r="AT483" s="7"/>
      <c r="AU483" s="7"/>
      <c r="AV483" s="7"/>
      <c r="AW483" s="7"/>
      <c r="AX483" s="7"/>
      <c r="AY483" s="7"/>
      <c r="AZ483" s="7"/>
      <c r="BA483" s="7"/>
      <c r="BB483" s="7"/>
      <c r="BC483" s="7"/>
      <c r="BD483" s="18"/>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105"/>
    </row>
    <row r="484" spans="1:121" s="15" customFormat="1" x14ac:dyDescent="0.2">
      <c r="A484" s="20"/>
      <c r="C484" s="102"/>
      <c r="AI484" s="7"/>
      <c r="AJ484" s="7"/>
      <c r="AK484" s="7"/>
      <c r="AL484" s="7"/>
      <c r="AM484" s="7"/>
      <c r="AN484" s="7"/>
      <c r="AO484" s="7"/>
      <c r="AP484" s="7"/>
      <c r="AQ484" s="7"/>
      <c r="AR484" s="7"/>
      <c r="AS484" s="7"/>
      <c r="AT484" s="7"/>
      <c r="AU484" s="7"/>
      <c r="AV484" s="7"/>
      <c r="AW484" s="7"/>
      <c r="AX484" s="7"/>
      <c r="AY484" s="7"/>
      <c r="AZ484" s="7"/>
      <c r="BA484" s="7"/>
      <c r="BB484" s="7"/>
      <c r="BC484" s="7"/>
      <c r="BD484" s="18"/>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105"/>
    </row>
    <row r="485" spans="1:121" s="15" customFormat="1" x14ac:dyDescent="0.2">
      <c r="A485" s="20"/>
      <c r="C485" s="102"/>
      <c r="AI485" s="7"/>
      <c r="AJ485" s="7"/>
      <c r="AK485" s="7"/>
      <c r="AL485" s="7"/>
      <c r="AM485" s="7"/>
      <c r="AN485" s="7"/>
      <c r="AO485" s="7"/>
      <c r="AP485" s="7"/>
      <c r="AQ485" s="7"/>
      <c r="AR485" s="7"/>
      <c r="AS485" s="7"/>
      <c r="AT485" s="7"/>
      <c r="AU485" s="7"/>
      <c r="AV485" s="7"/>
      <c r="AW485" s="7"/>
      <c r="AX485" s="7"/>
      <c r="AY485" s="7"/>
      <c r="AZ485" s="7"/>
      <c r="BA485" s="7"/>
      <c r="BB485" s="7"/>
      <c r="BC485" s="7"/>
      <c r="BD485" s="18"/>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105"/>
    </row>
    <row r="486" spans="1:121" s="15" customFormat="1" x14ac:dyDescent="0.2">
      <c r="A486" s="20"/>
      <c r="C486" s="102"/>
      <c r="AI486" s="7"/>
      <c r="AJ486" s="7"/>
      <c r="AK486" s="7"/>
      <c r="AL486" s="7"/>
      <c r="AM486" s="7"/>
      <c r="AN486" s="7"/>
      <c r="AO486" s="7"/>
      <c r="AP486" s="7"/>
      <c r="AQ486" s="7"/>
      <c r="AR486" s="7"/>
      <c r="AS486" s="7"/>
      <c r="AT486" s="7"/>
      <c r="AU486" s="7"/>
      <c r="AV486" s="7"/>
      <c r="AW486" s="7"/>
      <c r="AX486" s="7"/>
      <c r="AY486" s="7"/>
      <c r="AZ486" s="7"/>
      <c r="BA486" s="7"/>
      <c r="BB486" s="7"/>
      <c r="BC486" s="7"/>
      <c r="BD486" s="18"/>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105"/>
    </row>
    <row r="487" spans="1:121" s="15" customFormat="1" x14ac:dyDescent="0.2">
      <c r="A487" s="20"/>
      <c r="C487" s="102"/>
      <c r="AI487" s="7"/>
      <c r="AJ487" s="7"/>
      <c r="AK487" s="7"/>
      <c r="AL487" s="7"/>
      <c r="AM487" s="7"/>
      <c r="AN487" s="7"/>
      <c r="AO487" s="7"/>
      <c r="AP487" s="7"/>
      <c r="AQ487" s="7"/>
      <c r="AR487" s="7"/>
      <c r="AS487" s="7"/>
      <c r="AT487" s="7"/>
      <c r="AU487" s="7"/>
      <c r="AV487" s="7"/>
      <c r="AW487" s="7"/>
      <c r="AX487" s="7"/>
      <c r="AY487" s="7"/>
      <c r="AZ487" s="7"/>
      <c r="BA487" s="7"/>
      <c r="BB487" s="7"/>
      <c r="BC487" s="7"/>
      <c r="BD487" s="18"/>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105"/>
    </row>
    <row r="488" spans="1:121" s="15" customFormat="1" x14ac:dyDescent="0.2">
      <c r="A488" s="20"/>
      <c r="C488" s="102"/>
      <c r="AI488" s="7"/>
      <c r="AJ488" s="7"/>
      <c r="AK488" s="7"/>
      <c r="AL488" s="7"/>
      <c r="AM488" s="7"/>
      <c r="AN488" s="7"/>
      <c r="AO488" s="7"/>
      <c r="AP488" s="7"/>
      <c r="AQ488" s="7"/>
      <c r="AR488" s="7"/>
      <c r="AS488" s="7"/>
      <c r="AT488" s="7"/>
      <c r="AU488" s="7"/>
      <c r="AV488" s="7"/>
      <c r="AW488" s="7"/>
      <c r="AX488" s="7"/>
      <c r="AY488" s="7"/>
      <c r="AZ488" s="7"/>
      <c r="BA488" s="7"/>
      <c r="BB488" s="7"/>
      <c r="BC488" s="7"/>
      <c r="BD488" s="18"/>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105"/>
    </row>
    <row r="489" spans="1:121" s="15" customFormat="1" x14ac:dyDescent="0.2">
      <c r="A489" s="20"/>
      <c r="C489" s="102"/>
      <c r="AI489" s="7"/>
      <c r="AJ489" s="7"/>
      <c r="AK489" s="7"/>
      <c r="AL489" s="7"/>
      <c r="AM489" s="7"/>
      <c r="AN489" s="7"/>
      <c r="AO489" s="7"/>
      <c r="AP489" s="7"/>
      <c r="AQ489" s="7"/>
      <c r="AR489" s="7"/>
      <c r="AS489" s="7"/>
      <c r="AT489" s="7"/>
      <c r="AU489" s="7"/>
      <c r="AV489" s="7"/>
      <c r="AW489" s="7"/>
      <c r="AX489" s="7"/>
      <c r="AY489" s="7"/>
      <c r="AZ489" s="7"/>
      <c r="BA489" s="7"/>
      <c r="BB489" s="7"/>
      <c r="BC489" s="7"/>
      <c r="BD489" s="18"/>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105"/>
    </row>
    <row r="490" spans="1:121" s="15" customFormat="1" x14ac:dyDescent="0.2">
      <c r="A490" s="20"/>
      <c r="C490" s="102"/>
      <c r="AI490" s="7"/>
      <c r="AJ490" s="7"/>
      <c r="AK490" s="7"/>
      <c r="AL490" s="7"/>
      <c r="AM490" s="7"/>
      <c r="AN490" s="7"/>
      <c r="AO490" s="7"/>
      <c r="AP490" s="7"/>
      <c r="AQ490" s="7"/>
      <c r="AR490" s="7"/>
      <c r="AS490" s="7"/>
      <c r="AT490" s="7"/>
      <c r="AU490" s="7"/>
      <c r="AV490" s="7"/>
      <c r="AW490" s="7"/>
      <c r="AX490" s="7"/>
      <c r="AY490" s="7"/>
      <c r="AZ490" s="7"/>
      <c r="BA490" s="7"/>
      <c r="BB490" s="7"/>
      <c r="BC490" s="7"/>
      <c r="BD490" s="18"/>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105"/>
    </row>
    <row r="491" spans="1:121" s="15" customFormat="1" x14ac:dyDescent="0.2">
      <c r="A491" s="20"/>
      <c r="C491" s="102"/>
      <c r="AI491" s="7"/>
      <c r="AJ491" s="7"/>
      <c r="AK491" s="7"/>
      <c r="AL491" s="7"/>
      <c r="AM491" s="7"/>
      <c r="AN491" s="7"/>
      <c r="AO491" s="7"/>
      <c r="AP491" s="7"/>
      <c r="AQ491" s="7"/>
      <c r="AR491" s="7"/>
      <c r="AS491" s="7"/>
      <c r="AT491" s="7"/>
      <c r="AU491" s="7"/>
      <c r="AV491" s="7"/>
      <c r="AW491" s="7"/>
      <c r="AX491" s="7"/>
      <c r="AY491" s="7"/>
      <c r="AZ491" s="7"/>
      <c r="BA491" s="7"/>
      <c r="BB491" s="7"/>
      <c r="BC491" s="7"/>
      <c r="BD491" s="18"/>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105"/>
    </row>
    <row r="492" spans="1:121" s="15" customFormat="1" x14ac:dyDescent="0.2">
      <c r="A492" s="20"/>
      <c r="C492" s="102"/>
      <c r="AI492" s="7"/>
      <c r="AJ492" s="7"/>
      <c r="AK492" s="7"/>
      <c r="AL492" s="7"/>
      <c r="AM492" s="7"/>
      <c r="AN492" s="7"/>
      <c r="AO492" s="7"/>
      <c r="AP492" s="7"/>
      <c r="AQ492" s="7"/>
      <c r="AR492" s="7"/>
      <c r="AS492" s="7"/>
      <c r="AT492" s="7"/>
      <c r="AU492" s="7"/>
      <c r="AV492" s="7"/>
      <c r="AW492" s="7"/>
      <c r="AX492" s="7"/>
      <c r="AY492" s="7"/>
      <c r="AZ492" s="7"/>
      <c r="BA492" s="7"/>
      <c r="BB492" s="7"/>
      <c r="BC492" s="7"/>
      <c r="BD492" s="18"/>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105"/>
    </row>
    <row r="493" spans="1:121" s="15" customFormat="1" x14ac:dyDescent="0.2">
      <c r="A493" s="20"/>
      <c r="C493" s="102"/>
      <c r="AI493" s="7"/>
      <c r="AJ493" s="7"/>
      <c r="AK493" s="7"/>
      <c r="AL493" s="7"/>
      <c r="AM493" s="7"/>
      <c r="AN493" s="7"/>
      <c r="AO493" s="7"/>
      <c r="AP493" s="7"/>
      <c r="AQ493" s="7"/>
      <c r="AR493" s="7"/>
      <c r="AS493" s="7"/>
      <c r="AT493" s="7"/>
      <c r="AU493" s="7"/>
      <c r="AV493" s="7"/>
      <c r="AW493" s="7"/>
      <c r="AX493" s="7"/>
      <c r="AY493" s="7"/>
      <c r="AZ493" s="7"/>
      <c r="BA493" s="7"/>
      <c r="BB493" s="7"/>
      <c r="BC493" s="7"/>
      <c r="BD493" s="18"/>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105"/>
    </row>
    <row r="494" spans="1:121" s="15" customFormat="1" x14ac:dyDescent="0.2">
      <c r="A494" s="20"/>
      <c r="C494" s="102"/>
      <c r="AI494" s="7"/>
      <c r="AJ494" s="7"/>
      <c r="AK494" s="7"/>
      <c r="AL494" s="7"/>
      <c r="AM494" s="7"/>
      <c r="AN494" s="7"/>
      <c r="AO494" s="7"/>
      <c r="AP494" s="7"/>
      <c r="AQ494" s="7"/>
      <c r="AR494" s="7"/>
      <c r="AS494" s="7"/>
      <c r="AT494" s="7"/>
      <c r="AU494" s="7"/>
      <c r="AV494" s="7"/>
      <c r="AW494" s="7"/>
      <c r="AX494" s="7"/>
      <c r="AY494" s="7"/>
      <c r="AZ494" s="7"/>
      <c r="BA494" s="7"/>
      <c r="BB494" s="7"/>
      <c r="BC494" s="7"/>
      <c r="BD494" s="18"/>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105"/>
    </row>
    <row r="495" spans="1:121" s="15" customFormat="1" x14ac:dyDescent="0.2">
      <c r="A495" s="20"/>
      <c r="C495" s="102"/>
      <c r="AI495" s="7"/>
      <c r="AJ495" s="7"/>
      <c r="AK495" s="7"/>
      <c r="AL495" s="7"/>
      <c r="AM495" s="7"/>
      <c r="AN495" s="7"/>
      <c r="AO495" s="7"/>
      <c r="AP495" s="7"/>
      <c r="AQ495" s="7"/>
      <c r="AR495" s="7"/>
      <c r="AS495" s="7"/>
      <c r="AT495" s="7"/>
      <c r="AU495" s="7"/>
      <c r="AV495" s="7"/>
      <c r="AW495" s="7"/>
      <c r="AX495" s="7"/>
      <c r="AY495" s="7"/>
      <c r="AZ495" s="7"/>
      <c r="BA495" s="7"/>
      <c r="BB495" s="7"/>
      <c r="BC495" s="7"/>
      <c r="BD495" s="18"/>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105"/>
    </row>
    <row r="496" spans="1:121" s="15" customFormat="1" x14ac:dyDescent="0.2">
      <c r="A496" s="20"/>
      <c r="C496" s="102"/>
      <c r="AI496" s="7"/>
      <c r="AJ496" s="7"/>
      <c r="AK496" s="7"/>
      <c r="AL496" s="7"/>
      <c r="AM496" s="7"/>
      <c r="AN496" s="7"/>
      <c r="AO496" s="7"/>
      <c r="AP496" s="7"/>
      <c r="AQ496" s="7"/>
      <c r="AR496" s="7"/>
      <c r="AS496" s="7"/>
      <c r="AT496" s="7"/>
      <c r="AU496" s="7"/>
      <c r="AV496" s="7"/>
      <c r="AW496" s="7"/>
      <c r="AX496" s="7"/>
      <c r="AY496" s="7"/>
      <c r="AZ496" s="7"/>
      <c r="BA496" s="7"/>
      <c r="BB496" s="7"/>
      <c r="BC496" s="7"/>
      <c r="BD496" s="18"/>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105"/>
    </row>
    <row r="497" spans="1:121" s="15" customFormat="1" x14ac:dyDescent="0.2">
      <c r="A497" s="20"/>
      <c r="C497" s="102"/>
      <c r="AI497" s="7"/>
      <c r="AJ497" s="7"/>
      <c r="AK497" s="7"/>
      <c r="AL497" s="7"/>
      <c r="AM497" s="7"/>
      <c r="AN497" s="7"/>
      <c r="AO497" s="7"/>
      <c r="AP497" s="7"/>
      <c r="AQ497" s="7"/>
      <c r="AR497" s="7"/>
      <c r="AS497" s="7"/>
      <c r="AT497" s="7"/>
      <c r="AU497" s="7"/>
      <c r="AV497" s="7"/>
      <c r="AW497" s="7"/>
      <c r="AX497" s="7"/>
      <c r="AY497" s="7"/>
      <c r="AZ497" s="7"/>
      <c r="BA497" s="7"/>
      <c r="BB497" s="7"/>
      <c r="BC497" s="7"/>
      <c r="BD497" s="18"/>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105"/>
    </row>
    <row r="498" spans="1:121" s="15" customFormat="1" x14ac:dyDescent="0.2">
      <c r="A498" s="20"/>
      <c r="C498" s="102"/>
      <c r="AI498" s="7"/>
      <c r="AJ498" s="7"/>
      <c r="AK498" s="7"/>
      <c r="AL498" s="7"/>
      <c r="AM498" s="7"/>
      <c r="AN498" s="7"/>
      <c r="AO498" s="7"/>
      <c r="AP498" s="7"/>
      <c r="AQ498" s="7"/>
      <c r="AR498" s="7"/>
      <c r="AS498" s="7"/>
      <c r="AT498" s="7"/>
      <c r="AU498" s="7"/>
      <c r="AV498" s="7"/>
      <c r="AW498" s="7"/>
      <c r="AX498" s="7"/>
      <c r="AY498" s="7"/>
      <c r="AZ498" s="7"/>
      <c r="BA498" s="7"/>
      <c r="BB498" s="7"/>
      <c r="BC498" s="7"/>
      <c r="BD498" s="18"/>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105"/>
    </row>
    <row r="499" spans="1:121" s="15" customFormat="1" x14ac:dyDescent="0.2">
      <c r="A499" s="20"/>
      <c r="C499" s="102"/>
      <c r="AI499" s="7"/>
      <c r="AJ499" s="7"/>
      <c r="AK499" s="7"/>
      <c r="AL499" s="7"/>
      <c r="AM499" s="7"/>
      <c r="AN499" s="7"/>
      <c r="AO499" s="7"/>
      <c r="AP499" s="7"/>
      <c r="AQ499" s="7"/>
      <c r="AR499" s="7"/>
      <c r="AS499" s="7"/>
      <c r="AT499" s="7"/>
      <c r="AU499" s="7"/>
      <c r="AV499" s="7"/>
      <c r="AW499" s="7"/>
      <c r="AX499" s="7"/>
      <c r="AY499" s="7"/>
      <c r="AZ499" s="7"/>
      <c r="BA499" s="7"/>
      <c r="BB499" s="7"/>
      <c r="BC499" s="7"/>
      <c r="BD499" s="18"/>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105"/>
    </row>
    <row r="500" spans="1:121" s="15" customFormat="1" x14ac:dyDescent="0.2">
      <c r="A500" s="20"/>
      <c r="C500" s="102"/>
      <c r="AI500" s="7"/>
      <c r="AJ500" s="7"/>
      <c r="AK500" s="7"/>
      <c r="AL500" s="7"/>
      <c r="AM500" s="7"/>
      <c r="AN500" s="7"/>
      <c r="AO500" s="7"/>
      <c r="AP500" s="7"/>
      <c r="AQ500" s="7"/>
      <c r="AR500" s="7"/>
      <c r="AS500" s="7"/>
      <c r="AT500" s="7"/>
      <c r="AU500" s="7"/>
      <c r="AV500" s="7"/>
      <c r="AW500" s="7"/>
      <c r="AX500" s="7"/>
      <c r="AY500" s="7"/>
      <c r="AZ500" s="7"/>
      <c r="BA500" s="7"/>
      <c r="BB500" s="7"/>
      <c r="BC500" s="7"/>
      <c r="BD500" s="18"/>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105"/>
    </row>
    <row r="501" spans="1:121" s="15" customFormat="1" x14ac:dyDescent="0.2">
      <c r="A501" s="20"/>
      <c r="C501" s="102"/>
      <c r="AI501" s="7"/>
      <c r="AJ501" s="7"/>
      <c r="AK501" s="7"/>
      <c r="AL501" s="7"/>
      <c r="AM501" s="7"/>
      <c r="AN501" s="7"/>
      <c r="AO501" s="7"/>
      <c r="AP501" s="7"/>
      <c r="AQ501" s="7"/>
      <c r="AR501" s="7"/>
      <c r="AS501" s="7"/>
      <c r="AT501" s="7"/>
      <c r="AU501" s="7"/>
      <c r="AV501" s="7"/>
      <c r="AW501" s="7"/>
      <c r="AX501" s="7"/>
      <c r="AY501" s="7"/>
      <c r="AZ501" s="7"/>
      <c r="BA501" s="7"/>
      <c r="BB501" s="7"/>
      <c r="BC501" s="7"/>
      <c r="BD501" s="18"/>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105"/>
    </row>
    <row r="502" spans="1:121" s="15" customFormat="1" x14ac:dyDescent="0.2">
      <c r="A502" s="20"/>
      <c r="C502" s="102"/>
      <c r="AI502" s="7"/>
      <c r="AJ502" s="7"/>
      <c r="AK502" s="7"/>
      <c r="AL502" s="7"/>
      <c r="AM502" s="7"/>
      <c r="AN502" s="7"/>
      <c r="AO502" s="7"/>
      <c r="AP502" s="7"/>
      <c r="AQ502" s="7"/>
      <c r="AR502" s="7"/>
      <c r="AS502" s="7"/>
      <c r="AT502" s="7"/>
      <c r="AU502" s="7"/>
      <c r="AV502" s="7"/>
      <c r="AW502" s="7"/>
      <c r="AX502" s="7"/>
      <c r="AY502" s="7"/>
      <c r="AZ502" s="7"/>
      <c r="BA502" s="7"/>
      <c r="BB502" s="7"/>
      <c r="BC502" s="7"/>
      <c r="BD502" s="18"/>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105"/>
    </row>
    <row r="503" spans="1:121" s="15" customFormat="1" x14ac:dyDescent="0.2">
      <c r="A503" s="20"/>
      <c r="C503" s="102"/>
      <c r="AI503" s="7"/>
      <c r="AJ503" s="7"/>
      <c r="AK503" s="7"/>
      <c r="AL503" s="7"/>
      <c r="AM503" s="7"/>
      <c r="AN503" s="7"/>
      <c r="AO503" s="7"/>
      <c r="AP503" s="7"/>
      <c r="AQ503" s="7"/>
      <c r="AR503" s="7"/>
      <c r="AS503" s="7"/>
      <c r="AT503" s="7"/>
      <c r="AU503" s="7"/>
      <c r="AV503" s="7"/>
      <c r="AW503" s="7"/>
      <c r="AX503" s="7"/>
      <c r="AY503" s="7"/>
      <c r="AZ503" s="7"/>
      <c r="BA503" s="7"/>
      <c r="BB503" s="7"/>
      <c r="BC503" s="7"/>
      <c r="BD503" s="18"/>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105"/>
    </row>
    <row r="504" spans="1:121" s="15" customFormat="1" x14ac:dyDescent="0.2">
      <c r="A504" s="20"/>
      <c r="C504" s="102"/>
      <c r="AI504" s="7"/>
      <c r="AJ504" s="7"/>
      <c r="AK504" s="7"/>
      <c r="AL504" s="7"/>
      <c r="AM504" s="7"/>
      <c r="AN504" s="7"/>
      <c r="AO504" s="7"/>
      <c r="AP504" s="7"/>
      <c r="AQ504" s="7"/>
      <c r="AR504" s="7"/>
      <c r="AS504" s="7"/>
      <c r="AT504" s="7"/>
      <c r="AU504" s="7"/>
      <c r="AV504" s="7"/>
      <c r="AW504" s="7"/>
      <c r="AX504" s="7"/>
      <c r="AY504" s="7"/>
      <c r="AZ504" s="7"/>
      <c r="BA504" s="7"/>
      <c r="BB504" s="7"/>
      <c r="BC504" s="7"/>
      <c r="BD504" s="18"/>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105"/>
    </row>
    <row r="505" spans="1:121" s="15" customFormat="1" x14ac:dyDescent="0.2">
      <c r="A505" s="20"/>
      <c r="C505" s="102"/>
      <c r="AI505" s="7"/>
      <c r="AJ505" s="7"/>
      <c r="AK505" s="7"/>
      <c r="AL505" s="7"/>
      <c r="AM505" s="7"/>
      <c r="AN505" s="7"/>
      <c r="AO505" s="7"/>
      <c r="AP505" s="7"/>
      <c r="AQ505" s="7"/>
      <c r="AR505" s="7"/>
      <c r="AS505" s="7"/>
      <c r="AT505" s="7"/>
      <c r="AU505" s="7"/>
      <c r="AV505" s="7"/>
      <c r="AW505" s="7"/>
      <c r="AX505" s="7"/>
      <c r="AY505" s="7"/>
      <c r="AZ505" s="7"/>
      <c r="BA505" s="7"/>
      <c r="BB505" s="7"/>
      <c r="BC505" s="7"/>
      <c r="BD505" s="18"/>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105"/>
    </row>
    <row r="506" spans="1:121" s="15" customFormat="1" x14ac:dyDescent="0.2">
      <c r="A506" s="20"/>
      <c r="C506" s="102"/>
      <c r="AI506" s="7"/>
      <c r="AJ506" s="7"/>
      <c r="AK506" s="7"/>
      <c r="AL506" s="7"/>
      <c r="AM506" s="7"/>
      <c r="AN506" s="7"/>
      <c r="AO506" s="7"/>
      <c r="AP506" s="7"/>
      <c r="AQ506" s="7"/>
      <c r="AR506" s="7"/>
      <c r="AS506" s="7"/>
      <c r="AT506" s="7"/>
      <c r="AU506" s="7"/>
      <c r="AV506" s="7"/>
      <c r="AW506" s="7"/>
      <c r="AX506" s="7"/>
      <c r="AY506" s="7"/>
      <c r="AZ506" s="7"/>
      <c r="BA506" s="7"/>
      <c r="BB506" s="7"/>
      <c r="BC506" s="7"/>
      <c r="BD506" s="18"/>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105"/>
    </row>
    <row r="507" spans="1:121" s="15" customFormat="1" x14ac:dyDescent="0.2">
      <c r="A507" s="20"/>
      <c r="C507" s="102"/>
      <c r="AI507" s="7"/>
      <c r="AJ507" s="7"/>
      <c r="AK507" s="7"/>
      <c r="AL507" s="7"/>
      <c r="AM507" s="7"/>
      <c r="AN507" s="7"/>
      <c r="AO507" s="7"/>
      <c r="AP507" s="7"/>
      <c r="AQ507" s="7"/>
      <c r="AR507" s="7"/>
      <c r="AS507" s="7"/>
      <c r="AT507" s="7"/>
      <c r="AU507" s="7"/>
      <c r="AV507" s="7"/>
      <c r="AW507" s="7"/>
      <c r="AX507" s="7"/>
      <c r="AY507" s="7"/>
      <c r="AZ507" s="7"/>
      <c r="BA507" s="7"/>
      <c r="BB507" s="7"/>
      <c r="BC507" s="7"/>
      <c r="BD507" s="18"/>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105"/>
    </row>
    <row r="508" spans="1:121" s="15" customFormat="1" x14ac:dyDescent="0.2">
      <c r="A508" s="20"/>
      <c r="C508" s="102"/>
      <c r="AI508" s="7"/>
      <c r="AJ508" s="7"/>
      <c r="AK508" s="7"/>
      <c r="AL508" s="7"/>
      <c r="AM508" s="7"/>
      <c r="AN508" s="7"/>
      <c r="AO508" s="7"/>
      <c r="AP508" s="7"/>
      <c r="AQ508" s="7"/>
      <c r="AR508" s="7"/>
      <c r="AS508" s="7"/>
      <c r="AT508" s="7"/>
      <c r="AU508" s="7"/>
      <c r="AV508" s="7"/>
      <c r="AW508" s="7"/>
      <c r="AX508" s="7"/>
      <c r="AY508" s="7"/>
      <c r="AZ508" s="7"/>
      <c r="BA508" s="7"/>
      <c r="BB508" s="7"/>
      <c r="BC508" s="7"/>
      <c r="BD508" s="18"/>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105"/>
    </row>
    <row r="509" spans="1:121" s="15" customFormat="1" x14ac:dyDescent="0.2">
      <c r="A509" s="20"/>
      <c r="C509" s="102"/>
      <c r="AI509" s="7"/>
      <c r="AJ509" s="7"/>
      <c r="AK509" s="7"/>
      <c r="AL509" s="7"/>
      <c r="AM509" s="7"/>
      <c r="AN509" s="7"/>
      <c r="AO509" s="7"/>
      <c r="AP509" s="7"/>
      <c r="AQ509" s="7"/>
      <c r="AR509" s="7"/>
      <c r="AS509" s="7"/>
      <c r="AT509" s="7"/>
      <c r="AU509" s="7"/>
      <c r="AV509" s="7"/>
      <c r="AW509" s="7"/>
      <c r="AX509" s="7"/>
      <c r="AY509" s="7"/>
      <c r="AZ509" s="7"/>
      <c r="BA509" s="7"/>
      <c r="BB509" s="7"/>
      <c r="BC509" s="7"/>
      <c r="BD509" s="18"/>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105"/>
    </row>
    <row r="510" spans="1:121" s="15" customFormat="1" x14ac:dyDescent="0.2">
      <c r="A510" s="20"/>
      <c r="C510" s="102"/>
      <c r="AI510" s="7"/>
      <c r="AJ510" s="7"/>
      <c r="AK510" s="7"/>
      <c r="AL510" s="7"/>
      <c r="AM510" s="7"/>
      <c r="AN510" s="7"/>
      <c r="AO510" s="7"/>
      <c r="AP510" s="7"/>
      <c r="AQ510" s="7"/>
      <c r="AR510" s="7"/>
      <c r="AS510" s="7"/>
      <c r="AT510" s="7"/>
      <c r="AU510" s="7"/>
      <c r="AV510" s="7"/>
      <c r="AW510" s="7"/>
      <c r="AX510" s="7"/>
      <c r="AY510" s="7"/>
      <c r="AZ510" s="7"/>
      <c r="BA510" s="7"/>
      <c r="BB510" s="7"/>
      <c r="BC510" s="7"/>
      <c r="BD510" s="18"/>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105"/>
    </row>
    <row r="511" spans="1:121" s="15" customFormat="1" x14ac:dyDescent="0.2">
      <c r="A511" s="20"/>
      <c r="C511" s="102"/>
      <c r="AI511" s="7"/>
      <c r="AJ511" s="7"/>
      <c r="AK511" s="7"/>
      <c r="AL511" s="7"/>
      <c r="AM511" s="7"/>
      <c r="AN511" s="7"/>
      <c r="AO511" s="7"/>
      <c r="AP511" s="7"/>
      <c r="AQ511" s="7"/>
      <c r="AR511" s="7"/>
      <c r="AS511" s="7"/>
      <c r="AT511" s="7"/>
      <c r="AU511" s="7"/>
      <c r="AV511" s="7"/>
      <c r="AW511" s="7"/>
      <c r="AX511" s="7"/>
      <c r="AY511" s="7"/>
      <c r="AZ511" s="7"/>
      <c r="BA511" s="7"/>
      <c r="BB511" s="7"/>
      <c r="BC511" s="7"/>
      <c r="BD511" s="18"/>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105"/>
    </row>
    <row r="512" spans="1:121" s="15" customFormat="1" x14ac:dyDescent="0.2">
      <c r="A512" s="20"/>
      <c r="C512" s="102"/>
      <c r="AI512" s="7"/>
      <c r="AJ512" s="7"/>
      <c r="AK512" s="7"/>
      <c r="AL512" s="7"/>
      <c r="AM512" s="7"/>
      <c r="AN512" s="7"/>
      <c r="AO512" s="7"/>
      <c r="AP512" s="7"/>
      <c r="AQ512" s="7"/>
      <c r="AR512" s="7"/>
      <c r="AS512" s="7"/>
      <c r="AT512" s="7"/>
      <c r="AU512" s="7"/>
      <c r="AV512" s="7"/>
      <c r="AW512" s="7"/>
      <c r="AX512" s="7"/>
      <c r="AY512" s="7"/>
      <c r="AZ512" s="7"/>
      <c r="BA512" s="7"/>
      <c r="BB512" s="7"/>
      <c r="BC512" s="7"/>
      <c r="BD512" s="18"/>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105"/>
    </row>
    <row r="513" spans="1:121" s="15" customFormat="1" x14ac:dyDescent="0.2">
      <c r="A513" s="20"/>
      <c r="C513" s="102"/>
      <c r="AI513" s="7"/>
      <c r="AJ513" s="7"/>
      <c r="AK513" s="7"/>
      <c r="AL513" s="7"/>
      <c r="AM513" s="7"/>
      <c r="AN513" s="7"/>
      <c r="AO513" s="7"/>
      <c r="AP513" s="7"/>
      <c r="AQ513" s="7"/>
      <c r="AR513" s="7"/>
      <c r="AS513" s="7"/>
      <c r="AT513" s="7"/>
      <c r="AU513" s="7"/>
      <c r="AV513" s="7"/>
      <c r="AW513" s="7"/>
      <c r="AX513" s="7"/>
      <c r="AY513" s="7"/>
      <c r="AZ513" s="7"/>
      <c r="BA513" s="7"/>
      <c r="BB513" s="7"/>
      <c r="BC513" s="7"/>
      <c r="BD513" s="18"/>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105"/>
    </row>
    <row r="514" spans="1:121" s="15" customFormat="1" x14ac:dyDescent="0.2">
      <c r="A514" s="20"/>
      <c r="C514" s="102"/>
      <c r="AI514" s="7"/>
      <c r="AJ514" s="7"/>
      <c r="AK514" s="7"/>
      <c r="AL514" s="7"/>
      <c r="AM514" s="7"/>
      <c r="AN514" s="7"/>
      <c r="AO514" s="7"/>
      <c r="AP514" s="7"/>
      <c r="AQ514" s="7"/>
      <c r="AR514" s="7"/>
      <c r="AS514" s="7"/>
      <c r="AT514" s="7"/>
      <c r="AU514" s="7"/>
      <c r="AV514" s="7"/>
      <c r="AW514" s="7"/>
      <c r="AX514" s="7"/>
      <c r="AY514" s="7"/>
      <c r="AZ514" s="7"/>
      <c r="BA514" s="7"/>
      <c r="BB514" s="7"/>
      <c r="BC514" s="7"/>
      <c r="BD514" s="18"/>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105"/>
    </row>
    <row r="515" spans="1:121" s="15" customFormat="1" x14ac:dyDescent="0.2">
      <c r="A515" s="20"/>
      <c r="C515" s="102"/>
      <c r="AI515" s="7"/>
      <c r="AJ515" s="7"/>
      <c r="AK515" s="7"/>
      <c r="AL515" s="7"/>
      <c r="AM515" s="7"/>
      <c r="AN515" s="7"/>
      <c r="AO515" s="7"/>
      <c r="AP515" s="7"/>
      <c r="AQ515" s="7"/>
      <c r="AR515" s="7"/>
      <c r="AS515" s="7"/>
      <c r="AT515" s="7"/>
      <c r="AU515" s="7"/>
      <c r="AV515" s="7"/>
      <c r="AW515" s="7"/>
      <c r="AX515" s="7"/>
      <c r="AY515" s="7"/>
      <c r="AZ515" s="7"/>
      <c r="BA515" s="7"/>
      <c r="BB515" s="7"/>
      <c r="BC515" s="7"/>
      <c r="BD515" s="18"/>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105"/>
    </row>
    <row r="516" spans="1:121" s="15" customFormat="1" x14ac:dyDescent="0.2">
      <c r="A516" s="20"/>
      <c r="C516" s="102"/>
      <c r="AI516" s="7"/>
      <c r="AJ516" s="7"/>
      <c r="AK516" s="7"/>
      <c r="AL516" s="7"/>
      <c r="AM516" s="7"/>
      <c r="AN516" s="7"/>
      <c r="AO516" s="7"/>
      <c r="AP516" s="7"/>
      <c r="AQ516" s="7"/>
      <c r="AR516" s="7"/>
      <c r="AS516" s="7"/>
      <c r="AT516" s="7"/>
      <c r="AU516" s="7"/>
      <c r="AV516" s="7"/>
      <c r="AW516" s="7"/>
      <c r="AX516" s="7"/>
      <c r="AY516" s="7"/>
      <c r="AZ516" s="7"/>
      <c r="BA516" s="7"/>
      <c r="BB516" s="7"/>
      <c r="BC516" s="7"/>
      <c r="BD516" s="18"/>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105"/>
    </row>
    <row r="517" spans="1:121" s="15" customFormat="1" x14ac:dyDescent="0.2">
      <c r="A517" s="20"/>
      <c r="C517" s="102"/>
      <c r="AI517" s="7"/>
      <c r="AJ517" s="7"/>
      <c r="AK517" s="7"/>
      <c r="AL517" s="7"/>
      <c r="AM517" s="7"/>
      <c r="AN517" s="7"/>
      <c r="AO517" s="7"/>
      <c r="AP517" s="7"/>
      <c r="AQ517" s="7"/>
      <c r="AR517" s="7"/>
      <c r="AS517" s="7"/>
      <c r="AT517" s="7"/>
      <c r="AU517" s="7"/>
      <c r="AV517" s="7"/>
      <c r="AW517" s="7"/>
      <c r="AX517" s="7"/>
      <c r="AY517" s="7"/>
      <c r="AZ517" s="7"/>
      <c r="BA517" s="7"/>
      <c r="BB517" s="7"/>
      <c r="BC517" s="7"/>
      <c r="BD517" s="18"/>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105"/>
    </row>
    <row r="518" spans="1:121" s="15" customFormat="1" x14ac:dyDescent="0.2">
      <c r="A518" s="20"/>
      <c r="C518" s="102"/>
      <c r="AI518" s="7"/>
      <c r="AJ518" s="7"/>
      <c r="AK518" s="7"/>
      <c r="AL518" s="7"/>
      <c r="AM518" s="7"/>
      <c r="AN518" s="7"/>
      <c r="AO518" s="7"/>
      <c r="AP518" s="7"/>
      <c r="AQ518" s="7"/>
      <c r="AR518" s="7"/>
      <c r="AS518" s="7"/>
      <c r="AT518" s="7"/>
      <c r="AU518" s="7"/>
      <c r="AV518" s="7"/>
      <c r="AW518" s="7"/>
      <c r="AX518" s="7"/>
      <c r="AY518" s="7"/>
      <c r="AZ518" s="7"/>
      <c r="BA518" s="7"/>
      <c r="BB518" s="7"/>
      <c r="BC518" s="7"/>
      <c r="BD518" s="18"/>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105"/>
    </row>
    <row r="519" spans="1:121" s="15" customFormat="1" x14ac:dyDescent="0.2">
      <c r="A519" s="20"/>
      <c r="C519" s="102"/>
      <c r="AI519" s="7"/>
      <c r="AJ519" s="7"/>
      <c r="AK519" s="7"/>
      <c r="AL519" s="7"/>
      <c r="AM519" s="7"/>
      <c r="AN519" s="7"/>
      <c r="AO519" s="7"/>
      <c r="AP519" s="7"/>
      <c r="AQ519" s="7"/>
      <c r="AR519" s="7"/>
      <c r="AS519" s="7"/>
      <c r="AT519" s="7"/>
      <c r="AU519" s="7"/>
      <c r="AV519" s="7"/>
      <c r="AW519" s="7"/>
      <c r="AX519" s="7"/>
      <c r="AY519" s="7"/>
      <c r="AZ519" s="7"/>
      <c r="BA519" s="7"/>
      <c r="BB519" s="7"/>
      <c r="BC519" s="7"/>
      <c r="BD519" s="18"/>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c r="DL519" s="7"/>
      <c r="DM519" s="7"/>
      <c r="DN519" s="7"/>
      <c r="DO519" s="7"/>
      <c r="DP519" s="7"/>
      <c r="DQ519" s="105"/>
    </row>
    <row r="520" spans="1:121" s="15" customFormat="1" x14ac:dyDescent="0.2">
      <c r="A520" s="20"/>
      <c r="C520" s="102"/>
      <c r="AI520" s="7"/>
      <c r="AJ520" s="7"/>
      <c r="AK520" s="7"/>
      <c r="AL520" s="7"/>
      <c r="AM520" s="7"/>
      <c r="AN520" s="7"/>
      <c r="AO520" s="7"/>
      <c r="AP520" s="7"/>
      <c r="AQ520" s="7"/>
      <c r="AR520" s="7"/>
      <c r="AS520" s="7"/>
      <c r="AT520" s="7"/>
      <c r="AU520" s="7"/>
      <c r="AV520" s="7"/>
      <c r="AW520" s="7"/>
      <c r="AX520" s="7"/>
      <c r="AY520" s="7"/>
      <c r="AZ520" s="7"/>
      <c r="BA520" s="7"/>
      <c r="BB520" s="7"/>
      <c r="BC520" s="7"/>
      <c r="BD520" s="18"/>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c r="DL520" s="7"/>
      <c r="DM520" s="7"/>
      <c r="DN520" s="7"/>
      <c r="DO520" s="7"/>
      <c r="DP520" s="7"/>
      <c r="DQ520" s="105"/>
    </row>
    <row r="521" spans="1:121" s="15" customFormat="1" x14ac:dyDescent="0.2">
      <c r="A521" s="20"/>
      <c r="C521" s="102"/>
      <c r="AI521" s="7"/>
      <c r="AJ521" s="7"/>
      <c r="AK521" s="7"/>
      <c r="AL521" s="7"/>
      <c r="AM521" s="7"/>
      <c r="AN521" s="7"/>
      <c r="AO521" s="7"/>
      <c r="AP521" s="7"/>
      <c r="AQ521" s="7"/>
      <c r="AR521" s="7"/>
      <c r="AS521" s="7"/>
      <c r="AT521" s="7"/>
      <c r="AU521" s="7"/>
      <c r="AV521" s="7"/>
      <c r="AW521" s="7"/>
      <c r="AX521" s="7"/>
      <c r="AY521" s="7"/>
      <c r="AZ521" s="7"/>
      <c r="BA521" s="7"/>
      <c r="BB521" s="7"/>
      <c r="BC521" s="7"/>
      <c r="BD521" s="18"/>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105"/>
    </row>
    <row r="522" spans="1:121" s="15" customFormat="1" x14ac:dyDescent="0.2">
      <c r="A522" s="20"/>
      <c r="C522" s="102"/>
      <c r="AI522" s="7"/>
      <c r="AJ522" s="7"/>
      <c r="AK522" s="7"/>
      <c r="AL522" s="7"/>
      <c r="AM522" s="7"/>
      <c r="AN522" s="7"/>
      <c r="AO522" s="7"/>
      <c r="AP522" s="7"/>
      <c r="AQ522" s="7"/>
      <c r="AR522" s="7"/>
      <c r="AS522" s="7"/>
      <c r="AT522" s="7"/>
      <c r="AU522" s="7"/>
      <c r="AV522" s="7"/>
      <c r="AW522" s="7"/>
      <c r="AX522" s="7"/>
      <c r="AY522" s="7"/>
      <c r="AZ522" s="7"/>
      <c r="BA522" s="7"/>
      <c r="BB522" s="7"/>
      <c r="BC522" s="7"/>
      <c r="BD522" s="18"/>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105"/>
    </row>
    <row r="523" spans="1:121" s="15" customFormat="1" x14ac:dyDescent="0.2">
      <c r="A523" s="20"/>
      <c r="C523" s="102"/>
      <c r="AI523" s="7"/>
      <c r="AJ523" s="7"/>
      <c r="AK523" s="7"/>
      <c r="AL523" s="7"/>
      <c r="AM523" s="7"/>
      <c r="AN523" s="7"/>
      <c r="AO523" s="7"/>
      <c r="AP523" s="7"/>
      <c r="AQ523" s="7"/>
      <c r="AR523" s="7"/>
      <c r="AS523" s="7"/>
      <c r="AT523" s="7"/>
      <c r="AU523" s="7"/>
      <c r="AV523" s="7"/>
      <c r="AW523" s="7"/>
      <c r="AX523" s="7"/>
      <c r="AY523" s="7"/>
      <c r="AZ523" s="7"/>
      <c r="BA523" s="7"/>
      <c r="BB523" s="7"/>
      <c r="BC523" s="7"/>
      <c r="BD523" s="18"/>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105"/>
    </row>
    <row r="524" spans="1:121" s="15" customFormat="1" x14ac:dyDescent="0.2">
      <c r="A524" s="20"/>
      <c r="C524" s="102"/>
      <c r="AI524" s="7"/>
      <c r="AJ524" s="7"/>
      <c r="AK524" s="7"/>
      <c r="AL524" s="7"/>
      <c r="AM524" s="7"/>
      <c r="AN524" s="7"/>
      <c r="AO524" s="7"/>
      <c r="AP524" s="7"/>
      <c r="AQ524" s="7"/>
      <c r="AR524" s="7"/>
      <c r="AS524" s="7"/>
      <c r="AT524" s="7"/>
      <c r="AU524" s="7"/>
      <c r="AV524" s="7"/>
      <c r="AW524" s="7"/>
      <c r="AX524" s="7"/>
      <c r="AY524" s="7"/>
      <c r="AZ524" s="7"/>
      <c r="BA524" s="7"/>
      <c r="BB524" s="7"/>
      <c r="BC524" s="7"/>
      <c r="BD524" s="18"/>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c r="DL524" s="7"/>
      <c r="DM524" s="7"/>
      <c r="DN524" s="7"/>
      <c r="DO524" s="7"/>
      <c r="DP524" s="7"/>
      <c r="DQ524" s="105"/>
    </row>
    <row r="525" spans="1:121" s="15" customFormat="1" x14ac:dyDescent="0.2">
      <c r="A525" s="20"/>
      <c r="C525" s="102"/>
      <c r="AI525" s="7"/>
      <c r="AJ525" s="7"/>
      <c r="AK525" s="7"/>
      <c r="AL525" s="7"/>
      <c r="AM525" s="7"/>
      <c r="AN525" s="7"/>
      <c r="AO525" s="7"/>
      <c r="AP525" s="7"/>
      <c r="AQ525" s="7"/>
      <c r="AR525" s="7"/>
      <c r="AS525" s="7"/>
      <c r="AT525" s="7"/>
      <c r="AU525" s="7"/>
      <c r="AV525" s="7"/>
      <c r="AW525" s="7"/>
      <c r="AX525" s="7"/>
      <c r="AY525" s="7"/>
      <c r="AZ525" s="7"/>
      <c r="BA525" s="7"/>
      <c r="BB525" s="7"/>
      <c r="BC525" s="7"/>
      <c r="BD525" s="18"/>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105"/>
    </row>
    <row r="526" spans="1:121" s="15" customFormat="1" x14ac:dyDescent="0.2">
      <c r="A526" s="20"/>
      <c r="C526" s="102"/>
      <c r="AI526" s="7"/>
      <c r="AJ526" s="7"/>
      <c r="AK526" s="7"/>
      <c r="AL526" s="7"/>
      <c r="AM526" s="7"/>
      <c r="AN526" s="7"/>
      <c r="AO526" s="7"/>
      <c r="AP526" s="7"/>
      <c r="AQ526" s="7"/>
      <c r="AR526" s="7"/>
      <c r="AS526" s="7"/>
      <c r="AT526" s="7"/>
      <c r="AU526" s="7"/>
      <c r="AV526" s="7"/>
      <c r="AW526" s="7"/>
      <c r="AX526" s="7"/>
      <c r="AY526" s="7"/>
      <c r="AZ526" s="7"/>
      <c r="BA526" s="7"/>
      <c r="BB526" s="7"/>
      <c r="BC526" s="7"/>
      <c r="BD526" s="18"/>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105"/>
    </row>
    <row r="527" spans="1:121" s="15" customFormat="1" x14ac:dyDescent="0.2">
      <c r="A527" s="20"/>
      <c r="C527" s="102"/>
      <c r="AI527" s="7"/>
      <c r="AJ527" s="7"/>
      <c r="AK527" s="7"/>
      <c r="AL527" s="7"/>
      <c r="AM527" s="7"/>
      <c r="AN527" s="7"/>
      <c r="AO527" s="7"/>
      <c r="AP527" s="7"/>
      <c r="AQ527" s="7"/>
      <c r="AR527" s="7"/>
      <c r="AS527" s="7"/>
      <c r="AT527" s="7"/>
      <c r="AU527" s="7"/>
      <c r="AV527" s="7"/>
      <c r="AW527" s="7"/>
      <c r="AX527" s="7"/>
      <c r="AY527" s="7"/>
      <c r="AZ527" s="7"/>
      <c r="BA527" s="7"/>
      <c r="BB527" s="7"/>
      <c r="BC527" s="7"/>
      <c r="BD527" s="18"/>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105"/>
    </row>
    <row r="528" spans="1:121" s="15" customFormat="1" x14ac:dyDescent="0.2">
      <c r="A528" s="20"/>
      <c r="C528" s="102"/>
      <c r="AI528" s="7"/>
      <c r="AJ528" s="7"/>
      <c r="AK528" s="7"/>
      <c r="AL528" s="7"/>
      <c r="AM528" s="7"/>
      <c r="AN528" s="7"/>
      <c r="AO528" s="7"/>
      <c r="AP528" s="7"/>
      <c r="AQ528" s="7"/>
      <c r="AR528" s="7"/>
      <c r="AS528" s="7"/>
      <c r="AT528" s="7"/>
      <c r="AU528" s="7"/>
      <c r="AV528" s="7"/>
      <c r="AW528" s="7"/>
      <c r="AX528" s="7"/>
      <c r="AY528" s="7"/>
      <c r="AZ528" s="7"/>
      <c r="BA528" s="7"/>
      <c r="BB528" s="7"/>
      <c r="BC528" s="7"/>
      <c r="BD528" s="18"/>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105"/>
    </row>
    <row r="529" spans="1:121" s="15" customFormat="1" x14ac:dyDescent="0.2">
      <c r="A529" s="20"/>
      <c r="C529" s="102"/>
      <c r="AI529" s="7"/>
      <c r="AJ529" s="7"/>
      <c r="AK529" s="7"/>
      <c r="AL529" s="7"/>
      <c r="AM529" s="7"/>
      <c r="AN529" s="7"/>
      <c r="AO529" s="7"/>
      <c r="AP529" s="7"/>
      <c r="AQ529" s="7"/>
      <c r="AR529" s="7"/>
      <c r="AS529" s="7"/>
      <c r="AT529" s="7"/>
      <c r="AU529" s="7"/>
      <c r="AV529" s="7"/>
      <c r="AW529" s="7"/>
      <c r="AX529" s="7"/>
      <c r="AY529" s="7"/>
      <c r="AZ529" s="7"/>
      <c r="BA529" s="7"/>
      <c r="BB529" s="7"/>
      <c r="BC529" s="7"/>
      <c r="BD529" s="18"/>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105"/>
    </row>
    <row r="530" spans="1:121" s="15" customFormat="1" x14ac:dyDescent="0.2">
      <c r="A530" s="20"/>
      <c r="C530" s="102"/>
      <c r="AI530" s="7"/>
      <c r="AJ530" s="7"/>
      <c r="AK530" s="7"/>
      <c r="AL530" s="7"/>
      <c r="AM530" s="7"/>
      <c r="AN530" s="7"/>
      <c r="AO530" s="7"/>
      <c r="AP530" s="7"/>
      <c r="AQ530" s="7"/>
      <c r="AR530" s="7"/>
      <c r="AS530" s="7"/>
      <c r="AT530" s="7"/>
      <c r="AU530" s="7"/>
      <c r="AV530" s="7"/>
      <c r="AW530" s="7"/>
      <c r="AX530" s="7"/>
      <c r="AY530" s="7"/>
      <c r="AZ530" s="7"/>
      <c r="BA530" s="7"/>
      <c r="BB530" s="7"/>
      <c r="BC530" s="7"/>
      <c r="BD530" s="18"/>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105"/>
    </row>
    <row r="531" spans="1:121" s="15" customFormat="1" x14ac:dyDescent="0.2">
      <c r="A531" s="20"/>
      <c r="C531" s="102"/>
      <c r="AI531" s="7"/>
      <c r="AJ531" s="7"/>
      <c r="AK531" s="7"/>
      <c r="AL531" s="7"/>
      <c r="AM531" s="7"/>
      <c r="AN531" s="7"/>
      <c r="AO531" s="7"/>
      <c r="AP531" s="7"/>
      <c r="AQ531" s="7"/>
      <c r="AR531" s="7"/>
      <c r="AS531" s="7"/>
      <c r="AT531" s="7"/>
      <c r="AU531" s="7"/>
      <c r="AV531" s="7"/>
      <c r="AW531" s="7"/>
      <c r="AX531" s="7"/>
      <c r="AY531" s="7"/>
      <c r="AZ531" s="7"/>
      <c r="BA531" s="7"/>
      <c r="BB531" s="7"/>
      <c r="BC531" s="7"/>
      <c r="BD531" s="18"/>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105"/>
    </row>
    <row r="532" spans="1:121" s="15" customFormat="1" x14ac:dyDescent="0.2">
      <c r="A532" s="20"/>
      <c r="C532" s="102"/>
      <c r="AI532" s="7"/>
      <c r="AJ532" s="7"/>
      <c r="AK532" s="7"/>
      <c r="AL532" s="7"/>
      <c r="AM532" s="7"/>
      <c r="AN532" s="7"/>
      <c r="AO532" s="7"/>
      <c r="AP532" s="7"/>
      <c r="AQ532" s="7"/>
      <c r="AR532" s="7"/>
      <c r="AS532" s="7"/>
      <c r="AT532" s="7"/>
      <c r="AU532" s="7"/>
      <c r="AV532" s="7"/>
      <c r="AW532" s="7"/>
      <c r="AX532" s="7"/>
      <c r="AY532" s="7"/>
      <c r="AZ532" s="7"/>
      <c r="BA532" s="7"/>
      <c r="BB532" s="7"/>
      <c r="BC532" s="7"/>
      <c r="BD532" s="18"/>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105"/>
    </row>
    <row r="533" spans="1:121" s="15" customFormat="1" x14ac:dyDescent="0.2">
      <c r="A533" s="20"/>
      <c r="C533" s="102"/>
      <c r="AI533" s="7"/>
      <c r="AJ533" s="7"/>
      <c r="AK533" s="7"/>
      <c r="AL533" s="7"/>
      <c r="AM533" s="7"/>
      <c r="AN533" s="7"/>
      <c r="AO533" s="7"/>
      <c r="AP533" s="7"/>
      <c r="AQ533" s="7"/>
      <c r="AR533" s="7"/>
      <c r="AS533" s="7"/>
      <c r="AT533" s="7"/>
      <c r="AU533" s="7"/>
      <c r="AV533" s="7"/>
      <c r="AW533" s="7"/>
      <c r="AX533" s="7"/>
      <c r="AY533" s="7"/>
      <c r="AZ533" s="7"/>
      <c r="BA533" s="7"/>
      <c r="BB533" s="7"/>
      <c r="BC533" s="7"/>
      <c r="BD533" s="18"/>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c r="DL533" s="7"/>
      <c r="DM533" s="7"/>
      <c r="DN533" s="7"/>
      <c r="DO533" s="7"/>
      <c r="DP533" s="7"/>
      <c r="DQ533" s="105"/>
    </row>
    <row r="534" spans="1:121" s="15" customFormat="1" x14ac:dyDescent="0.2">
      <c r="A534" s="20"/>
      <c r="C534" s="102"/>
      <c r="AI534" s="7"/>
      <c r="AJ534" s="7"/>
      <c r="AK534" s="7"/>
      <c r="AL534" s="7"/>
      <c r="AM534" s="7"/>
      <c r="AN534" s="7"/>
      <c r="AO534" s="7"/>
      <c r="AP534" s="7"/>
      <c r="AQ534" s="7"/>
      <c r="AR534" s="7"/>
      <c r="AS534" s="7"/>
      <c r="AT534" s="7"/>
      <c r="AU534" s="7"/>
      <c r="AV534" s="7"/>
      <c r="AW534" s="7"/>
      <c r="AX534" s="7"/>
      <c r="AY534" s="7"/>
      <c r="AZ534" s="7"/>
      <c r="BA534" s="7"/>
      <c r="BB534" s="7"/>
      <c r="BC534" s="7"/>
      <c r="BD534" s="18"/>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c r="DL534" s="7"/>
      <c r="DM534" s="7"/>
      <c r="DN534" s="7"/>
      <c r="DO534" s="7"/>
      <c r="DP534" s="7"/>
      <c r="DQ534" s="105"/>
    </row>
    <row r="535" spans="1:121" s="15" customFormat="1" x14ac:dyDescent="0.2">
      <c r="A535" s="20"/>
      <c r="C535" s="102"/>
      <c r="AI535" s="7"/>
      <c r="AJ535" s="7"/>
      <c r="AK535" s="7"/>
      <c r="AL535" s="7"/>
      <c r="AM535" s="7"/>
      <c r="AN535" s="7"/>
      <c r="AO535" s="7"/>
      <c r="AP535" s="7"/>
      <c r="AQ535" s="7"/>
      <c r="AR535" s="7"/>
      <c r="AS535" s="7"/>
      <c r="AT535" s="7"/>
      <c r="AU535" s="7"/>
      <c r="AV535" s="7"/>
      <c r="AW535" s="7"/>
      <c r="AX535" s="7"/>
      <c r="AY535" s="7"/>
      <c r="AZ535" s="7"/>
      <c r="BA535" s="7"/>
      <c r="BB535" s="7"/>
      <c r="BC535" s="7"/>
      <c r="BD535" s="18"/>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c r="DL535" s="7"/>
      <c r="DM535" s="7"/>
      <c r="DN535" s="7"/>
      <c r="DO535" s="7"/>
      <c r="DP535" s="7"/>
      <c r="DQ535" s="105"/>
    </row>
    <row r="536" spans="1:121" s="15" customFormat="1" x14ac:dyDescent="0.2">
      <c r="A536" s="20"/>
      <c r="C536" s="102"/>
      <c r="AI536" s="7"/>
      <c r="AJ536" s="7"/>
      <c r="AK536" s="7"/>
      <c r="AL536" s="7"/>
      <c r="AM536" s="7"/>
      <c r="AN536" s="7"/>
      <c r="AO536" s="7"/>
      <c r="AP536" s="7"/>
      <c r="AQ536" s="7"/>
      <c r="AR536" s="7"/>
      <c r="AS536" s="7"/>
      <c r="AT536" s="7"/>
      <c r="AU536" s="7"/>
      <c r="AV536" s="7"/>
      <c r="AW536" s="7"/>
      <c r="AX536" s="7"/>
      <c r="AY536" s="7"/>
      <c r="AZ536" s="7"/>
      <c r="BA536" s="7"/>
      <c r="BB536" s="7"/>
      <c r="BC536" s="7"/>
      <c r="BD536" s="18"/>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105"/>
    </row>
    <row r="537" spans="1:121" s="15" customFormat="1" x14ac:dyDescent="0.2">
      <c r="A537" s="20"/>
      <c r="C537" s="102"/>
      <c r="AI537" s="7"/>
      <c r="AJ537" s="7"/>
      <c r="AK537" s="7"/>
      <c r="AL537" s="7"/>
      <c r="AM537" s="7"/>
      <c r="AN537" s="7"/>
      <c r="AO537" s="7"/>
      <c r="AP537" s="7"/>
      <c r="AQ537" s="7"/>
      <c r="AR537" s="7"/>
      <c r="AS537" s="7"/>
      <c r="AT537" s="7"/>
      <c r="AU537" s="7"/>
      <c r="AV537" s="7"/>
      <c r="AW537" s="7"/>
      <c r="AX537" s="7"/>
      <c r="AY537" s="7"/>
      <c r="AZ537" s="7"/>
      <c r="BA537" s="7"/>
      <c r="BB537" s="7"/>
      <c r="BC537" s="7"/>
      <c r="BD537" s="18"/>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105"/>
    </row>
    <row r="538" spans="1:121" s="15" customFormat="1" x14ac:dyDescent="0.2">
      <c r="A538" s="20"/>
      <c r="C538" s="102"/>
      <c r="AI538" s="7"/>
      <c r="AJ538" s="7"/>
      <c r="AK538" s="7"/>
      <c r="AL538" s="7"/>
      <c r="AM538" s="7"/>
      <c r="AN538" s="7"/>
      <c r="AO538" s="7"/>
      <c r="AP538" s="7"/>
      <c r="AQ538" s="7"/>
      <c r="AR538" s="7"/>
      <c r="AS538" s="7"/>
      <c r="AT538" s="7"/>
      <c r="AU538" s="7"/>
      <c r="AV538" s="7"/>
      <c r="AW538" s="7"/>
      <c r="AX538" s="7"/>
      <c r="AY538" s="7"/>
      <c r="AZ538" s="7"/>
      <c r="BA538" s="7"/>
      <c r="BB538" s="7"/>
      <c r="BC538" s="7"/>
      <c r="BD538" s="18"/>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c r="DL538" s="7"/>
      <c r="DM538" s="7"/>
      <c r="DN538" s="7"/>
      <c r="DO538" s="7"/>
      <c r="DP538" s="7"/>
      <c r="DQ538" s="105"/>
    </row>
    <row r="539" spans="1:121" s="15" customFormat="1" x14ac:dyDescent="0.2">
      <c r="A539" s="20"/>
      <c r="C539" s="102"/>
      <c r="AI539" s="7"/>
      <c r="AJ539" s="7"/>
      <c r="AK539" s="7"/>
      <c r="AL539" s="7"/>
      <c r="AM539" s="7"/>
      <c r="AN539" s="7"/>
      <c r="AO539" s="7"/>
      <c r="AP539" s="7"/>
      <c r="AQ539" s="7"/>
      <c r="AR539" s="7"/>
      <c r="AS539" s="7"/>
      <c r="AT539" s="7"/>
      <c r="AU539" s="7"/>
      <c r="AV539" s="7"/>
      <c r="AW539" s="7"/>
      <c r="AX539" s="7"/>
      <c r="AY539" s="7"/>
      <c r="AZ539" s="7"/>
      <c r="BA539" s="7"/>
      <c r="BB539" s="7"/>
      <c r="BC539" s="7"/>
      <c r="BD539" s="18"/>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105"/>
    </row>
    <row r="540" spans="1:121" s="15" customFormat="1" x14ac:dyDescent="0.2">
      <c r="A540" s="20"/>
      <c r="C540" s="102"/>
      <c r="AI540" s="7"/>
      <c r="AJ540" s="7"/>
      <c r="AK540" s="7"/>
      <c r="AL540" s="7"/>
      <c r="AM540" s="7"/>
      <c r="AN540" s="7"/>
      <c r="AO540" s="7"/>
      <c r="AP540" s="7"/>
      <c r="AQ540" s="7"/>
      <c r="AR540" s="7"/>
      <c r="AS540" s="7"/>
      <c r="AT540" s="7"/>
      <c r="AU540" s="7"/>
      <c r="AV540" s="7"/>
      <c r="AW540" s="7"/>
      <c r="AX540" s="7"/>
      <c r="AY540" s="7"/>
      <c r="AZ540" s="7"/>
      <c r="BA540" s="7"/>
      <c r="BB540" s="7"/>
      <c r="BC540" s="7"/>
      <c r="BD540" s="18"/>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M540" s="7"/>
      <c r="DN540" s="7"/>
      <c r="DO540" s="7"/>
      <c r="DP540" s="7"/>
      <c r="DQ540" s="105"/>
    </row>
    <row r="541" spans="1:121" s="15" customFormat="1" x14ac:dyDescent="0.2">
      <c r="A541" s="20"/>
      <c r="C541" s="102"/>
      <c r="AI541" s="7"/>
      <c r="AJ541" s="7"/>
      <c r="AK541" s="7"/>
      <c r="AL541" s="7"/>
      <c r="AM541" s="7"/>
      <c r="AN541" s="7"/>
      <c r="AO541" s="7"/>
      <c r="AP541" s="7"/>
      <c r="AQ541" s="7"/>
      <c r="AR541" s="7"/>
      <c r="AS541" s="7"/>
      <c r="AT541" s="7"/>
      <c r="AU541" s="7"/>
      <c r="AV541" s="7"/>
      <c r="AW541" s="7"/>
      <c r="AX541" s="7"/>
      <c r="AY541" s="7"/>
      <c r="AZ541" s="7"/>
      <c r="BA541" s="7"/>
      <c r="BB541" s="7"/>
      <c r="BC541" s="7"/>
      <c r="BD541" s="18"/>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105"/>
    </row>
    <row r="542" spans="1:121" s="15" customFormat="1" x14ac:dyDescent="0.2">
      <c r="A542" s="20"/>
      <c r="C542" s="102"/>
      <c r="AI542" s="7"/>
      <c r="AJ542" s="7"/>
      <c r="AK542" s="7"/>
      <c r="AL542" s="7"/>
      <c r="AM542" s="7"/>
      <c r="AN542" s="7"/>
      <c r="AO542" s="7"/>
      <c r="AP542" s="7"/>
      <c r="AQ542" s="7"/>
      <c r="AR542" s="7"/>
      <c r="AS542" s="7"/>
      <c r="AT542" s="7"/>
      <c r="AU542" s="7"/>
      <c r="AV542" s="7"/>
      <c r="AW542" s="7"/>
      <c r="AX542" s="7"/>
      <c r="AY542" s="7"/>
      <c r="AZ542" s="7"/>
      <c r="BA542" s="7"/>
      <c r="BB542" s="7"/>
      <c r="BC542" s="7"/>
      <c r="BD542" s="18"/>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105"/>
    </row>
    <row r="543" spans="1:121" s="15" customFormat="1" x14ac:dyDescent="0.2">
      <c r="A543" s="20"/>
      <c r="C543" s="102"/>
      <c r="AI543" s="7"/>
      <c r="AJ543" s="7"/>
      <c r="AK543" s="7"/>
      <c r="AL543" s="7"/>
      <c r="AM543" s="7"/>
      <c r="AN543" s="7"/>
      <c r="AO543" s="7"/>
      <c r="AP543" s="7"/>
      <c r="AQ543" s="7"/>
      <c r="AR543" s="7"/>
      <c r="AS543" s="7"/>
      <c r="AT543" s="7"/>
      <c r="AU543" s="7"/>
      <c r="AV543" s="7"/>
      <c r="AW543" s="7"/>
      <c r="AX543" s="7"/>
      <c r="AY543" s="7"/>
      <c r="AZ543" s="7"/>
      <c r="BA543" s="7"/>
      <c r="BB543" s="7"/>
      <c r="BC543" s="7"/>
      <c r="BD543" s="18"/>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105"/>
    </row>
    <row r="544" spans="1:121" s="15" customFormat="1" x14ac:dyDescent="0.2">
      <c r="A544" s="20"/>
      <c r="C544" s="102"/>
      <c r="AI544" s="7"/>
      <c r="AJ544" s="7"/>
      <c r="AK544" s="7"/>
      <c r="AL544" s="7"/>
      <c r="AM544" s="7"/>
      <c r="AN544" s="7"/>
      <c r="AO544" s="7"/>
      <c r="AP544" s="7"/>
      <c r="AQ544" s="7"/>
      <c r="AR544" s="7"/>
      <c r="AS544" s="7"/>
      <c r="AT544" s="7"/>
      <c r="AU544" s="7"/>
      <c r="AV544" s="7"/>
      <c r="AW544" s="7"/>
      <c r="AX544" s="7"/>
      <c r="AY544" s="7"/>
      <c r="AZ544" s="7"/>
      <c r="BA544" s="7"/>
      <c r="BB544" s="7"/>
      <c r="BC544" s="7"/>
      <c r="BD544" s="18"/>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105"/>
    </row>
    <row r="545" spans="1:121" s="15" customFormat="1" x14ac:dyDescent="0.2">
      <c r="A545" s="20"/>
      <c r="C545" s="102"/>
      <c r="AI545" s="7"/>
      <c r="AJ545" s="7"/>
      <c r="AK545" s="7"/>
      <c r="AL545" s="7"/>
      <c r="AM545" s="7"/>
      <c r="AN545" s="7"/>
      <c r="AO545" s="7"/>
      <c r="AP545" s="7"/>
      <c r="AQ545" s="7"/>
      <c r="AR545" s="7"/>
      <c r="AS545" s="7"/>
      <c r="AT545" s="7"/>
      <c r="AU545" s="7"/>
      <c r="AV545" s="7"/>
      <c r="AW545" s="7"/>
      <c r="AX545" s="7"/>
      <c r="AY545" s="7"/>
      <c r="AZ545" s="7"/>
      <c r="BA545" s="7"/>
      <c r="BB545" s="7"/>
      <c r="BC545" s="7"/>
      <c r="BD545" s="18"/>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105"/>
    </row>
    <row r="546" spans="1:121" s="15" customFormat="1" x14ac:dyDescent="0.2">
      <c r="A546" s="20"/>
      <c r="C546" s="102"/>
      <c r="AI546" s="7"/>
      <c r="AJ546" s="7"/>
      <c r="AK546" s="7"/>
      <c r="AL546" s="7"/>
      <c r="AM546" s="7"/>
      <c r="AN546" s="7"/>
      <c r="AO546" s="7"/>
      <c r="AP546" s="7"/>
      <c r="AQ546" s="7"/>
      <c r="AR546" s="7"/>
      <c r="AS546" s="7"/>
      <c r="AT546" s="7"/>
      <c r="AU546" s="7"/>
      <c r="AV546" s="7"/>
      <c r="AW546" s="7"/>
      <c r="AX546" s="7"/>
      <c r="AY546" s="7"/>
      <c r="AZ546" s="7"/>
      <c r="BA546" s="7"/>
      <c r="BB546" s="7"/>
      <c r="BC546" s="7"/>
      <c r="BD546" s="18"/>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c r="DM546" s="7"/>
      <c r="DN546" s="7"/>
      <c r="DO546" s="7"/>
      <c r="DP546" s="7"/>
      <c r="DQ546" s="105"/>
    </row>
    <row r="547" spans="1:121" s="15" customFormat="1" x14ac:dyDescent="0.2">
      <c r="A547" s="20"/>
      <c r="C547" s="102"/>
      <c r="AI547" s="7"/>
      <c r="AJ547" s="7"/>
      <c r="AK547" s="7"/>
      <c r="AL547" s="7"/>
      <c r="AM547" s="7"/>
      <c r="AN547" s="7"/>
      <c r="AO547" s="7"/>
      <c r="AP547" s="7"/>
      <c r="AQ547" s="7"/>
      <c r="AR547" s="7"/>
      <c r="AS547" s="7"/>
      <c r="AT547" s="7"/>
      <c r="AU547" s="7"/>
      <c r="AV547" s="7"/>
      <c r="AW547" s="7"/>
      <c r="AX547" s="7"/>
      <c r="AY547" s="7"/>
      <c r="AZ547" s="7"/>
      <c r="BA547" s="7"/>
      <c r="BB547" s="7"/>
      <c r="BC547" s="7"/>
      <c r="BD547" s="18"/>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105"/>
    </row>
    <row r="548" spans="1:121" s="15" customFormat="1" x14ac:dyDescent="0.2">
      <c r="A548" s="20"/>
      <c r="C548" s="102"/>
      <c r="AI548" s="7"/>
      <c r="AJ548" s="7"/>
      <c r="AK548" s="7"/>
      <c r="AL548" s="7"/>
      <c r="AM548" s="7"/>
      <c r="AN548" s="7"/>
      <c r="AO548" s="7"/>
      <c r="AP548" s="7"/>
      <c r="AQ548" s="7"/>
      <c r="AR548" s="7"/>
      <c r="AS548" s="7"/>
      <c r="AT548" s="7"/>
      <c r="AU548" s="7"/>
      <c r="AV548" s="7"/>
      <c r="AW548" s="7"/>
      <c r="AX548" s="7"/>
      <c r="AY548" s="7"/>
      <c r="AZ548" s="7"/>
      <c r="BA548" s="7"/>
      <c r="BB548" s="7"/>
      <c r="BC548" s="7"/>
      <c r="BD548" s="18"/>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c r="DM548" s="7"/>
      <c r="DN548" s="7"/>
      <c r="DO548" s="7"/>
      <c r="DP548" s="7"/>
      <c r="DQ548" s="105"/>
    </row>
    <row r="549" spans="1:121" s="15" customFormat="1" x14ac:dyDescent="0.2">
      <c r="A549" s="20"/>
      <c r="C549" s="102"/>
      <c r="AI549" s="7"/>
      <c r="AJ549" s="7"/>
      <c r="AK549" s="7"/>
      <c r="AL549" s="7"/>
      <c r="AM549" s="7"/>
      <c r="AN549" s="7"/>
      <c r="AO549" s="7"/>
      <c r="AP549" s="7"/>
      <c r="AQ549" s="7"/>
      <c r="AR549" s="7"/>
      <c r="AS549" s="7"/>
      <c r="AT549" s="7"/>
      <c r="AU549" s="7"/>
      <c r="AV549" s="7"/>
      <c r="AW549" s="7"/>
      <c r="AX549" s="7"/>
      <c r="AY549" s="7"/>
      <c r="AZ549" s="7"/>
      <c r="BA549" s="7"/>
      <c r="BB549" s="7"/>
      <c r="BC549" s="7"/>
      <c r="BD549" s="18"/>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105"/>
    </row>
    <row r="550" spans="1:121" s="15" customFormat="1" x14ac:dyDescent="0.2">
      <c r="A550" s="20"/>
      <c r="C550" s="102"/>
      <c r="AI550" s="7"/>
      <c r="AJ550" s="7"/>
      <c r="AK550" s="7"/>
      <c r="AL550" s="7"/>
      <c r="AM550" s="7"/>
      <c r="AN550" s="7"/>
      <c r="AO550" s="7"/>
      <c r="AP550" s="7"/>
      <c r="AQ550" s="7"/>
      <c r="AR550" s="7"/>
      <c r="AS550" s="7"/>
      <c r="AT550" s="7"/>
      <c r="AU550" s="7"/>
      <c r="AV550" s="7"/>
      <c r="AW550" s="7"/>
      <c r="AX550" s="7"/>
      <c r="AY550" s="7"/>
      <c r="AZ550" s="7"/>
      <c r="BA550" s="7"/>
      <c r="BB550" s="7"/>
      <c r="BC550" s="7"/>
      <c r="BD550" s="18"/>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105"/>
    </row>
    <row r="551" spans="1:121" s="15" customFormat="1" x14ac:dyDescent="0.2">
      <c r="A551" s="20"/>
      <c r="C551" s="102"/>
      <c r="AI551" s="7"/>
      <c r="AJ551" s="7"/>
      <c r="AK551" s="7"/>
      <c r="AL551" s="7"/>
      <c r="AM551" s="7"/>
      <c r="AN551" s="7"/>
      <c r="AO551" s="7"/>
      <c r="AP551" s="7"/>
      <c r="AQ551" s="7"/>
      <c r="AR551" s="7"/>
      <c r="AS551" s="7"/>
      <c r="AT551" s="7"/>
      <c r="AU551" s="7"/>
      <c r="AV551" s="7"/>
      <c r="AW551" s="7"/>
      <c r="AX551" s="7"/>
      <c r="AY551" s="7"/>
      <c r="AZ551" s="7"/>
      <c r="BA551" s="7"/>
      <c r="BB551" s="7"/>
      <c r="BC551" s="7"/>
      <c r="BD551" s="18"/>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105"/>
    </row>
    <row r="552" spans="1:121" s="15" customFormat="1" x14ac:dyDescent="0.2">
      <c r="A552" s="20"/>
      <c r="C552" s="102"/>
      <c r="AI552" s="7"/>
      <c r="AJ552" s="7"/>
      <c r="AK552" s="7"/>
      <c r="AL552" s="7"/>
      <c r="AM552" s="7"/>
      <c r="AN552" s="7"/>
      <c r="AO552" s="7"/>
      <c r="AP552" s="7"/>
      <c r="AQ552" s="7"/>
      <c r="AR552" s="7"/>
      <c r="AS552" s="7"/>
      <c r="AT552" s="7"/>
      <c r="AU552" s="7"/>
      <c r="AV552" s="7"/>
      <c r="AW552" s="7"/>
      <c r="AX552" s="7"/>
      <c r="AY552" s="7"/>
      <c r="AZ552" s="7"/>
      <c r="BA552" s="7"/>
      <c r="BB552" s="7"/>
      <c r="BC552" s="7"/>
      <c r="BD552" s="18"/>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105"/>
    </row>
    <row r="553" spans="1:121" s="15" customFormat="1" x14ac:dyDescent="0.2">
      <c r="A553" s="20"/>
      <c r="C553" s="102"/>
      <c r="AI553" s="7"/>
      <c r="AJ553" s="7"/>
      <c r="AK553" s="7"/>
      <c r="AL553" s="7"/>
      <c r="AM553" s="7"/>
      <c r="AN553" s="7"/>
      <c r="AO553" s="7"/>
      <c r="AP553" s="7"/>
      <c r="AQ553" s="7"/>
      <c r="AR553" s="7"/>
      <c r="AS553" s="7"/>
      <c r="AT553" s="7"/>
      <c r="AU553" s="7"/>
      <c r="AV553" s="7"/>
      <c r="AW553" s="7"/>
      <c r="AX553" s="7"/>
      <c r="AY553" s="7"/>
      <c r="AZ553" s="7"/>
      <c r="BA553" s="7"/>
      <c r="BB553" s="7"/>
      <c r="BC553" s="7"/>
      <c r="BD553" s="18"/>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105"/>
    </row>
    <row r="554" spans="1:121" s="15" customFormat="1" x14ac:dyDescent="0.2">
      <c r="A554" s="20"/>
      <c r="C554" s="102"/>
      <c r="AI554" s="7"/>
      <c r="AJ554" s="7"/>
      <c r="AK554" s="7"/>
      <c r="AL554" s="7"/>
      <c r="AM554" s="7"/>
      <c r="AN554" s="7"/>
      <c r="AO554" s="7"/>
      <c r="AP554" s="7"/>
      <c r="AQ554" s="7"/>
      <c r="AR554" s="7"/>
      <c r="AS554" s="7"/>
      <c r="AT554" s="7"/>
      <c r="AU554" s="7"/>
      <c r="AV554" s="7"/>
      <c r="AW554" s="7"/>
      <c r="AX554" s="7"/>
      <c r="AY554" s="7"/>
      <c r="AZ554" s="7"/>
      <c r="BA554" s="7"/>
      <c r="BB554" s="7"/>
      <c r="BC554" s="7"/>
      <c r="BD554" s="18"/>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105"/>
    </row>
    <row r="555" spans="1:121" s="15" customFormat="1" x14ac:dyDescent="0.2">
      <c r="A555" s="20"/>
      <c r="C555" s="102"/>
      <c r="AI555" s="7"/>
      <c r="AJ555" s="7"/>
      <c r="AK555" s="7"/>
      <c r="AL555" s="7"/>
      <c r="AM555" s="7"/>
      <c r="AN555" s="7"/>
      <c r="AO555" s="7"/>
      <c r="AP555" s="7"/>
      <c r="AQ555" s="7"/>
      <c r="AR555" s="7"/>
      <c r="AS555" s="7"/>
      <c r="AT555" s="7"/>
      <c r="AU555" s="7"/>
      <c r="AV555" s="7"/>
      <c r="AW555" s="7"/>
      <c r="AX555" s="7"/>
      <c r="AY555" s="7"/>
      <c r="AZ555" s="7"/>
      <c r="BA555" s="7"/>
      <c r="BB555" s="7"/>
      <c r="BC555" s="7"/>
      <c r="BD555" s="18"/>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105"/>
    </row>
    <row r="556" spans="1:121" s="15" customFormat="1" x14ac:dyDescent="0.2">
      <c r="A556" s="20"/>
      <c r="C556" s="102"/>
      <c r="AI556" s="7"/>
      <c r="AJ556" s="7"/>
      <c r="AK556" s="7"/>
      <c r="AL556" s="7"/>
      <c r="AM556" s="7"/>
      <c r="AN556" s="7"/>
      <c r="AO556" s="7"/>
      <c r="AP556" s="7"/>
      <c r="AQ556" s="7"/>
      <c r="AR556" s="7"/>
      <c r="AS556" s="7"/>
      <c r="AT556" s="7"/>
      <c r="AU556" s="7"/>
      <c r="AV556" s="7"/>
      <c r="AW556" s="7"/>
      <c r="AX556" s="7"/>
      <c r="AY556" s="7"/>
      <c r="AZ556" s="7"/>
      <c r="BA556" s="7"/>
      <c r="BB556" s="7"/>
      <c r="BC556" s="7"/>
      <c r="BD556" s="18"/>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105"/>
    </row>
    <row r="557" spans="1:121" s="15" customFormat="1" x14ac:dyDescent="0.2">
      <c r="A557" s="20"/>
      <c r="C557" s="102"/>
      <c r="AI557" s="7"/>
      <c r="AJ557" s="7"/>
      <c r="AK557" s="7"/>
      <c r="AL557" s="7"/>
      <c r="AM557" s="7"/>
      <c r="AN557" s="7"/>
      <c r="AO557" s="7"/>
      <c r="AP557" s="7"/>
      <c r="AQ557" s="7"/>
      <c r="AR557" s="7"/>
      <c r="AS557" s="7"/>
      <c r="AT557" s="7"/>
      <c r="AU557" s="7"/>
      <c r="AV557" s="7"/>
      <c r="AW557" s="7"/>
      <c r="AX557" s="7"/>
      <c r="AY557" s="7"/>
      <c r="AZ557" s="7"/>
      <c r="BA557" s="7"/>
      <c r="BB557" s="7"/>
      <c r="BC557" s="7"/>
      <c r="BD557" s="18"/>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c r="DL557" s="7"/>
      <c r="DM557" s="7"/>
      <c r="DN557" s="7"/>
      <c r="DO557" s="7"/>
      <c r="DP557" s="7"/>
      <c r="DQ557" s="105"/>
    </row>
    <row r="558" spans="1:121" s="15" customFormat="1" x14ac:dyDescent="0.2">
      <c r="A558" s="20"/>
      <c r="C558" s="102"/>
      <c r="AI558" s="7"/>
      <c r="AJ558" s="7"/>
      <c r="AK558" s="7"/>
      <c r="AL558" s="7"/>
      <c r="AM558" s="7"/>
      <c r="AN558" s="7"/>
      <c r="AO558" s="7"/>
      <c r="AP558" s="7"/>
      <c r="AQ558" s="7"/>
      <c r="AR558" s="7"/>
      <c r="AS558" s="7"/>
      <c r="AT558" s="7"/>
      <c r="AU558" s="7"/>
      <c r="AV558" s="7"/>
      <c r="AW558" s="7"/>
      <c r="AX558" s="7"/>
      <c r="AY558" s="7"/>
      <c r="AZ558" s="7"/>
      <c r="BA558" s="7"/>
      <c r="BB558" s="7"/>
      <c r="BC558" s="7"/>
      <c r="BD558" s="18"/>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c r="DL558" s="7"/>
      <c r="DM558" s="7"/>
      <c r="DN558" s="7"/>
      <c r="DO558" s="7"/>
      <c r="DP558" s="7"/>
      <c r="DQ558" s="105"/>
    </row>
    <row r="559" spans="1:121" s="15" customFormat="1" x14ac:dyDescent="0.2">
      <c r="A559" s="20"/>
      <c r="C559" s="102"/>
      <c r="AI559" s="7"/>
      <c r="AJ559" s="7"/>
      <c r="AK559" s="7"/>
      <c r="AL559" s="7"/>
      <c r="AM559" s="7"/>
      <c r="AN559" s="7"/>
      <c r="AO559" s="7"/>
      <c r="AP559" s="7"/>
      <c r="AQ559" s="7"/>
      <c r="AR559" s="7"/>
      <c r="AS559" s="7"/>
      <c r="AT559" s="7"/>
      <c r="AU559" s="7"/>
      <c r="AV559" s="7"/>
      <c r="AW559" s="7"/>
      <c r="AX559" s="7"/>
      <c r="AY559" s="7"/>
      <c r="AZ559" s="7"/>
      <c r="BA559" s="7"/>
      <c r="BB559" s="7"/>
      <c r="BC559" s="7"/>
      <c r="BD559" s="18"/>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c r="DL559" s="7"/>
      <c r="DM559" s="7"/>
      <c r="DN559" s="7"/>
      <c r="DO559" s="7"/>
      <c r="DP559" s="7"/>
      <c r="DQ559" s="105"/>
    </row>
    <row r="560" spans="1:121" s="15" customFormat="1" x14ac:dyDescent="0.2">
      <c r="A560" s="20"/>
      <c r="C560" s="102"/>
      <c r="AI560" s="7"/>
      <c r="AJ560" s="7"/>
      <c r="AK560" s="7"/>
      <c r="AL560" s="7"/>
      <c r="AM560" s="7"/>
      <c r="AN560" s="7"/>
      <c r="AO560" s="7"/>
      <c r="AP560" s="7"/>
      <c r="AQ560" s="7"/>
      <c r="AR560" s="7"/>
      <c r="AS560" s="7"/>
      <c r="AT560" s="7"/>
      <c r="AU560" s="7"/>
      <c r="AV560" s="7"/>
      <c r="AW560" s="7"/>
      <c r="AX560" s="7"/>
      <c r="AY560" s="7"/>
      <c r="AZ560" s="7"/>
      <c r="BA560" s="7"/>
      <c r="BB560" s="7"/>
      <c r="BC560" s="7"/>
      <c r="BD560" s="18"/>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c r="DL560" s="7"/>
      <c r="DM560" s="7"/>
      <c r="DN560" s="7"/>
      <c r="DO560" s="7"/>
      <c r="DP560" s="7"/>
      <c r="DQ560" s="105"/>
    </row>
    <row r="561" spans="1:121" s="15" customFormat="1" x14ac:dyDescent="0.2">
      <c r="A561" s="20"/>
      <c r="C561" s="102"/>
      <c r="AI561" s="7"/>
      <c r="AJ561" s="7"/>
      <c r="AK561" s="7"/>
      <c r="AL561" s="7"/>
      <c r="AM561" s="7"/>
      <c r="AN561" s="7"/>
      <c r="AO561" s="7"/>
      <c r="AP561" s="7"/>
      <c r="AQ561" s="7"/>
      <c r="AR561" s="7"/>
      <c r="AS561" s="7"/>
      <c r="AT561" s="7"/>
      <c r="AU561" s="7"/>
      <c r="AV561" s="7"/>
      <c r="AW561" s="7"/>
      <c r="AX561" s="7"/>
      <c r="AY561" s="7"/>
      <c r="AZ561" s="7"/>
      <c r="BA561" s="7"/>
      <c r="BB561" s="7"/>
      <c r="BC561" s="7"/>
      <c r="BD561" s="18"/>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c r="DL561" s="7"/>
      <c r="DM561" s="7"/>
      <c r="DN561" s="7"/>
      <c r="DO561" s="7"/>
      <c r="DP561" s="7"/>
      <c r="DQ561" s="105"/>
    </row>
    <row r="562" spans="1:121" s="15" customFormat="1" x14ac:dyDescent="0.2">
      <c r="A562" s="20"/>
      <c r="C562" s="102"/>
      <c r="AI562" s="7"/>
      <c r="AJ562" s="7"/>
      <c r="AK562" s="7"/>
      <c r="AL562" s="7"/>
      <c r="AM562" s="7"/>
      <c r="AN562" s="7"/>
      <c r="AO562" s="7"/>
      <c r="AP562" s="7"/>
      <c r="AQ562" s="7"/>
      <c r="AR562" s="7"/>
      <c r="AS562" s="7"/>
      <c r="AT562" s="7"/>
      <c r="AU562" s="7"/>
      <c r="AV562" s="7"/>
      <c r="AW562" s="7"/>
      <c r="AX562" s="7"/>
      <c r="AY562" s="7"/>
      <c r="AZ562" s="7"/>
      <c r="BA562" s="7"/>
      <c r="BB562" s="7"/>
      <c r="BC562" s="7"/>
      <c r="BD562" s="18"/>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c r="DL562" s="7"/>
      <c r="DM562" s="7"/>
      <c r="DN562" s="7"/>
      <c r="DO562" s="7"/>
      <c r="DP562" s="7"/>
      <c r="DQ562" s="105"/>
    </row>
    <row r="563" spans="1:121" s="15" customFormat="1" x14ac:dyDescent="0.2">
      <c r="A563" s="20"/>
      <c r="C563" s="102"/>
      <c r="AI563" s="7"/>
      <c r="AJ563" s="7"/>
      <c r="AK563" s="7"/>
      <c r="AL563" s="7"/>
      <c r="AM563" s="7"/>
      <c r="AN563" s="7"/>
      <c r="AO563" s="7"/>
      <c r="AP563" s="7"/>
      <c r="AQ563" s="7"/>
      <c r="AR563" s="7"/>
      <c r="AS563" s="7"/>
      <c r="AT563" s="7"/>
      <c r="AU563" s="7"/>
      <c r="AV563" s="7"/>
      <c r="AW563" s="7"/>
      <c r="AX563" s="7"/>
      <c r="AY563" s="7"/>
      <c r="AZ563" s="7"/>
      <c r="BA563" s="7"/>
      <c r="BB563" s="7"/>
      <c r="BC563" s="7"/>
      <c r="BD563" s="18"/>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105"/>
    </row>
    <row r="564" spans="1:121" s="15" customFormat="1" x14ac:dyDescent="0.2">
      <c r="A564" s="20"/>
      <c r="C564" s="102"/>
      <c r="AI564" s="7"/>
      <c r="AJ564" s="7"/>
      <c r="AK564" s="7"/>
      <c r="AL564" s="7"/>
      <c r="AM564" s="7"/>
      <c r="AN564" s="7"/>
      <c r="AO564" s="7"/>
      <c r="AP564" s="7"/>
      <c r="AQ564" s="7"/>
      <c r="AR564" s="7"/>
      <c r="AS564" s="7"/>
      <c r="AT564" s="7"/>
      <c r="AU564" s="7"/>
      <c r="AV564" s="7"/>
      <c r="AW564" s="7"/>
      <c r="AX564" s="7"/>
      <c r="AY564" s="7"/>
      <c r="AZ564" s="7"/>
      <c r="BA564" s="7"/>
      <c r="BB564" s="7"/>
      <c r="BC564" s="7"/>
      <c r="BD564" s="18"/>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c r="DL564" s="7"/>
      <c r="DM564" s="7"/>
      <c r="DN564" s="7"/>
      <c r="DO564" s="7"/>
      <c r="DP564" s="7"/>
      <c r="DQ564" s="105"/>
    </row>
    <row r="565" spans="1:121" s="15" customFormat="1" x14ac:dyDescent="0.2">
      <c r="A565" s="20"/>
      <c r="C565" s="102"/>
      <c r="AI565" s="7"/>
      <c r="AJ565" s="7"/>
      <c r="AK565" s="7"/>
      <c r="AL565" s="7"/>
      <c r="AM565" s="7"/>
      <c r="AN565" s="7"/>
      <c r="AO565" s="7"/>
      <c r="AP565" s="7"/>
      <c r="AQ565" s="7"/>
      <c r="AR565" s="7"/>
      <c r="AS565" s="7"/>
      <c r="AT565" s="7"/>
      <c r="AU565" s="7"/>
      <c r="AV565" s="7"/>
      <c r="AW565" s="7"/>
      <c r="AX565" s="7"/>
      <c r="AY565" s="7"/>
      <c r="AZ565" s="7"/>
      <c r="BA565" s="7"/>
      <c r="BB565" s="7"/>
      <c r="BC565" s="7"/>
      <c r="BD565" s="18"/>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c r="DL565" s="7"/>
      <c r="DM565" s="7"/>
      <c r="DN565" s="7"/>
      <c r="DO565" s="7"/>
      <c r="DP565" s="7"/>
      <c r="DQ565" s="105"/>
    </row>
    <row r="566" spans="1:121" s="15" customFormat="1" x14ac:dyDescent="0.2">
      <c r="A566" s="20"/>
      <c r="C566" s="102"/>
      <c r="AI566" s="7"/>
      <c r="AJ566" s="7"/>
      <c r="AK566" s="7"/>
      <c r="AL566" s="7"/>
      <c r="AM566" s="7"/>
      <c r="AN566" s="7"/>
      <c r="AO566" s="7"/>
      <c r="AP566" s="7"/>
      <c r="AQ566" s="7"/>
      <c r="AR566" s="7"/>
      <c r="AS566" s="7"/>
      <c r="AT566" s="7"/>
      <c r="AU566" s="7"/>
      <c r="AV566" s="7"/>
      <c r="AW566" s="7"/>
      <c r="AX566" s="7"/>
      <c r="AY566" s="7"/>
      <c r="AZ566" s="7"/>
      <c r="BA566" s="7"/>
      <c r="BB566" s="7"/>
      <c r="BC566" s="7"/>
      <c r="BD566" s="18"/>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c r="DL566" s="7"/>
      <c r="DM566" s="7"/>
      <c r="DN566" s="7"/>
      <c r="DO566" s="7"/>
      <c r="DP566" s="7"/>
      <c r="DQ566" s="105"/>
    </row>
    <row r="567" spans="1:121" s="15" customFormat="1" x14ac:dyDescent="0.2">
      <c r="A567" s="20"/>
      <c r="C567" s="102"/>
      <c r="AI567" s="7"/>
      <c r="AJ567" s="7"/>
      <c r="AK567" s="7"/>
      <c r="AL567" s="7"/>
      <c r="AM567" s="7"/>
      <c r="AN567" s="7"/>
      <c r="AO567" s="7"/>
      <c r="AP567" s="7"/>
      <c r="AQ567" s="7"/>
      <c r="AR567" s="7"/>
      <c r="AS567" s="7"/>
      <c r="AT567" s="7"/>
      <c r="AU567" s="7"/>
      <c r="AV567" s="7"/>
      <c r="AW567" s="7"/>
      <c r="AX567" s="7"/>
      <c r="AY567" s="7"/>
      <c r="AZ567" s="7"/>
      <c r="BA567" s="7"/>
      <c r="BB567" s="7"/>
      <c r="BC567" s="7"/>
      <c r="BD567" s="18"/>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c r="DL567" s="7"/>
      <c r="DM567" s="7"/>
      <c r="DN567" s="7"/>
      <c r="DO567" s="7"/>
      <c r="DP567" s="7"/>
      <c r="DQ567" s="105"/>
    </row>
    <row r="568" spans="1:121" s="15" customFormat="1" x14ac:dyDescent="0.2">
      <c r="A568" s="20"/>
      <c r="C568" s="102"/>
      <c r="AI568" s="7"/>
      <c r="AJ568" s="7"/>
      <c r="AK568" s="7"/>
      <c r="AL568" s="7"/>
      <c r="AM568" s="7"/>
      <c r="AN568" s="7"/>
      <c r="AO568" s="7"/>
      <c r="AP568" s="7"/>
      <c r="AQ568" s="7"/>
      <c r="AR568" s="7"/>
      <c r="AS568" s="7"/>
      <c r="AT568" s="7"/>
      <c r="AU568" s="7"/>
      <c r="AV568" s="7"/>
      <c r="AW568" s="7"/>
      <c r="AX568" s="7"/>
      <c r="AY568" s="7"/>
      <c r="AZ568" s="7"/>
      <c r="BA568" s="7"/>
      <c r="BB568" s="7"/>
      <c r="BC568" s="7"/>
      <c r="BD568" s="18"/>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105"/>
    </row>
    <row r="569" spans="1:121" s="15" customFormat="1" x14ac:dyDescent="0.2">
      <c r="A569" s="20"/>
      <c r="C569" s="102"/>
      <c r="AI569" s="7"/>
      <c r="AJ569" s="7"/>
      <c r="AK569" s="7"/>
      <c r="AL569" s="7"/>
      <c r="AM569" s="7"/>
      <c r="AN569" s="7"/>
      <c r="AO569" s="7"/>
      <c r="AP569" s="7"/>
      <c r="AQ569" s="7"/>
      <c r="AR569" s="7"/>
      <c r="AS569" s="7"/>
      <c r="AT569" s="7"/>
      <c r="AU569" s="7"/>
      <c r="AV569" s="7"/>
      <c r="AW569" s="7"/>
      <c r="AX569" s="7"/>
      <c r="AY569" s="7"/>
      <c r="AZ569" s="7"/>
      <c r="BA569" s="7"/>
      <c r="BB569" s="7"/>
      <c r="BC569" s="7"/>
      <c r="BD569" s="18"/>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105"/>
    </row>
    <row r="570" spans="1:121" s="15" customFormat="1" x14ac:dyDescent="0.2">
      <c r="A570" s="20"/>
      <c r="C570" s="102"/>
      <c r="AI570" s="7"/>
      <c r="AJ570" s="7"/>
      <c r="AK570" s="7"/>
      <c r="AL570" s="7"/>
      <c r="AM570" s="7"/>
      <c r="AN570" s="7"/>
      <c r="AO570" s="7"/>
      <c r="AP570" s="7"/>
      <c r="AQ570" s="7"/>
      <c r="AR570" s="7"/>
      <c r="AS570" s="7"/>
      <c r="AT570" s="7"/>
      <c r="AU570" s="7"/>
      <c r="AV570" s="7"/>
      <c r="AW570" s="7"/>
      <c r="AX570" s="7"/>
      <c r="AY570" s="7"/>
      <c r="AZ570" s="7"/>
      <c r="BA570" s="7"/>
      <c r="BB570" s="7"/>
      <c r="BC570" s="7"/>
      <c r="BD570" s="18"/>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105"/>
    </row>
    <row r="571" spans="1:121" s="15" customFormat="1" x14ac:dyDescent="0.2">
      <c r="A571" s="20"/>
      <c r="C571" s="102"/>
      <c r="AI571" s="7"/>
      <c r="AJ571" s="7"/>
      <c r="AK571" s="7"/>
      <c r="AL571" s="7"/>
      <c r="AM571" s="7"/>
      <c r="AN571" s="7"/>
      <c r="AO571" s="7"/>
      <c r="AP571" s="7"/>
      <c r="AQ571" s="7"/>
      <c r="AR571" s="7"/>
      <c r="AS571" s="7"/>
      <c r="AT571" s="7"/>
      <c r="AU571" s="7"/>
      <c r="AV571" s="7"/>
      <c r="AW571" s="7"/>
      <c r="AX571" s="7"/>
      <c r="AY571" s="7"/>
      <c r="AZ571" s="7"/>
      <c r="BA571" s="7"/>
      <c r="BB571" s="7"/>
      <c r="BC571" s="7"/>
      <c r="BD571" s="18"/>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105"/>
    </row>
    <row r="572" spans="1:121" s="15" customFormat="1" x14ac:dyDescent="0.2">
      <c r="A572" s="20"/>
      <c r="C572" s="102"/>
      <c r="AI572" s="7"/>
      <c r="AJ572" s="7"/>
      <c r="AK572" s="7"/>
      <c r="AL572" s="7"/>
      <c r="AM572" s="7"/>
      <c r="AN572" s="7"/>
      <c r="AO572" s="7"/>
      <c r="AP572" s="7"/>
      <c r="AQ572" s="7"/>
      <c r="AR572" s="7"/>
      <c r="AS572" s="7"/>
      <c r="AT572" s="7"/>
      <c r="AU572" s="7"/>
      <c r="AV572" s="7"/>
      <c r="AW572" s="7"/>
      <c r="AX572" s="7"/>
      <c r="AY572" s="7"/>
      <c r="AZ572" s="7"/>
      <c r="BA572" s="7"/>
      <c r="BB572" s="7"/>
      <c r="BC572" s="7"/>
      <c r="BD572" s="18"/>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105"/>
    </row>
    <row r="573" spans="1:121" s="15" customFormat="1" x14ac:dyDescent="0.2">
      <c r="A573" s="20"/>
      <c r="C573" s="102"/>
      <c r="AI573" s="7"/>
      <c r="AJ573" s="7"/>
      <c r="AK573" s="7"/>
      <c r="AL573" s="7"/>
      <c r="AM573" s="7"/>
      <c r="AN573" s="7"/>
      <c r="AO573" s="7"/>
      <c r="AP573" s="7"/>
      <c r="AQ573" s="7"/>
      <c r="AR573" s="7"/>
      <c r="AS573" s="7"/>
      <c r="AT573" s="7"/>
      <c r="AU573" s="7"/>
      <c r="AV573" s="7"/>
      <c r="AW573" s="7"/>
      <c r="AX573" s="7"/>
      <c r="AY573" s="7"/>
      <c r="AZ573" s="7"/>
      <c r="BA573" s="7"/>
      <c r="BB573" s="7"/>
      <c r="BC573" s="7"/>
      <c r="BD573" s="18"/>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105"/>
    </row>
    <row r="574" spans="1:121" s="15" customFormat="1" x14ac:dyDescent="0.2">
      <c r="A574" s="20"/>
      <c r="C574" s="102"/>
      <c r="AI574" s="7"/>
      <c r="AJ574" s="7"/>
      <c r="AK574" s="7"/>
      <c r="AL574" s="7"/>
      <c r="AM574" s="7"/>
      <c r="AN574" s="7"/>
      <c r="AO574" s="7"/>
      <c r="AP574" s="7"/>
      <c r="AQ574" s="7"/>
      <c r="AR574" s="7"/>
      <c r="AS574" s="7"/>
      <c r="AT574" s="7"/>
      <c r="AU574" s="7"/>
      <c r="AV574" s="7"/>
      <c r="AW574" s="7"/>
      <c r="AX574" s="7"/>
      <c r="AY574" s="7"/>
      <c r="AZ574" s="7"/>
      <c r="BA574" s="7"/>
      <c r="BB574" s="7"/>
      <c r="BC574" s="7"/>
      <c r="BD574" s="18"/>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105"/>
    </row>
    <row r="575" spans="1:121" s="15" customFormat="1" x14ac:dyDescent="0.2">
      <c r="A575" s="20"/>
      <c r="C575" s="102"/>
      <c r="AI575" s="7"/>
      <c r="AJ575" s="7"/>
      <c r="AK575" s="7"/>
      <c r="AL575" s="7"/>
      <c r="AM575" s="7"/>
      <c r="AN575" s="7"/>
      <c r="AO575" s="7"/>
      <c r="AP575" s="7"/>
      <c r="AQ575" s="7"/>
      <c r="AR575" s="7"/>
      <c r="AS575" s="7"/>
      <c r="AT575" s="7"/>
      <c r="AU575" s="7"/>
      <c r="AV575" s="7"/>
      <c r="AW575" s="7"/>
      <c r="AX575" s="7"/>
      <c r="AY575" s="7"/>
      <c r="AZ575" s="7"/>
      <c r="BA575" s="7"/>
      <c r="BB575" s="7"/>
      <c r="BC575" s="7"/>
      <c r="BD575" s="18"/>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105"/>
    </row>
    <row r="576" spans="1:121" s="15" customFormat="1" x14ac:dyDescent="0.2">
      <c r="A576" s="20"/>
      <c r="C576" s="102"/>
      <c r="AI576" s="7"/>
      <c r="AJ576" s="7"/>
      <c r="AK576" s="7"/>
      <c r="AL576" s="7"/>
      <c r="AM576" s="7"/>
      <c r="AN576" s="7"/>
      <c r="AO576" s="7"/>
      <c r="AP576" s="7"/>
      <c r="AQ576" s="7"/>
      <c r="AR576" s="7"/>
      <c r="AS576" s="7"/>
      <c r="AT576" s="7"/>
      <c r="AU576" s="7"/>
      <c r="AV576" s="7"/>
      <c r="AW576" s="7"/>
      <c r="AX576" s="7"/>
      <c r="AY576" s="7"/>
      <c r="AZ576" s="7"/>
      <c r="BA576" s="7"/>
      <c r="BB576" s="7"/>
      <c r="BC576" s="7"/>
      <c r="BD576" s="18"/>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105"/>
    </row>
    <row r="577" spans="1:121" s="15" customFormat="1" x14ac:dyDescent="0.2">
      <c r="A577" s="20"/>
      <c r="C577" s="102"/>
      <c r="AI577" s="7"/>
      <c r="AJ577" s="7"/>
      <c r="AK577" s="7"/>
      <c r="AL577" s="7"/>
      <c r="AM577" s="7"/>
      <c r="AN577" s="7"/>
      <c r="AO577" s="7"/>
      <c r="AP577" s="7"/>
      <c r="AQ577" s="7"/>
      <c r="AR577" s="7"/>
      <c r="AS577" s="7"/>
      <c r="AT577" s="7"/>
      <c r="AU577" s="7"/>
      <c r="AV577" s="7"/>
      <c r="AW577" s="7"/>
      <c r="AX577" s="7"/>
      <c r="AY577" s="7"/>
      <c r="AZ577" s="7"/>
      <c r="BA577" s="7"/>
      <c r="BB577" s="7"/>
      <c r="BC577" s="7"/>
      <c r="BD577" s="18"/>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105"/>
    </row>
    <row r="578" spans="1:121" s="15" customFormat="1" x14ac:dyDescent="0.2">
      <c r="A578" s="20"/>
      <c r="C578" s="102"/>
      <c r="AI578" s="7"/>
      <c r="AJ578" s="7"/>
      <c r="AK578" s="7"/>
      <c r="AL578" s="7"/>
      <c r="AM578" s="7"/>
      <c r="AN578" s="7"/>
      <c r="AO578" s="7"/>
      <c r="AP578" s="7"/>
      <c r="AQ578" s="7"/>
      <c r="AR578" s="7"/>
      <c r="AS578" s="7"/>
      <c r="AT578" s="7"/>
      <c r="AU578" s="7"/>
      <c r="AV578" s="7"/>
      <c r="AW578" s="7"/>
      <c r="AX578" s="7"/>
      <c r="AY578" s="7"/>
      <c r="AZ578" s="7"/>
      <c r="BA578" s="7"/>
      <c r="BB578" s="7"/>
      <c r="BC578" s="7"/>
      <c r="BD578" s="18"/>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105"/>
    </row>
    <row r="579" spans="1:121" s="15" customFormat="1" x14ac:dyDescent="0.2">
      <c r="A579" s="20"/>
      <c r="C579" s="102"/>
      <c r="AI579" s="7"/>
      <c r="AJ579" s="7"/>
      <c r="AK579" s="7"/>
      <c r="AL579" s="7"/>
      <c r="AM579" s="7"/>
      <c r="AN579" s="7"/>
      <c r="AO579" s="7"/>
      <c r="AP579" s="7"/>
      <c r="AQ579" s="7"/>
      <c r="AR579" s="7"/>
      <c r="AS579" s="7"/>
      <c r="AT579" s="7"/>
      <c r="AU579" s="7"/>
      <c r="AV579" s="7"/>
      <c r="AW579" s="7"/>
      <c r="AX579" s="7"/>
      <c r="AY579" s="7"/>
      <c r="AZ579" s="7"/>
      <c r="BA579" s="7"/>
      <c r="BB579" s="7"/>
      <c r="BC579" s="7"/>
      <c r="BD579" s="18"/>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105"/>
    </row>
    <row r="580" spans="1:121" s="15" customFormat="1" x14ac:dyDescent="0.2">
      <c r="A580" s="20"/>
      <c r="C580" s="102"/>
      <c r="AI580" s="7"/>
      <c r="AJ580" s="7"/>
      <c r="AK580" s="7"/>
      <c r="AL580" s="7"/>
      <c r="AM580" s="7"/>
      <c r="AN580" s="7"/>
      <c r="AO580" s="7"/>
      <c r="AP580" s="7"/>
      <c r="AQ580" s="7"/>
      <c r="AR580" s="7"/>
      <c r="AS580" s="7"/>
      <c r="AT580" s="7"/>
      <c r="AU580" s="7"/>
      <c r="AV580" s="7"/>
      <c r="AW580" s="7"/>
      <c r="AX580" s="7"/>
      <c r="AY580" s="7"/>
      <c r="AZ580" s="7"/>
      <c r="BA580" s="7"/>
      <c r="BB580" s="7"/>
      <c r="BC580" s="7"/>
      <c r="BD580" s="18"/>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105"/>
    </row>
    <row r="581" spans="1:121" s="15" customFormat="1" x14ac:dyDescent="0.2">
      <c r="A581" s="20"/>
      <c r="C581" s="102"/>
      <c r="AI581" s="7"/>
      <c r="AJ581" s="7"/>
      <c r="AK581" s="7"/>
      <c r="AL581" s="7"/>
      <c r="AM581" s="7"/>
      <c r="AN581" s="7"/>
      <c r="AO581" s="7"/>
      <c r="AP581" s="7"/>
      <c r="AQ581" s="7"/>
      <c r="AR581" s="7"/>
      <c r="AS581" s="7"/>
      <c r="AT581" s="7"/>
      <c r="AU581" s="7"/>
      <c r="AV581" s="7"/>
      <c r="AW581" s="7"/>
      <c r="AX581" s="7"/>
      <c r="AY581" s="7"/>
      <c r="AZ581" s="7"/>
      <c r="BA581" s="7"/>
      <c r="BB581" s="7"/>
      <c r="BC581" s="7"/>
      <c r="BD581" s="18"/>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105"/>
    </row>
    <row r="582" spans="1:121" s="15" customFormat="1" x14ac:dyDescent="0.2">
      <c r="A582" s="20"/>
      <c r="C582" s="102"/>
      <c r="AI582" s="7"/>
      <c r="AJ582" s="7"/>
      <c r="AK582" s="7"/>
      <c r="AL582" s="7"/>
      <c r="AM582" s="7"/>
      <c r="AN582" s="7"/>
      <c r="AO582" s="7"/>
      <c r="AP582" s="7"/>
      <c r="AQ582" s="7"/>
      <c r="AR582" s="7"/>
      <c r="AS582" s="7"/>
      <c r="AT582" s="7"/>
      <c r="AU582" s="7"/>
      <c r="AV582" s="7"/>
      <c r="AW582" s="7"/>
      <c r="AX582" s="7"/>
      <c r="AY582" s="7"/>
      <c r="AZ582" s="7"/>
      <c r="BA582" s="7"/>
      <c r="BB582" s="7"/>
      <c r="BC582" s="7"/>
      <c r="BD582" s="18"/>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105"/>
    </row>
    <row r="583" spans="1:121" s="15" customFormat="1" x14ac:dyDescent="0.2">
      <c r="A583" s="20"/>
      <c r="C583" s="102"/>
      <c r="AI583" s="7"/>
      <c r="AJ583" s="7"/>
      <c r="AK583" s="7"/>
      <c r="AL583" s="7"/>
      <c r="AM583" s="7"/>
      <c r="AN583" s="7"/>
      <c r="AO583" s="7"/>
      <c r="AP583" s="7"/>
      <c r="AQ583" s="7"/>
      <c r="AR583" s="7"/>
      <c r="AS583" s="7"/>
      <c r="AT583" s="7"/>
      <c r="AU583" s="7"/>
      <c r="AV583" s="7"/>
      <c r="AW583" s="7"/>
      <c r="AX583" s="7"/>
      <c r="AY583" s="7"/>
      <c r="AZ583" s="7"/>
      <c r="BA583" s="7"/>
      <c r="BB583" s="7"/>
      <c r="BC583" s="7"/>
      <c r="BD583" s="18"/>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105"/>
    </row>
    <row r="584" spans="1:121" s="15" customFormat="1" x14ac:dyDescent="0.2">
      <c r="A584" s="20"/>
      <c r="C584" s="102"/>
      <c r="AI584" s="7"/>
      <c r="AJ584" s="7"/>
      <c r="AK584" s="7"/>
      <c r="AL584" s="7"/>
      <c r="AM584" s="7"/>
      <c r="AN584" s="7"/>
      <c r="AO584" s="7"/>
      <c r="AP584" s="7"/>
      <c r="AQ584" s="7"/>
      <c r="AR584" s="7"/>
      <c r="AS584" s="7"/>
      <c r="AT584" s="7"/>
      <c r="AU584" s="7"/>
      <c r="AV584" s="7"/>
      <c r="AW584" s="7"/>
      <c r="AX584" s="7"/>
      <c r="AY584" s="7"/>
      <c r="AZ584" s="7"/>
      <c r="BA584" s="7"/>
      <c r="BB584" s="7"/>
      <c r="BC584" s="7"/>
      <c r="BD584" s="18"/>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105"/>
    </row>
    <row r="585" spans="1:121" s="15" customFormat="1" x14ac:dyDescent="0.2">
      <c r="A585" s="20"/>
      <c r="C585" s="102"/>
      <c r="AI585" s="7"/>
      <c r="AJ585" s="7"/>
      <c r="AK585" s="7"/>
      <c r="AL585" s="7"/>
      <c r="AM585" s="7"/>
      <c r="AN585" s="7"/>
      <c r="AO585" s="7"/>
      <c r="AP585" s="7"/>
      <c r="AQ585" s="7"/>
      <c r="AR585" s="7"/>
      <c r="AS585" s="7"/>
      <c r="AT585" s="7"/>
      <c r="AU585" s="7"/>
      <c r="AV585" s="7"/>
      <c r="AW585" s="7"/>
      <c r="AX585" s="7"/>
      <c r="AY585" s="7"/>
      <c r="AZ585" s="7"/>
      <c r="BA585" s="7"/>
      <c r="BB585" s="7"/>
      <c r="BC585" s="7"/>
      <c r="BD585" s="18"/>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105"/>
    </row>
    <row r="586" spans="1:121" s="15" customFormat="1" x14ac:dyDescent="0.2">
      <c r="A586" s="20"/>
      <c r="C586" s="102"/>
      <c r="AI586" s="7"/>
      <c r="AJ586" s="7"/>
      <c r="AK586" s="7"/>
      <c r="AL586" s="7"/>
      <c r="AM586" s="7"/>
      <c r="AN586" s="7"/>
      <c r="AO586" s="7"/>
      <c r="AP586" s="7"/>
      <c r="AQ586" s="7"/>
      <c r="AR586" s="7"/>
      <c r="AS586" s="7"/>
      <c r="AT586" s="7"/>
      <c r="AU586" s="7"/>
      <c r="AV586" s="7"/>
      <c r="AW586" s="7"/>
      <c r="AX586" s="7"/>
      <c r="AY586" s="7"/>
      <c r="AZ586" s="7"/>
      <c r="BA586" s="7"/>
      <c r="BB586" s="7"/>
      <c r="BC586" s="7"/>
      <c r="BD586" s="18"/>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105"/>
    </row>
    <row r="587" spans="1:121" s="15" customFormat="1" x14ac:dyDescent="0.2">
      <c r="A587" s="20"/>
      <c r="C587" s="102"/>
      <c r="AI587" s="7"/>
      <c r="AJ587" s="7"/>
      <c r="AK587" s="7"/>
      <c r="AL587" s="7"/>
      <c r="AM587" s="7"/>
      <c r="AN587" s="7"/>
      <c r="AO587" s="7"/>
      <c r="AP587" s="7"/>
      <c r="AQ587" s="7"/>
      <c r="AR587" s="7"/>
      <c r="AS587" s="7"/>
      <c r="AT587" s="7"/>
      <c r="AU587" s="7"/>
      <c r="AV587" s="7"/>
      <c r="AW587" s="7"/>
      <c r="AX587" s="7"/>
      <c r="AY587" s="7"/>
      <c r="AZ587" s="7"/>
      <c r="BA587" s="7"/>
      <c r="BB587" s="7"/>
      <c r="BC587" s="7"/>
      <c r="BD587" s="18"/>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105"/>
    </row>
    <row r="588" spans="1:121" s="15" customFormat="1" x14ac:dyDescent="0.2">
      <c r="A588" s="20"/>
      <c r="C588" s="102"/>
      <c r="AI588" s="7"/>
      <c r="AJ588" s="7"/>
      <c r="AK588" s="7"/>
      <c r="AL588" s="7"/>
      <c r="AM588" s="7"/>
      <c r="AN588" s="7"/>
      <c r="AO588" s="7"/>
      <c r="AP588" s="7"/>
      <c r="AQ588" s="7"/>
      <c r="AR588" s="7"/>
      <c r="AS588" s="7"/>
      <c r="AT588" s="7"/>
      <c r="AU588" s="7"/>
      <c r="AV588" s="7"/>
      <c r="AW588" s="7"/>
      <c r="AX588" s="7"/>
      <c r="AY588" s="7"/>
      <c r="AZ588" s="7"/>
      <c r="BA588" s="7"/>
      <c r="BB588" s="7"/>
      <c r="BC588" s="7"/>
      <c r="BD588" s="18"/>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105"/>
    </row>
    <row r="589" spans="1:121" s="15" customFormat="1" x14ac:dyDescent="0.2">
      <c r="A589" s="20"/>
      <c r="C589" s="102"/>
      <c r="AI589" s="7"/>
      <c r="AJ589" s="7"/>
      <c r="AK589" s="7"/>
      <c r="AL589" s="7"/>
      <c r="AM589" s="7"/>
      <c r="AN589" s="7"/>
      <c r="AO589" s="7"/>
      <c r="AP589" s="7"/>
      <c r="AQ589" s="7"/>
      <c r="AR589" s="7"/>
      <c r="AS589" s="7"/>
      <c r="AT589" s="7"/>
      <c r="AU589" s="7"/>
      <c r="AV589" s="7"/>
      <c r="AW589" s="7"/>
      <c r="AX589" s="7"/>
      <c r="AY589" s="7"/>
      <c r="AZ589" s="7"/>
      <c r="BA589" s="7"/>
      <c r="BB589" s="7"/>
      <c r="BC589" s="7"/>
      <c r="BD589" s="18"/>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105"/>
    </row>
    <row r="590" spans="1:121" s="15" customFormat="1" x14ac:dyDescent="0.2">
      <c r="A590" s="20"/>
      <c r="C590" s="102"/>
      <c r="AI590" s="7"/>
      <c r="AJ590" s="7"/>
      <c r="AK590" s="7"/>
      <c r="AL590" s="7"/>
      <c r="AM590" s="7"/>
      <c r="AN590" s="7"/>
      <c r="AO590" s="7"/>
      <c r="AP590" s="7"/>
      <c r="AQ590" s="7"/>
      <c r="AR590" s="7"/>
      <c r="AS590" s="7"/>
      <c r="AT590" s="7"/>
      <c r="AU590" s="7"/>
      <c r="AV590" s="7"/>
      <c r="AW590" s="7"/>
      <c r="AX590" s="7"/>
      <c r="AY590" s="7"/>
      <c r="AZ590" s="7"/>
      <c r="BA590" s="7"/>
      <c r="BB590" s="7"/>
      <c r="BC590" s="7"/>
      <c r="BD590" s="18"/>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105"/>
    </row>
    <row r="591" spans="1:121" s="15" customFormat="1" x14ac:dyDescent="0.2">
      <c r="A591" s="20"/>
      <c r="C591" s="102"/>
      <c r="AI591" s="7"/>
      <c r="AJ591" s="7"/>
      <c r="AK591" s="7"/>
      <c r="AL591" s="7"/>
      <c r="AM591" s="7"/>
      <c r="AN591" s="7"/>
      <c r="AO591" s="7"/>
      <c r="AP591" s="7"/>
      <c r="AQ591" s="7"/>
      <c r="AR591" s="7"/>
      <c r="AS591" s="7"/>
      <c r="AT591" s="7"/>
      <c r="AU591" s="7"/>
      <c r="AV591" s="7"/>
      <c r="AW591" s="7"/>
      <c r="AX591" s="7"/>
      <c r="AY591" s="7"/>
      <c r="AZ591" s="7"/>
      <c r="BA591" s="7"/>
      <c r="BB591" s="7"/>
      <c r="BC591" s="7"/>
      <c r="BD591" s="18"/>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105"/>
    </row>
    <row r="592" spans="1:121" s="15" customFormat="1" x14ac:dyDescent="0.2">
      <c r="A592" s="20"/>
      <c r="C592" s="102"/>
      <c r="AI592" s="7"/>
      <c r="AJ592" s="7"/>
      <c r="AK592" s="7"/>
      <c r="AL592" s="7"/>
      <c r="AM592" s="7"/>
      <c r="AN592" s="7"/>
      <c r="AO592" s="7"/>
      <c r="AP592" s="7"/>
      <c r="AQ592" s="7"/>
      <c r="AR592" s="7"/>
      <c r="AS592" s="7"/>
      <c r="AT592" s="7"/>
      <c r="AU592" s="7"/>
      <c r="AV592" s="7"/>
      <c r="AW592" s="7"/>
      <c r="AX592" s="7"/>
      <c r="AY592" s="7"/>
      <c r="AZ592" s="7"/>
      <c r="BA592" s="7"/>
      <c r="BB592" s="7"/>
      <c r="BC592" s="7"/>
      <c r="BD592" s="18"/>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105"/>
    </row>
    <row r="593" spans="1:121" s="15" customFormat="1" x14ac:dyDescent="0.2">
      <c r="A593" s="20"/>
      <c r="C593" s="102"/>
      <c r="AI593" s="7"/>
      <c r="AJ593" s="7"/>
      <c r="AK593" s="7"/>
      <c r="AL593" s="7"/>
      <c r="AM593" s="7"/>
      <c r="AN593" s="7"/>
      <c r="AO593" s="7"/>
      <c r="AP593" s="7"/>
      <c r="AQ593" s="7"/>
      <c r="AR593" s="7"/>
      <c r="AS593" s="7"/>
      <c r="AT593" s="7"/>
      <c r="AU593" s="7"/>
      <c r="AV593" s="7"/>
      <c r="AW593" s="7"/>
      <c r="AX593" s="7"/>
      <c r="AY593" s="7"/>
      <c r="AZ593" s="7"/>
      <c r="BA593" s="7"/>
      <c r="BB593" s="7"/>
      <c r="BC593" s="7"/>
      <c r="BD593" s="18"/>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105"/>
    </row>
    <row r="594" spans="1:121" s="15" customFormat="1" x14ac:dyDescent="0.2">
      <c r="A594" s="20"/>
      <c r="C594" s="102"/>
      <c r="AI594" s="7"/>
      <c r="AJ594" s="7"/>
      <c r="AK594" s="7"/>
      <c r="AL594" s="7"/>
      <c r="AM594" s="7"/>
      <c r="AN594" s="7"/>
      <c r="AO594" s="7"/>
      <c r="AP594" s="7"/>
      <c r="AQ594" s="7"/>
      <c r="AR594" s="7"/>
      <c r="AS594" s="7"/>
      <c r="AT594" s="7"/>
      <c r="AU594" s="7"/>
      <c r="AV594" s="7"/>
      <c r="AW594" s="7"/>
      <c r="AX594" s="7"/>
      <c r="AY594" s="7"/>
      <c r="AZ594" s="7"/>
      <c r="BA594" s="7"/>
      <c r="BB594" s="7"/>
      <c r="BC594" s="7"/>
      <c r="BD594" s="18"/>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105"/>
    </row>
    <row r="595" spans="1:121" s="15" customFormat="1" x14ac:dyDescent="0.2">
      <c r="A595" s="20"/>
      <c r="C595" s="102"/>
      <c r="AI595" s="7"/>
      <c r="AJ595" s="7"/>
      <c r="AK595" s="7"/>
      <c r="AL595" s="7"/>
      <c r="AM595" s="7"/>
      <c r="AN595" s="7"/>
      <c r="AO595" s="7"/>
      <c r="AP595" s="7"/>
      <c r="AQ595" s="7"/>
      <c r="AR595" s="7"/>
      <c r="AS595" s="7"/>
      <c r="AT595" s="7"/>
      <c r="AU595" s="7"/>
      <c r="AV595" s="7"/>
      <c r="AW595" s="7"/>
      <c r="AX595" s="7"/>
      <c r="AY595" s="7"/>
      <c r="AZ595" s="7"/>
      <c r="BA595" s="7"/>
      <c r="BB595" s="7"/>
      <c r="BC595" s="7"/>
      <c r="BD595" s="18"/>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105"/>
    </row>
    <row r="596" spans="1:121" s="15" customFormat="1" x14ac:dyDescent="0.2">
      <c r="A596" s="20"/>
      <c r="C596" s="102"/>
      <c r="AI596" s="7"/>
      <c r="AJ596" s="7"/>
      <c r="AK596" s="7"/>
      <c r="AL596" s="7"/>
      <c r="AM596" s="7"/>
      <c r="AN596" s="7"/>
      <c r="AO596" s="7"/>
      <c r="AP596" s="7"/>
      <c r="AQ596" s="7"/>
      <c r="AR596" s="7"/>
      <c r="AS596" s="7"/>
      <c r="AT596" s="7"/>
      <c r="AU596" s="7"/>
      <c r="AV596" s="7"/>
      <c r="AW596" s="7"/>
      <c r="AX596" s="7"/>
      <c r="AY596" s="7"/>
      <c r="AZ596" s="7"/>
      <c r="BA596" s="7"/>
      <c r="BB596" s="7"/>
      <c r="BC596" s="7"/>
      <c r="BD596" s="18"/>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105"/>
    </row>
    <row r="597" spans="1:121" s="15" customFormat="1" x14ac:dyDescent="0.2">
      <c r="A597" s="20"/>
      <c r="C597" s="102"/>
      <c r="AI597" s="7"/>
      <c r="AJ597" s="7"/>
      <c r="AK597" s="7"/>
      <c r="AL597" s="7"/>
      <c r="AM597" s="7"/>
      <c r="AN597" s="7"/>
      <c r="AO597" s="7"/>
      <c r="AP597" s="7"/>
      <c r="AQ597" s="7"/>
      <c r="AR597" s="7"/>
      <c r="AS597" s="7"/>
      <c r="AT597" s="7"/>
      <c r="AU597" s="7"/>
      <c r="AV597" s="7"/>
      <c r="AW597" s="7"/>
      <c r="AX597" s="7"/>
      <c r="AY597" s="7"/>
      <c r="AZ597" s="7"/>
      <c r="BA597" s="7"/>
      <c r="BB597" s="7"/>
      <c r="BC597" s="7"/>
      <c r="BD597" s="18"/>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105"/>
    </row>
    <row r="598" spans="1:121" s="15" customFormat="1" x14ac:dyDescent="0.2">
      <c r="A598" s="20"/>
      <c r="C598" s="102"/>
      <c r="AI598" s="7"/>
      <c r="AJ598" s="7"/>
      <c r="AK598" s="7"/>
      <c r="AL598" s="7"/>
      <c r="AM598" s="7"/>
      <c r="AN598" s="7"/>
      <c r="AO598" s="7"/>
      <c r="AP598" s="7"/>
      <c r="AQ598" s="7"/>
      <c r="AR598" s="7"/>
      <c r="AS598" s="7"/>
      <c r="AT598" s="7"/>
      <c r="AU598" s="7"/>
      <c r="AV598" s="7"/>
      <c r="AW598" s="7"/>
      <c r="AX598" s="7"/>
      <c r="AY598" s="7"/>
      <c r="AZ598" s="7"/>
      <c r="BA598" s="7"/>
      <c r="BB598" s="7"/>
      <c r="BC598" s="7"/>
      <c r="BD598" s="18"/>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c r="DL598" s="7"/>
      <c r="DM598" s="7"/>
      <c r="DN598" s="7"/>
      <c r="DO598" s="7"/>
      <c r="DP598" s="7"/>
      <c r="DQ598" s="105"/>
    </row>
    <row r="599" spans="1:121" s="15" customFormat="1" x14ac:dyDescent="0.2">
      <c r="A599" s="20"/>
      <c r="C599" s="102"/>
      <c r="AI599" s="7"/>
      <c r="AJ599" s="7"/>
      <c r="AK599" s="7"/>
      <c r="AL599" s="7"/>
      <c r="AM599" s="7"/>
      <c r="AN599" s="7"/>
      <c r="AO599" s="7"/>
      <c r="AP599" s="7"/>
      <c r="AQ599" s="7"/>
      <c r="AR599" s="7"/>
      <c r="AS599" s="7"/>
      <c r="AT599" s="7"/>
      <c r="AU599" s="7"/>
      <c r="AV599" s="7"/>
      <c r="AW599" s="7"/>
      <c r="AX599" s="7"/>
      <c r="AY599" s="7"/>
      <c r="AZ599" s="7"/>
      <c r="BA599" s="7"/>
      <c r="BB599" s="7"/>
      <c r="BC599" s="7"/>
      <c r="BD599" s="18"/>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c r="DL599" s="7"/>
      <c r="DM599" s="7"/>
      <c r="DN599" s="7"/>
      <c r="DO599" s="7"/>
      <c r="DP599" s="7"/>
      <c r="DQ599" s="105"/>
    </row>
    <row r="600" spans="1:121" s="15" customFormat="1" x14ac:dyDescent="0.2">
      <c r="A600" s="20"/>
      <c r="C600" s="102"/>
      <c r="AI600" s="7"/>
      <c r="AJ600" s="7"/>
      <c r="AK600" s="7"/>
      <c r="AL600" s="7"/>
      <c r="AM600" s="7"/>
      <c r="AN600" s="7"/>
      <c r="AO600" s="7"/>
      <c r="AP600" s="7"/>
      <c r="AQ600" s="7"/>
      <c r="AR600" s="7"/>
      <c r="AS600" s="7"/>
      <c r="AT600" s="7"/>
      <c r="AU600" s="7"/>
      <c r="AV600" s="7"/>
      <c r="AW600" s="7"/>
      <c r="AX600" s="7"/>
      <c r="AY600" s="7"/>
      <c r="AZ600" s="7"/>
      <c r="BA600" s="7"/>
      <c r="BB600" s="7"/>
      <c r="BC600" s="7"/>
      <c r="BD600" s="18"/>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c r="DL600" s="7"/>
      <c r="DM600" s="7"/>
      <c r="DN600" s="7"/>
      <c r="DO600" s="7"/>
      <c r="DP600" s="7"/>
      <c r="DQ600" s="105"/>
    </row>
    <row r="601" spans="1:121" s="15" customFormat="1" x14ac:dyDescent="0.2">
      <c r="A601" s="20"/>
      <c r="C601" s="102"/>
      <c r="AI601" s="7"/>
      <c r="AJ601" s="7"/>
      <c r="AK601" s="7"/>
      <c r="AL601" s="7"/>
      <c r="AM601" s="7"/>
      <c r="AN601" s="7"/>
      <c r="AO601" s="7"/>
      <c r="AP601" s="7"/>
      <c r="AQ601" s="7"/>
      <c r="AR601" s="7"/>
      <c r="AS601" s="7"/>
      <c r="AT601" s="7"/>
      <c r="AU601" s="7"/>
      <c r="AV601" s="7"/>
      <c r="AW601" s="7"/>
      <c r="AX601" s="7"/>
      <c r="AY601" s="7"/>
      <c r="AZ601" s="7"/>
      <c r="BA601" s="7"/>
      <c r="BB601" s="7"/>
      <c r="BC601" s="7"/>
      <c r="BD601" s="18"/>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c r="DL601" s="7"/>
      <c r="DM601" s="7"/>
      <c r="DN601" s="7"/>
      <c r="DO601" s="7"/>
      <c r="DP601" s="7"/>
      <c r="DQ601" s="105"/>
    </row>
    <row r="602" spans="1:121" s="15" customFormat="1" x14ac:dyDescent="0.2">
      <c r="A602" s="20"/>
      <c r="C602" s="102"/>
      <c r="AI602" s="7"/>
      <c r="AJ602" s="7"/>
      <c r="AK602" s="7"/>
      <c r="AL602" s="7"/>
      <c r="AM602" s="7"/>
      <c r="AN602" s="7"/>
      <c r="AO602" s="7"/>
      <c r="AP602" s="7"/>
      <c r="AQ602" s="7"/>
      <c r="AR602" s="7"/>
      <c r="AS602" s="7"/>
      <c r="AT602" s="7"/>
      <c r="AU602" s="7"/>
      <c r="AV602" s="7"/>
      <c r="AW602" s="7"/>
      <c r="AX602" s="7"/>
      <c r="AY602" s="7"/>
      <c r="AZ602" s="7"/>
      <c r="BA602" s="7"/>
      <c r="BB602" s="7"/>
      <c r="BC602" s="7"/>
      <c r="BD602" s="18"/>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c r="DH602" s="7"/>
      <c r="DI602" s="7"/>
      <c r="DJ602" s="7"/>
      <c r="DK602" s="7"/>
      <c r="DL602" s="7"/>
      <c r="DM602" s="7"/>
      <c r="DN602" s="7"/>
      <c r="DO602" s="7"/>
      <c r="DP602" s="7"/>
      <c r="DQ602" s="105"/>
    </row>
    <row r="603" spans="1:121" s="15" customFormat="1" x14ac:dyDescent="0.2">
      <c r="A603" s="20"/>
      <c r="C603" s="102"/>
      <c r="AI603" s="7"/>
      <c r="AJ603" s="7"/>
      <c r="AK603" s="7"/>
      <c r="AL603" s="7"/>
      <c r="AM603" s="7"/>
      <c r="AN603" s="7"/>
      <c r="AO603" s="7"/>
      <c r="AP603" s="7"/>
      <c r="AQ603" s="7"/>
      <c r="AR603" s="7"/>
      <c r="AS603" s="7"/>
      <c r="AT603" s="7"/>
      <c r="AU603" s="7"/>
      <c r="AV603" s="7"/>
      <c r="AW603" s="7"/>
      <c r="AX603" s="7"/>
      <c r="AY603" s="7"/>
      <c r="AZ603" s="7"/>
      <c r="BA603" s="7"/>
      <c r="BB603" s="7"/>
      <c r="BC603" s="7"/>
      <c r="BD603" s="18"/>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105"/>
    </row>
    <row r="604" spans="1:121" s="15" customFormat="1" x14ac:dyDescent="0.2">
      <c r="A604" s="20"/>
      <c r="C604" s="102"/>
      <c r="AI604" s="7"/>
      <c r="AJ604" s="7"/>
      <c r="AK604" s="7"/>
      <c r="AL604" s="7"/>
      <c r="AM604" s="7"/>
      <c r="AN604" s="7"/>
      <c r="AO604" s="7"/>
      <c r="AP604" s="7"/>
      <c r="AQ604" s="7"/>
      <c r="AR604" s="7"/>
      <c r="AS604" s="7"/>
      <c r="AT604" s="7"/>
      <c r="AU604" s="7"/>
      <c r="AV604" s="7"/>
      <c r="AW604" s="7"/>
      <c r="AX604" s="7"/>
      <c r="AY604" s="7"/>
      <c r="AZ604" s="7"/>
      <c r="BA604" s="7"/>
      <c r="BB604" s="7"/>
      <c r="BC604" s="7"/>
      <c r="BD604" s="18"/>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7"/>
      <c r="DQ604" s="105"/>
    </row>
    <row r="605" spans="1:121" s="15" customFormat="1" x14ac:dyDescent="0.2">
      <c r="A605" s="20"/>
      <c r="C605" s="102"/>
      <c r="AI605" s="7"/>
      <c r="AJ605" s="7"/>
      <c r="AK605" s="7"/>
      <c r="AL605" s="7"/>
      <c r="AM605" s="7"/>
      <c r="AN605" s="7"/>
      <c r="AO605" s="7"/>
      <c r="AP605" s="7"/>
      <c r="AQ605" s="7"/>
      <c r="AR605" s="7"/>
      <c r="AS605" s="7"/>
      <c r="AT605" s="7"/>
      <c r="AU605" s="7"/>
      <c r="AV605" s="7"/>
      <c r="AW605" s="7"/>
      <c r="AX605" s="7"/>
      <c r="AY605" s="7"/>
      <c r="AZ605" s="7"/>
      <c r="BA605" s="7"/>
      <c r="BB605" s="7"/>
      <c r="BC605" s="7"/>
      <c r="BD605" s="18"/>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c r="DL605" s="7"/>
      <c r="DM605" s="7"/>
      <c r="DN605" s="7"/>
      <c r="DO605" s="7"/>
      <c r="DP605" s="7"/>
      <c r="DQ605" s="105"/>
    </row>
    <row r="606" spans="1:121" s="15" customFormat="1" x14ac:dyDescent="0.2">
      <c r="A606" s="20"/>
      <c r="C606" s="102"/>
      <c r="AI606" s="7"/>
      <c r="AJ606" s="7"/>
      <c r="AK606" s="7"/>
      <c r="AL606" s="7"/>
      <c r="AM606" s="7"/>
      <c r="AN606" s="7"/>
      <c r="AO606" s="7"/>
      <c r="AP606" s="7"/>
      <c r="AQ606" s="7"/>
      <c r="AR606" s="7"/>
      <c r="AS606" s="7"/>
      <c r="AT606" s="7"/>
      <c r="AU606" s="7"/>
      <c r="AV606" s="7"/>
      <c r="AW606" s="7"/>
      <c r="AX606" s="7"/>
      <c r="AY606" s="7"/>
      <c r="AZ606" s="7"/>
      <c r="BA606" s="7"/>
      <c r="BB606" s="7"/>
      <c r="BC606" s="7"/>
      <c r="BD606" s="18"/>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105"/>
    </row>
    <row r="607" spans="1:121" s="15" customFormat="1" x14ac:dyDescent="0.2">
      <c r="A607" s="20"/>
      <c r="C607" s="102"/>
      <c r="AI607" s="7"/>
      <c r="AJ607" s="7"/>
      <c r="AK607" s="7"/>
      <c r="AL607" s="7"/>
      <c r="AM607" s="7"/>
      <c r="AN607" s="7"/>
      <c r="AO607" s="7"/>
      <c r="AP607" s="7"/>
      <c r="AQ607" s="7"/>
      <c r="AR607" s="7"/>
      <c r="AS607" s="7"/>
      <c r="AT607" s="7"/>
      <c r="AU607" s="7"/>
      <c r="AV607" s="7"/>
      <c r="AW607" s="7"/>
      <c r="AX607" s="7"/>
      <c r="AY607" s="7"/>
      <c r="AZ607" s="7"/>
      <c r="BA607" s="7"/>
      <c r="BB607" s="7"/>
      <c r="BC607" s="7"/>
      <c r="BD607" s="18"/>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105"/>
    </row>
    <row r="608" spans="1:121" s="15" customFormat="1" x14ac:dyDescent="0.2">
      <c r="A608" s="20"/>
      <c r="C608" s="102"/>
      <c r="AI608" s="7"/>
      <c r="AJ608" s="7"/>
      <c r="AK608" s="7"/>
      <c r="AL608" s="7"/>
      <c r="AM608" s="7"/>
      <c r="AN608" s="7"/>
      <c r="AO608" s="7"/>
      <c r="AP608" s="7"/>
      <c r="AQ608" s="7"/>
      <c r="AR608" s="7"/>
      <c r="AS608" s="7"/>
      <c r="AT608" s="7"/>
      <c r="AU608" s="7"/>
      <c r="AV608" s="7"/>
      <c r="AW608" s="7"/>
      <c r="AX608" s="7"/>
      <c r="AY608" s="7"/>
      <c r="AZ608" s="7"/>
      <c r="BA608" s="7"/>
      <c r="BB608" s="7"/>
      <c r="BC608" s="7"/>
      <c r="BD608" s="18"/>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105"/>
    </row>
    <row r="609" spans="1:121" s="15" customFormat="1" x14ac:dyDescent="0.2">
      <c r="A609" s="20"/>
      <c r="C609" s="102"/>
      <c r="AI609" s="7"/>
      <c r="AJ609" s="7"/>
      <c r="AK609" s="7"/>
      <c r="AL609" s="7"/>
      <c r="AM609" s="7"/>
      <c r="AN609" s="7"/>
      <c r="AO609" s="7"/>
      <c r="AP609" s="7"/>
      <c r="AQ609" s="7"/>
      <c r="AR609" s="7"/>
      <c r="AS609" s="7"/>
      <c r="AT609" s="7"/>
      <c r="AU609" s="7"/>
      <c r="AV609" s="7"/>
      <c r="AW609" s="7"/>
      <c r="AX609" s="7"/>
      <c r="AY609" s="7"/>
      <c r="AZ609" s="7"/>
      <c r="BA609" s="7"/>
      <c r="BB609" s="7"/>
      <c r="BC609" s="7"/>
      <c r="BD609" s="18"/>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105"/>
    </row>
    <row r="610" spans="1:121" s="15" customFormat="1" x14ac:dyDescent="0.2">
      <c r="A610" s="20"/>
      <c r="C610" s="102"/>
      <c r="AI610" s="7"/>
      <c r="AJ610" s="7"/>
      <c r="AK610" s="7"/>
      <c r="AL610" s="7"/>
      <c r="AM610" s="7"/>
      <c r="AN610" s="7"/>
      <c r="AO610" s="7"/>
      <c r="AP610" s="7"/>
      <c r="AQ610" s="7"/>
      <c r="AR610" s="7"/>
      <c r="AS610" s="7"/>
      <c r="AT610" s="7"/>
      <c r="AU610" s="7"/>
      <c r="AV610" s="7"/>
      <c r="AW610" s="7"/>
      <c r="AX610" s="7"/>
      <c r="AY610" s="7"/>
      <c r="AZ610" s="7"/>
      <c r="BA610" s="7"/>
      <c r="BB610" s="7"/>
      <c r="BC610" s="7"/>
      <c r="BD610" s="18"/>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105"/>
    </row>
    <row r="611" spans="1:121" s="15" customFormat="1" x14ac:dyDescent="0.2">
      <c r="A611" s="20"/>
      <c r="C611" s="102"/>
      <c r="AI611" s="7"/>
      <c r="AJ611" s="7"/>
      <c r="AK611" s="7"/>
      <c r="AL611" s="7"/>
      <c r="AM611" s="7"/>
      <c r="AN611" s="7"/>
      <c r="AO611" s="7"/>
      <c r="AP611" s="7"/>
      <c r="AQ611" s="7"/>
      <c r="AR611" s="7"/>
      <c r="AS611" s="7"/>
      <c r="AT611" s="7"/>
      <c r="AU611" s="7"/>
      <c r="AV611" s="7"/>
      <c r="AW611" s="7"/>
      <c r="AX611" s="7"/>
      <c r="AY611" s="7"/>
      <c r="AZ611" s="7"/>
      <c r="BA611" s="7"/>
      <c r="BB611" s="7"/>
      <c r="BC611" s="7"/>
      <c r="BD611" s="18"/>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105"/>
    </row>
    <row r="612" spans="1:121" s="15" customFormat="1" x14ac:dyDescent="0.2">
      <c r="A612" s="20"/>
      <c r="C612" s="102"/>
      <c r="AI612" s="7"/>
      <c r="AJ612" s="7"/>
      <c r="AK612" s="7"/>
      <c r="AL612" s="7"/>
      <c r="AM612" s="7"/>
      <c r="AN612" s="7"/>
      <c r="AO612" s="7"/>
      <c r="AP612" s="7"/>
      <c r="AQ612" s="7"/>
      <c r="AR612" s="7"/>
      <c r="AS612" s="7"/>
      <c r="AT612" s="7"/>
      <c r="AU612" s="7"/>
      <c r="AV612" s="7"/>
      <c r="AW612" s="7"/>
      <c r="AX612" s="7"/>
      <c r="AY612" s="7"/>
      <c r="AZ612" s="7"/>
      <c r="BA612" s="7"/>
      <c r="BB612" s="7"/>
      <c r="BC612" s="7"/>
      <c r="BD612" s="18"/>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c r="DL612" s="7"/>
      <c r="DM612" s="7"/>
      <c r="DN612" s="7"/>
      <c r="DO612" s="7"/>
      <c r="DP612" s="7"/>
      <c r="DQ612" s="105"/>
    </row>
    <row r="613" spans="1:121" s="15" customFormat="1" x14ac:dyDescent="0.2">
      <c r="A613" s="20"/>
      <c r="C613" s="102"/>
      <c r="AI613" s="7"/>
      <c r="AJ613" s="7"/>
      <c r="AK613" s="7"/>
      <c r="AL613" s="7"/>
      <c r="AM613" s="7"/>
      <c r="AN613" s="7"/>
      <c r="AO613" s="7"/>
      <c r="AP613" s="7"/>
      <c r="AQ613" s="7"/>
      <c r="AR613" s="7"/>
      <c r="AS613" s="7"/>
      <c r="AT613" s="7"/>
      <c r="AU613" s="7"/>
      <c r="AV613" s="7"/>
      <c r="AW613" s="7"/>
      <c r="AX613" s="7"/>
      <c r="AY613" s="7"/>
      <c r="AZ613" s="7"/>
      <c r="BA613" s="7"/>
      <c r="BB613" s="7"/>
      <c r="BC613" s="7"/>
      <c r="BD613" s="18"/>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105"/>
    </row>
    <row r="614" spans="1:121" s="15" customFormat="1" x14ac:dyDescent="0.2">
      <c r="A614" s="20"/>
      <c r="C614" s="102"/>
      <c r="AI614" s="7"/>
      <c r="AJ614" s="7"/>
      <c r="AK614" s="7"/>
      <c r="AL614" s="7"/>
      <c r="AM614" s="7"/>
      <c r="AN614" s="7"/>
      <c r="AO614" s="7"/>
      <c r="AP614" s="7"/>
      <c r="AQ614" s="7"/>
      <c r="AR614" s="7"/>
      <c r="AS614" s="7"/>
      <c r="AT614" s="7"/>
      <c r="AU614" s="7"/>
      <c r="AV614" s="7"/>
      <c r="AW614" s="7"/>
      <c r="AX614" s="7"/>
      <c r="AY614" s="7"/>
      <c r="AZ614" s="7"/>
      <c r="BA614" s="7"/>
      <c r="BB614" s="7"/>
      <c r="BC614" s="7"/>
      <c r="BD614" s="18"/>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105"/>
    </row>
    <row r="615" spans="1:121" s="15" customFormat="1" x14ac:dyDescent="0.2">
      <c r="A615" s="20"/>
      <c r="C615" s="102"/>
      <c r="AI615" s="7"/>
      <c r="AJ615" s="7"/>
      <c r="AK615" s="7"/>
      <c r="AL615" s="7"/>
      <c r="AM615" s="7"/>
      <c r="AN615" s="7"/>
      <c r="AO615" s="7"/>
      <c r="AP615" s="7"/>
      <c r="AQ615" s="7"/>
      <c r="AR615" s="7"/>
      <c r="AS615" s="7"/>
      <c r="AT615" s="7"/>
      <c r="AU615" s="7"/>
      <c r="AV615" s="7"/>
      <c r="AW615" s="7"/>
      <c r="AX615" s="7"/>
      <c r="AY615" s="7"/>
      <c r="AZ615" s="7"/>
      <c r="BA615" s="7"/>
      <c r="BB615" s="7"/>
      <c r="BC615" s="7"/>
      <c r="BD615" s="18"/>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105"/>
    </row>
    <row r="616" spans="1:121" s="15" customFormat="1" x14ac:dyDescent="0.2">
      <c r="A616" s="20"/>
      <c r="C616" s="102"/>
      <c r="AI616" s="7"/>
      <c r="AJ616" s="7"/>
      <c r="AK616" s="7"/>
      <c r="AL616" s="7"/>
      <c r="AM616" s="7"/>
      <c r="AN616" s="7"/>
      <c r="AO616" s="7"/>
      <c r="AP616" s="7"/>
      <c r="AQ616" s="7"/>
      <c r="AR616" s="7"/>
      <c r="AS616" s="7"/>
      <c r="AT616" s="7"/>
      <c r="AU616" s="7"/>
      <c r="AV616" s="7"/>
      <c r="AW616" s="7"/>
      <c r="AX616" s="7"/>
      <c r="AY616" s="7"/>
      <c r="AZ616" s="7"/>
      <c r="BA616" s="7"/>
      <c r="BB616" s="7"/>
      <c r="BC616" s="7"/>
      <c r="BD616" s="18"/>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c r="DH616" s="7"/>
      <c r="DI616" s="7"/>
      <c r="DJ616" s="7"/>
      <c r="DK616" s="7"/>
      <c r="DL616" s="7"/>
      <c r="DM616" s="7"/>
      <c r="DN616" s="7"/>
      <c r="DO616" s="7"/>
      <c r="DP616" s="7"/>
      <c r="DQ616" s="105"/>
    </row>
    <row r="617" spans="1:121" s="15" customFormat="1" x14ac:dyDescent="0.2">
      <c r="A617" s="20"/>
      <c r="C617" s="102"/>
      <c r="AI617" s="7"/>
      <c r="AJ617" s="7"/>
      <c r="AK617" s="7"/>
      <c r="AL617" s="7"/>
      <c r="AM617" s="7"/>
      <c r="AN617" s="7"/>
      <c r="AO617" s="7"/>
      <c r="AP617" s="7"/>
      <c r="AQ617" s="7"/>
      <c r="AR617" s="7"/>
      <c r="AS617" s="7"/>
      <c r="AT617" s="7"/>
      <c r="AU617" s="7"/>
      <c r="AV617" s="7"/>
      <c r="AW617" s="7"/>
      <c r="AX617" s="7"/>
      <c r="AY617" s="7"/>
      <c r="AZ617" s="7"/>
      <c r="BA617" s="7"/>
      <c r="BB617" s="7"/>
      <c r="BC617" s="7"/>
      <c r="BD617" s="18"/>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c r="DH617" s="7"/>
      <c r="DI617" s="7"/>
      <c r="DJ617" s="7"/>
      <c r="DK617" s="7"/>
      <c r="DL617" s="7"/>
      <c r="DM617" s="7"/>
      <c r="DN617" s="7"/>
      <c r="DO617" s="7"/>
      <c r="DP617" s="7"/>
      <c r="DQ617" s="105"/>
    </row>
    <row r="618" spans="1:121" s="15" customFormat="1" x14ac:dyDescent="0.2">
      <c r="A618" s="20"/>
      <c r="C618" s="102"/>
      <c r="AI618" s="7"/>
      <c r="AJ618" s="7"/>
      <c r="AK618" s="7"/>
      <c r="AL618" s="7"/>
      <c r="AM618" s="7"/>
      <c r="AN618" s="7"/>
      <c r="AO618" s="7"/>
      <c r="AP618" s="7"/>
      <c r="AQ618" s="7"/>
      <c r="AR618" s="7"/>
      <c r="AS618" s="7"/>
      <c r="AT618" s="7"/>
      <c r="AU618" s="7"/>
      <c r="AV618" s="7"/>
      <c r="AW618" s="7"/>
      <c r="AX618" s="7"/>
      <c r="AY618" s="7"/>
      <c r="AZ618" s="7"/>
      <c r="BA618" s="7"/>
      <c r="BB618" s="7"/>
      <c r="BC618" s="7"/>
      <c r="BD618" s="18"/>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c r="DH618" s="7"/>
      <c r="DI618" s="7"/>
      <c r="DJ618" s="7"/>
      <c r="DK618" s="7"/>
      <c r="DL618" s="7"/>
      <c r="DM618" s="7"/>
      <c r="DN618" s="7"/>
      <c r="DO618" s="7"/>
      <c r="DP618" s="7"/>
      <c r="DQ618" s="105"/>
    </row>
    <row r="619" spans="1:121" s="15" customFormat="1" x14ac:dyDescent="0.2">
      <c r="A619" s="20"/>
      <c r="C619" s="102"/>
      <c r="AI619" s="7"/>
      <c r="AJ619" s="7"/>
      <c r="AK619" s="7"/>
      <c r="AL619" s="7"/>
      <c r="AM619" s="7"/>
      <c r="AN619" s="7"/>
      <c r="AO619" s="7"/>
      <c r="AP619" s="7"/>
      <c r="AQ619" s="7"/>
      <c r="AR619" s="7"/>
      <c r="AS619" s="7"/>
      <c r="AT619" s="7"/>
      <c r="AU619" s="7"/>
      <c r="AV619" s="7"/>
      <c r="AW619" s="7"/>
      <c r="AX619" s="7"/>
      <c r="AY619" s="7"/>
      <c r="AZ619" s="7"/>
      <c r="BA619" s="7"/>
      <c r="BB619" s="7"/>
      <c r="BC619" s="7"/>
      <c r="BD619" s="18"/>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105"/>
    </row>
    <row r="620" spans="1:121" s="15" customFormat="1" x14ac:dyDescent="0.2">
      <c r="A620" s="20"/>
      <c r="C620" s="102"/>
      <c r="AI620" s="7"/>
      <c r="AJ620" s="7"/>
      <c r="AK620" s="7"/>
      <c r="AL620" s="7"/>
      <c r="AM620" s="7"/>
      <c r="AN620" s="7"/>
      <c r="AO620" s="7"/>
      <c r="AP620" s="7"/>
      <c r="AQ620" s="7"/>
      <c r="AR620" s="7"/>
      <c r="AS620" s="7"/>
      <c r="AT620" s="7"/>
      <c r="AU620" s="7"/>
      <c r="AV620" s="7"/>
      <c r="AW620" s="7"/>
      <c r="AX620" s="7"/>
      <c r="AY620" s="7"/>
      <c r="AZ620" s="7"/>
      <c r="BA620" s="7"/>
      <c r="BB620" s="7"/>
      <c r="BC620" s="7"/>
      <c r="BD620" s="18"/>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c r="DH620" s="7"/>
      <c r="DI620" s="7"/>
      <c r="DJ620" s="7"/>
      <c r="DK620" s="7"/>
      <c r="DL620" s="7"/>
      <c r="DM620" s="7"/>
      <c r="DN620" s="7"/>
      <c r="DO620" s="7"/>
      <c r="DP620" s="7"/>
      <c r="DQ620" s="105"/>
    </row>
    <row r="621" spans="1:121" s="15" customFormat="1" x14ac:dyDescent="0.2">
      <c r="A621" s="20"/>
      <c r="C621" s="102"/>
      <c r="AI621" s="7"/>
      <c r="AJ621" s="7"/>
      <c r="AK621" s="7"/>
      <c r="AL621" s="7"/>
      <c r="AM621" s="7"/>
      <c r="AN621" s="7"/>
      <c r="AO621" s="7"/>
      <c r="AP621" s="7"/>
      <c r="AQ621" s="7"/>
      <c r="AR621" s="7"/>
      <c r="AS621" s="7"/>
      <c r="AT621" s="7"/>
      <c r="AU621" s="7"/>
      <c r="AV621" s="7"/>
      <c r="AW621" s="7"/>
      <c r="AX621" s="7"/>
      <c r="AY621" s="7"/>
      <c r="AZ621" s="7"/>
      <c r="BA621" s="7"/>
      <c r="BB621" s="7"/>
      <c r="BC621" s="7"/>
      <c r="BD621" s="18"/>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c r="DH621" s="7"/>
      <c r="DI621" s="7"/>
      <c r="DJ621" s="7"/>
      <c r="DK621" s="7"/>
      <c r="DL621" s="7"/>
      <c r="DM621" s="7"/>
      <c r="DN621" s="7"/>
      <c r="DO621" s="7"/>
      <c r="DP621" s="7"/>
      <c r="DQ621" s="105"/>
    </row>
    <row r="622" spans="1:121" s="15" customFormat="1" x14ac:dyDescent="0.2">
      <c r="A622" s="20"/>
      <c r="C622" s="102"/>
      <c r="AI622" s="7"/>
      <c r="AJ622" s="7"/>
      <c r="AK622" s="7"/>
      <c r="AL622" s="7"/>
      <c r="AM622" s="7"/>
      <c r="AN622" s="7"/>
      <c r="AO622" s="7"/>
      <c r="AP622" s="7"/>
      <c r="AQ622" s="7"/>
      <c r="AR622" s="7"/>
      <c r="AS622" s="7"/>
      <c r="AT622" s="7"/>
      <c r="AU622" s="7"/>
      <c r="AV622" s="7"/>
      <c r="AW622" s="7"/>
      <c r="AX622" s="7"/>
      <c r="AY622" s="7"/>
      <c r="AZ622" s="7"/>
      <c r="BA622" s="7"/>
      <c r="BB622" s="7"/>
      <c r="BC622" s="7"/>
      <c r="BD622" s="18"/>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c r="DH622" s="7"/>
      <c r="DI622" s="7"/>
      <c r="DJ622" s="7"/>
      <c r="DK622" s="7"/>
      <c r="DL622" s="7"/>
      <c r="DM622" s="7"/>
      <c r="DN622" s="7"/>
      <c r="DO622" s="7"/>
      <c r="DP622" s="7"/>
      <c r="DQ622" s="105"/>
    </row>
    <row r="623" spans="1:121" s="15" customFormat="1" x14ac:dyDescent="0.2">
      <c r="A623" s="20"/>
      <c r="C623" s="102"/>
      <c r="AI623" s="7"/>
      <c r="AJ623" s="7"/>
      <c r="AK623" s="7"/>
      <c r="AL623" s="7"/>
      <c r="AM623" s="7"/>
      <c r="AN623" s="7"/>
      <c r="AO623" s="7"/>
      <c r="AP623" s="7"/>
      <c r="AQ623" s="7"/>
      <c r="AR623" s="7"/>
      <c r="AS623" s="7"/>
      <c r="AT623" s="7"/>
      <c r="AU623" s="7"/>
      <c r="AV623" s="7"/>
      <c r="AW623" s="7"/>
      <c r="AX623" s="7"/>
      <c r="AY623" s="7"/>
      <c r="AZ623" s="7"/>
      <c r="BA623" s="7"/>
      <c r="BB623" s="7"/>
      <c r="BC623" s="7"/>
      <c r="BD623" s="18"/>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c r="DH623" s="7"/>
      <c r="DI623" s="7"/>
      <c r="DJ623" s="7"/>
      <c r="DK623" s="7"/>
      <c r="DL623" s="7"/>
      <c r="DM623" s="7"/>
      <c r="DN623" s="7"/>
      <c r="DO623" s="7"/>
      <c r="DP623" s="7"/>
      <c r="DQ623" s="105"/>
    </row>
    <row r="624" spans="1:121" s="15" customFormat="1" x14ac:dyDescent="0.2">
      <c r="A624" s="20"/>
      <c r="C624" s="102"/>
      <c r="AI624" s="7"/>
      <c r="AJ624" s="7"/>
      <c r="AK624" s="7"/>
      <c r="AL624" s="7"/>
      <c r="AM624" s="7"/>
      <c r="AN624" s="7"/>
      <c r="AO624" s="7"/>
      <c r="AP624" s="7"/>
      <c r="AQ624" s="7"/>
      <c r="AR624" s="7"/>
      <c r="AS624" s="7"/>
      <c r="AT624" s="7"/>
      <c r="AU624" s="7"/>
      <c r="AV624" s="7"/>
      <c r="AW624" s="7"/>
      <c r="AX624" s="7"/>
      <c r="AY624" s="7"/>
      <c r="AZ624" s="7"/>
      <c r="BA624" s="7"/>
      <c r="BB624" s="7"/>
      <c r="BC624" s="7"/>
      <c r="BD624" s="18"/>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c r="DH624" s="7"/>
      <c r="DI624" s="7"/>
      <c r="DJ624" s="7"/>
      <c r="DK624" s="7"/>
      <c r="DL624" s="7"/>
      <c r="DM624" s="7"/>
      <c r="DN624" s="7"/>
      <c r="DO624" s="7"/>
      <c r="DP624" s="7"/>
      <c r="DQ624" s="105"/>
    </row>
    <row r="625" spans="1:121" s="15" customFormat="1" x14ac:dyDescent="0.2">
      <c r="A625" s="20"/>
      <c r="C625" s="102"/>
      <c r="AI625" s="7"/>
      <c r="AJ625" s="7"/>
      <c r="AK625" s="7"/>
      <c r="AL625" s="7"/>
      <c r="AM625" s="7"/>
      <c r="AN625" s="7"/>
      <c r="AO625" s="7"/>
      <c r="AP625" s="7"/>
      <c r="AQ625" s="7"/>
      <c r="AR625" s="7"/>
      <c r="AS625" s="7"/>
      <c r="AT625" s="7"/>
      <c r="AU625" s="7"/>
      <c r="AV625" s="7"/>
      <c r="AW625" s="7"/>
      <c r="AX625" s="7"/>
      <c r="AY625" s="7"/>
      <c r="AZ625" s="7"/>
      <c r="BA625" s="7"/>
      <c r="BB625" s="7"/>
      <c r="BC625" s="7"/>
      <c r="BD625" s="18"/>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c r="DH625" s="7"/>
      <c r="DI625" s="7"/>
      <c r="DJ625" s="7"/>
      <c r="DK625" s="7"/>
      <c r="DL625" s="7"/>
      <c r="DM625" s="7"/>
      <c r="DN625" s="7"/>
      <c r="DO625" s="7"/>
      <c r="DP625" s="7"/>
      <c r="DQ625" s="105"/>
    </row>
    <row r="626" spans="1:121" s="15" customFormat="1" x14ac:dyDescent="0.2">
      <c r="A626" s="20"/>
      <c r="C626" s="102"/>
      <c r="AI626" s="7"/>
      <c r="AJ626" s="7"/>
      <c r="AK626" s="7"/>
      <c r="AL626" s="7"/>
      <c r="AM626" s="7"/>
      <c r="AN626" s="7"/>
      <c r="AO626" s="7"/>
      <c r="AP626" s="7"/>
      <c r="AQ626" s="7"/>
      <c r="AR626" s="7"/>
      <c r="AS626" s="7"/>
      <c r="AT626" s="7"/>
      <c r="AU626" s="7"/>
      <c r="AV626" s="7"/>
      <c r="AW626" s="7"/>
      <c r="AX626" s="7"/>
      <c r="AY626" s="7"/>
      <c r="AZ626" s="7"/>
      <c r="BA626" s="7"/>
      <c r="BB626" s="7"/>
      <c r="BC626" s="7"/>
      <c r="BD626" s="18"/>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c r="DB626" s="7"/>
      <c r="DC626" s="7"/>
      <c r="DD626" s="7"/>
      <c r="DE626" s="7"/>
      <c r="DF626" s="7"/>
      <c r="DG626" s="7"/>
      <c r="DH626" s="7"/>
      <c r="DI626" s="7"/>
      <c r="DJ626" s="7"/>
      <c r="DK626" s="7"/>
      <c r="DL626" s="7"/>
      <c r="DM626" s="7"/>
      <c r="DN626" s="7"/>
      <c r="DO626" s="7"/>
      <c r="DP626" s="7"/>
      <c r="DQ626" s="105"/>
    </row>
    <row r="627" spans="1:121" s="15" customFormat="1" x14ac:dyDescent="0.2">
      <c r="A627" s="20"/>
      <c r="C627" s="102"/>
      <c r="AI627" s="7"/>
      <c r="AJ627" s="7"/>
      <c r="AK627" s="7"/>
      <c r="AL627" s="7"/>
      <c r="AM627" s="7"/>
      <c r="AN627" s="7"/>
      <c r="AO627" s="7"/>
      <c r="AP627" s="7"/>
      <c r="AQ627" s="7"/>
      <c r="AR627" s="7"/>
      <c r="AS627" s="7"/>
      <c r="AT627" s="7"/>
      <c r="AU627" s="7"/>
      <c r="AV627" s="7"/>
      <c r="AW627" s="7"/>
      <c r="AX627" s="7"/>
      <c r="AY627" s="7"/>
      <c r="AZ627" s="7"/>
      <c r="BA627" s="7"/>
      <c r="BB627" s="7"/>
      <c r="BC627" s="7"/>
      <c r="BD627" s="18"/>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105"/>
    </row>
    <row r="628" spans="1:121" s="15" customFormat="1" x14ac:dyDescent="0.2">
      <c r="A628" s="20"/>
      <c r="C628" s="102"/>
      <c r="AI628" s="7"/>
      <c r="AJ628" s="7"/>
      <c r="AK628" s="7"/>
      <c r="AL628" s="7"/>
      <c r="AM628" s="7"/>
      <c r="AN628" s="7"/>
      <c r="AO628" s="7"/>
      <c r="AP628" s="7"/>
      <c r="AQ628" s="7"/>
      <c r="AR628" s="7"/>
      <c r="AS628" s="7"/>
      <c r="AT628" s="7"/>
      <c r="AU628" s="7"/>
      <c r="AV628" s="7"/>
      <c r="AW628" s="7"/>
      <c r="AX628" s="7"/>
      <c r="AY628" s="7"/>
      <c r="AZ628" s="7"/>
      <c r="BA628" s="7"/>
      <c r="BB628" s="7"/>
      <c r="BC628" s="7"/>
      <c r="BD628" s="18"/>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c r="DB628" s="7"/>
      <c r="DC628" s="7"/>
      <c r="DD628" s="7"/>
      <c r="DE628" s="7"/>
      <c r="DF628" s="7"/>
      <c r="DG628" s="7"/>
      <c r="DH628" s="7"/>
      <c r="DI628" s="7"/>
      <c r="DJ628" s="7"/>
      <c r="DK628" s="7"/>
      <c r="DL628" s="7"/>
      <c r="DM628" s="7"/>
      <c r="DN628" s="7"/>
      <c r="DO628" s="7"/>
      <c r="DP628" s="7"/>
      <c r="DQ628" s="105"/>
    </row>
    <row r="629" spans="1:121" s="15" customFormat="1" x14ac:dyDescent="0.2">
      <c r="A629" s="20"/>
      <c r="C629" s="102"/>
      <c r="AI629" s="7"/>
      <c r="AJ629" s="7"/>
      <c r="AK629" s="7"/>
      <c r="AL629" s="7"/>
      <c r="AM629" s="7"/>
      <c r="AN629" s="7"/>
      <c r="AO629" s="7"/>
      <c r="AP629" s="7"/>
      <c r="AQ629" s="7"/>
      <c r="AR629" s="7"/>
      <c r="AS629" s="7"/>
      <c r="AT629" s="7"/>
      <c r="AU629" s="7"/>
      <c r="AV629" s="7"/>
      <c r="AW629" s="7"/>
      <c r="AX629" s="7"/>
      <c r="AY629" s="7"/>
      <c r="AZ629" s="7"/>
      <c r="BA629" s="7"/>
      <c r="BB629" s="7"/>
      <c r="BC629" s="7"/>
      <c r="BD629" s="18"/>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c r="DB629" s="7"/>
      <c r="DC629" s="7"/>
      <c r="DD629" s="7"/>
      <c r="DE629" s="7"/>
      <c r="DF629" s="7"/>
      <c r="DG629" s="7"/>
      <c r="DH629" s="7"/>
      <c r="DI629" s="7"/>
      <c r="DJ629" s="7"/>
      <c r="DK629" s="7"/>
      <c r="DL629" s="7"/>
      <c r="DM629" s="7"/>
      <c r="DN629" s="7"/>
      <c r="DO629" s="7"/>
      <c r="DP629" s="7"/>
      <c r="DQ629" s="105"/>
    </row>
    <row r="630" spans="1:121" s="15" customFormat="1" x14ac:dyDescent="0.2">
      <c r="A630" s="20"/>
      <c r="C630" s="102"/>
      <c r="AI630" s="7"/>
      <c r="AJ630" s="7"/>
      <c r="AK630" s="7"/>
      <c r="AL630" s="7"/>
      <c r="AM630" s="7"/>
      <c r="AN630" s="7"/>
      <c r="AO630" s="7"/>
      <c r="AP630" s="7"/>
      <c r="AQ630" s="7"/>
      <c r="AR630" s="7"/>
      <c r="AS630" s="7"/>
      <c r="AT630" s="7"/>
      <c r="AU630" s="7"/>
      <c r="AV630" s="7"/>
      <c r="AW630" s="7"/>
      <c r="AX630" s="7"/>
      <c r="AY630" s="7"/>
      <c r="AZ630" s="7"/>
      <c r="BA630" s="7"/>
      <c r="BB630" s="7"/>
      <c r="BC630" s="7"/>
      <c r="BD630" s="18"/>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c r="DB630" s="7"/>
      <c r="DC630" s="7"/>
      <c r="DD630" s="7"/>
      <c r="DE630" s="7"/>
      <c r="DF630" s="7"/>
      <c r="DG630" s="7"/>
      <c r="DH630" s="7"/>
      <c r="DI630" s="7"/>
      <c r="DJ630" s="7"/>
      <c r="DK630" s="7"/>
      <c r="DL630" s="7"/>
      <c r="DM630" s="7"/>
      <c r="DN630" s="7"/>
      <c r="DO630" s="7"/>
      <c r="DP630" s="7"/>
      <c r="DQ630" s="105"/>
    </row>
    <row r="631" spans="1:121" s="15" customFormat="1" x14ac:dyDescent="0.2">
      <c r="A631" s="20"/>
      <c r="C631" s="102"/>
      <c r="AI631" s="7"/>
      <c r="AJ631" s="7"/>
      <c r="AK631" s="7"/>
      <c r="AL631" s="7"/>
      <c r="AM631" s="7"/>
      <c r="AN631" s="7"/>
      <c r="AO631" s="7"/>
      <c r="AP631" s="7"/>
      <c r="AQ631" s="7"/>
      <c r="AR631" s="7"/>
      <c r="AS631" s="7"/>
      <c r="AT631" s="7"/>
      <c r="AU631" s="7"/>
      <c r="AV631" s="7"/>
      <c r="AW631" s="7"/>
      <c r="AX631" s="7"/>
      <c r="AY631" s="7"/>
      <c r="AZ631" s="7"/>
      <c r="BA631" s="7"/>
      <c r="BB631" s="7"/>
      <c r="BC631" s="7"/>
      <c r="BD631" s="18"/>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c r="DL631" s="7"/>
      <c r="DM631" s="7"/>
      <c r="DN631" s="7"/>
      <c r="DO631" s="7"/>
      <c r="DP631" s="7"/>
      <c r="DQ631" s="105"/>
    </row>
    <row r="632" spans="1:121" s="15" customFormat="1" x14ac:dyDescent="0.2">
      <c r="A632" s="20"/>
      <c r="C632" s="102"/>
      <c r="AI632" s="7"/>
      <c r="AJ632" s="7"/>
      <c r="AK632" s="7"/>
      <c r="AL632" s="7"/>
      <c r="AM632" s="7"/>
      <c r="AN632" s="7"/>
      <c r="AO632" s="7"/>
      <c r="AP632" s="7"/>
      <c r="AQ632" s="7"/>
      <c r="AR632" s="7"/>
      <c r="AS632" s="7"/>
      <c r="AT632" s="7"/>
      <c r="AU632" s="7"/>
      <c r="AV632" s="7"/>
      <c r="AW632" s="7"/>
      <c r="AX632" s="7"/>
      <c r="AY632" s="7"/>
      <c r="AZ632" s="7"/>
      <c r="BA632" s="7"/>
      <c r="BB632" s="7"/>
      <c r="BC632" s="7"/>
      <c r="BD632" s="18"/>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c r="DB632" s="7"/>
      <c r="DC632" s="7"/>
      <c r="DD632" s="7"/>
      <c r="DE632" s="7"/>
      <c r="DF632" s="7"/>
      <c r="DG632" s="7"/>
      <c r="DH632" s="7"/>
      <c r="DI632" s="7"/>
      <c r="DJ632" s="7"/>
      <c r="DK632" s="7"/>
      <c r="DL632" s="7"/>
      <c r="DM632" s="7"/>
      <c r="DN632" s="7"/>
      <c r="DO632" s="7"/>
      <c r="DP632" s="7"/>
      <c r="DQ632" s="105"/>
    </row>
    <row r="633" spans="1:121" s="15" customFormat="1" x14ac:dyDescent="0.2">
      <c r="A633" s="20"/>
      <c r="C633" s="102"/>
      <c r="AI633" s="7"/>
      <c r="AJ633" s="7"/>
      <c r="AK633" s="7"/>
      <c r="AL633" s="7"/>
      <c r="AM633" s="7"/>
      <c r="AN633" s="7"/>
      <c r="AO633" s="7"/>
      <c r="AP633" s="7"/>
      <c r="AQ633" s="7"/>
      <c r="AR633" s="7"/>
      <c r="AS633" s="7"/>
      <c r="AT633" s="7"/>
      <c r="AU633" s="7"/>
      <c r="AV633" s="7"/>
      <c r="AW633" s="7"/>
      <c r="AX633" s="7"/>
      <c r="AY633" s="7"/>
      <c r="AZ633" s="7"/>
      <c r="BA633" s="7"/>
      <c r="BB633" s="7"/>
      <c r="BC633" s="7"/>
      <c r="BD633" s="18"/>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c r="DL633" s="7"/>
      <c r="DM633" s="7"/>
      <c r="DN633" s="7"/>
      <c r="DO633" s="7"/>
      <c r="DP633" s="7"/>
      <c r="DQ633" s="105"/>
    </row>
    <row r="634" spans="1:121" s="15" customFormat="1" x14ac:dyDescent="0.2">
      <c r="A634" s="20"/>
      <c r="C634" s="102"/>
      <c r="AI634" s="7"/>
      <c r="AJ634" s="7"/>
      <c r="AK634" s="7"/>
      <c r="AL634" s="7"/>
      <c r="AM634" s="7"/>
      <c r="AN634" s="7"/>
      <c r="AO634" s="7"/>
      <c r="AP634" s="7"/>
      <c r="AQ634" s="7"/>
      <c r="AR634" s="7"/>
      <c r="AS634" s="7"/>
      <c r="AT634" s="7"/>
      <c r="AU634" s="7"/>
      <c r="AV634" s="7"/>
      <c r="AW634" s="7"/>
      <c r="AX634" s="7"/>
      <c r="AY634" s="7"/>
      <c r="AZ634" s="7"/>
      <c r="BA634" s="7"/>
      <c r="BB634" s="7"/>
      <c r="BC634" s="7"/>
      <c r="BD634" s="18"/>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c r="DB634" s="7"/>
      <c r="DC634" s="7"/>
      <c r="DD634" s="7"/>
      <c r="DE634" s="7"/>
      <c r="DF634" s="7"/>
      <c r="DG634" s="7"/>
      <c r="DH634" s="7"/>
      <c r="DI634" s="7"/>
      <c r="DJ634" s="7"/>
      <c r="DK634" s="7"/>
      <c r="DL634" s="7"/>
      <c r="DM634" s="7"/>
      <c r="DN634" s="7"/>
      <c r="DO634" s="7"/>
      <c r="DP634" s="7"/>
      <c r="DQ634" s="105"/>
    </row>
    <row r="635" spans="1:121" s="15" customFormat="1" x14ac:dyDescent="0.2">
      <c r="A635" s="20"/>
      <c r="C635" s="102"/>
      <c r="AI635" s="7"/>
      <c r="AJ635" s="7"/>
      <c r="AK635" s="7"/>
      <c r="AL635" s="7"/>
      <c r="AM635" s="7"/>
      <c r="AN635" s="7"/>
      <c r="AO635" s="7"/>
      <c r="AP635" s="7"/>
      <c r="AQ635" s="7"/>
      <c r="AR635" s="7"/>
      <c r="AS635" s="7"/>
      <c r="AT635" s="7"/>
      <c r="AU635" s="7"/>
      <c r="AV635" s="7"/>
      <c r="AW635" s="7"/>
      <c r="AX635" s="7"/>
      <c r="AY635" s="7"/>
      <c r="AZ635" s="7"/>
      <c r="BA635" s="7"/>
      <c r="BB635" s="7"/>
      <c r="BC635" s="7"/>
      <c r="BD635" s="18"/>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105"/>
    </row>
    <row r="636" spans="1:121" s="15" customFormat="1" x14ac:dyDescent="0.2">
      <c r="A636" s="20"/>
      <c r="C636" s="102"/>
      <c r="AI636" s="7"/>
      <c r="AJ636" s="7"/>
      <c r="AK636" s="7"/>
      <c r="AL636" s="7"/>
      <c r="AM636" s="7"/>
      <c r="AN636" s="7"/>
      <c r="AO636" s="7"/>
      <c r="AP636" s="7"/>
      <c r="AQ636" s="7"/>
      <c r="AR636" s="7"/>
      <c r="AS636" s="7"/>
      <c r="AT636" s="7"/>
      <c r="AU636" s="7"/>
      <c r="AV636" s="7"/>
      <c r="AW636" s="7"/>
      <c r="AX636" s="7"/>
      <c r="AY636" s="7"/>
      <c r="AZ636" s="7"/>
      <c r="BA636" s="7"/>
      <c r="BB636" s="7"/>
      <c r="BC636" s="7"/>
      <c r="BD636" s="18"/>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c r="DB636" s="7"/>
      <c r="DC636" s="7"/>
      <c r="DD636" s="7"/>
      <c r="DE636" s="7"/>
      <c r="DF636" s="7"/>
      <c r="DG636" s="7"/>
      <c r="DH636" s="7"/>
      <c r="DI636" s="7"/>
      <c r="DJ636" s="7"/>
      <c r="DK636" s="7"/>
      <c r="DL636" s="7"/>
      <c r="DM636" s="7"/>
      <c r="DN636" s="7"/>
      <c r="DO636" s="7"/>
      <c r="DP636" s="7"/>
      <c r="DQ636" s="105"/>
    </row>
    <row r="637" spans="1:121" s="15" customFormat="1" x14ac:dyDescent="0.2">
      <c r="A637" s="20"/>
      <c r="C637" s="102"/>
      <c r="AI637" s="7"/>
      <c r="AJ637" s="7"/>
      <c r="AK637" s="7"/>
      <c r="AL637" s="7"/>
      <c r="AM637" s="7"/>
      <c r="AN637" s="7"/>
      <c r="AO637" s="7"/>
      <c r="AP637" s="7"/>
      <c r="AQ637" s="7"/>
      <c r="AR637" s="7"/>
      <c r="AS637" s="7"/>
      <c r="AT637" s="7"/>
      <c r="AU637" s="7"/>
      <c r="AV637" s="7"/>
      <c r="AW637" s="7"/>
      <c r="AX637" s="7"/>
      <c r="AY637" s="7"/>
      <c r="AZ637" s="7"/>
      <c r="BA637" s="7"/>
      <c r="BB637" s="7"/>
      <c r="BC637" s="7"/>
      <c r="BD637" s="18"/>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c r="DB637" s="7"/>
      <c r="DC637" s="7"/>
      <c r="DD637" s="7"/>
      <c r="DE637" s="7"/>
      <c r="DF637" s="7"/>
      <c r="DG637" s="7"/>
      <c r="DH637" s="7"/>
      <c r="DI637" s="7"/>
      <c r="DJ637" s="7"/>
      <c r="DK637" s="7"/>
      <c r="DL637" s="7"/>
      <c r="DM637" s="7"/>
      <c r="DN637" s="7"/>
      <c r="DO637" s="7"/>
      <c r="DP637" s="7"/>
      <c r="DQ637" s="105"/>
    </row>
    <row r="638" spans="1:121" s="15" customFormat="1" x14ac:dyDescent="0.2">
      <c r="A638" s="20"/>
      <c r="C638" s="102"/>
      <c r="AI638" s="7"/>
      <c r="AJ638" s="7"/>
      <c r="AK638" s="7"/>
      <c r="AL638" s="7"/>
      <c r="AM638" s="7"/>
      <c r="AN638" s="7"/>
      <c r="AO638" s="7"/>
      <c r="AP638" s="7"/>
      <c r="AQ638" s="7"/>
      <c r="AR638" s="7"/>
      <c r="AS638" s="7"/>
      <c r="AT638" s="7"/>
      <c r="AU638" s="7"/>
      <c r="AV638" s="7"/>
      <c r="AW638" s="7"/>
      <c r="AX638" s="7"/>
      <c r="AY638" s="7"/>
      <c r="AZ638" s="7"/>
      <c r="BA638" s="7"/>
      <c r="BB638" s="7"/>
      <c r="BC638" s="7"/>
      <c r="BD638" s="18"/>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c r="DB638" s="7"/>
      <c r="DC638" s="7"/>
      <c r="DD638" s="7"/>
      <c r="DE638" s="7"/>
      <c r="DF638" s="7"/>
      <c r="DG638" s="7"/>
      <c r="DH638" s="7"/>
      <c r="DI638" s="7"/>
      <c r="DJ638" s="7"/>
      <c r="DK638" s="7"/>
      <c r="DL638" s="7"/>
      <c r="DM638" s="7"/>
      <c r="DN638" s="7"/>
      <c r="DO638" s="7"/>
      <c r="DP638" s="7"/>
      <c r="DQ638" s="105"/>
    </row>
    <row r="639" spans="1:121" s="15" customFormat="1" x14ac:dyDescent="0.2">
      <c r="A639" s="20"/>
      <c r="C639" s="102"/>
      <c r="AI639" s="7"/>
      <c r="AJ639" s="7"/>
      <c r="AK639" s="7"/>
      <c r="AL639" s="7"/>
      <c r="AM639" s="7"/>
      <c r="AN639" s="7"/>
      <c r="AO639" s="7"/>
      <c r="AP639" s="7"/>
      <c r="AQ639" s="7"/>
      <c r="AR639" s="7"/>
      <c r="AS639" s="7"/>
      <c r="AT639" s="7"/>
      <c r="AU639" s="7"/>
      <c r="AV639" s="7"/>
      <c r="AW639" s="7"/>
      <c r="AX639" s="7"/>
      <c r="AY639" s="7"/>
      <c r="AZ639" s="7"/>
      <c r="BA639" s="7"/>
      <c r="BB639" s="7"/>
      <c r="BC639" s="7"/>
      <c r="BD639" s="18"/>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c r="DB639" s="7"/>
      <c r="DC639" s="7"/>
      <c r="DD639" s="7"/>
      <c r="DE639" s="7"/>
      <c r="DF639" s="7"/>
      <c r="DG639" s="7"/>
      <c r="DH639" s="7"/>
      <c r="DI639" s="7"/>
      <c r="DJ639" s="7"/>
      <c r="DK639" s="7"/>
      <c r="DL639" s="7"/>
      <c r="DM639" s="7"/>
      <c r="DN639" s="7"/>
      <c r="DO639" s="7"/>
      <c r="DP639" s="7"/>
      <c r="DQ639" s="105"/>
    </row>
    <row r="640" spans="1:121" s="15" customFormat="1" x14ac:dyDescent="0.2">
      <c r="A640" s="20"/>
      <c r="C640" s="102"/>
      <c r="AI640" s="7"/>
      <c r="AJ640" s="7"/>
      <c r="AK640" s="7"/>
      <c r="AL640" s="7"/>
      <c r="AM640" s="7"/>
      <c r="AN640" s="7"/>
      <c r="AO640" s="7"/>
      <c r="AP640" s="7"/>
      <c r="AQ640" s="7"/>
      <c r="AR640" s="7"/>
      <c r="AS640" s="7"/>
      <c r="AT640" s="7"/>
      <c r="AU640" s="7"/>
      <c r="AV640" s="7"/>
      <c r="AW640" s="7"/>
      <c r="AX640" s="7"/>
      <c r="AY640" s="7"/>
      <c r="AZ640" s="7"/>
      <c r="BA640" s="7"/>
      <c r="BB640" s="7"/>
      <c r="BC640" s="7"/>
      <c r="BD640" s="18"/>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c r="DB640" s="7"/>
      <c r="DC640" s="7"/>
      <c r="DD640" s="7"/>
      <c r="DE640" s="7"/>
      <c r="DF640" s="7"/>
      <c r="DG640" s="7"/>
      <c r="DH640" s="7"/>
      <c r="DI640" s="7"/>
      <c r="DJ640" s="7"/>
      <c r="DK640" s="7"/>
      <c r="DL640" s="7"/>
      <c r="DM640" s="7"/>
      <c r="DN640" s="7"/>
      <c r="DO640" s="7"/>
      <c r="DP640" s="7"/>
      <c r="DQ640" s="105"/>
    </row>
    <row r="641" spans="1:121" s="15" customFormat="1" x14ac:dyDescent="0.2">
      <c r="A641" s="20"/>
      <c r="C641" s="102"/>
      <c r="AI641" s="7"/>
      <c r="AJ641" s="7"/>
      <c r="AK641" s="7"/>
      <c r="AL641" s="7"/>
      <c r="AM641" s="7"/>
      <c r="AN641" s="7"/>
      <c r="AO641" s="7"/>
      <c r="AP641" s="7"/>
      <c r="AQ641" s="7"/>
      <c r="AR641" s="7"/>
      <c r="AS641" s="7"/>
      <c r="AT641" s="7"/>
      <c r="AU641" s="7"/>
      <c r="AV641" s="7"/>
      <c r="AW641" s="7"/>
      <c r="AX641" s="7"/>
      <c r="AY641" s="7"/>
      <c r="AZ641" s="7"/>
      <c r="BA641" s="7"/>
      <c r="BB641" s="7"/>
      <c r="BC641" s="7"/>
      <c r="BD641" s="18"/>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c r="DB641" s="7"/>
      <c r="DC641" s="7"/>
      <c r="DD641" s="7"/>
      <c r="DE641" s="7"/>
      <c r="DF641" s="7"/>
      <c r="DG641" s="7"/>
      <c r="DH641" s="7"/>
      <c r="DI641" s="7"/>
      <c r="DJ641" s="7"/>
      <c r="DK641" s="7"/>
      <c r="DL641" s="7"/>
      <c r="DM641" s="7"/>
      <c r="DN641" s="7"/>
      <c r="DO641" s="7"/>
      <c r="DP641" s="7"/>
      <c r="DQ641" s="105"/>
    </row>
    <row r="642" spans="1:121" s="15" customFormat="1" x14ac:dyDescent="0.2">
      <c r="A642" s="20"/>
      <c r="C642" s="102"/>
      <c r="AI642" s="7"/>
      <c r="AJ642" s="7"/>
      <c r="AK642" s="7"/>
      <c r="AL642" s="7"/>
      <c r="AM642" s="7"/>
      <c r="AN642" s="7"/>
      <c r="AO642" s="7"/>
      <c r="AP642" s="7"/>
      <c r="AQ642" s="7"/>
      <c r="AR642" s="7"/>
      <c r="AS642" s="7"/>
      <c r="AT642" s="7"/>
      <c r="AU642" s="7"/>
      <c r="AV642" s="7"/>
      <c r="AW642" s="7"/>
      <c r="AX642" s="7"/>
      <c r="AY642" s="7"/>
      <c r="AZ642" s="7"/>
      <c r="BA642" s="7"/>
      <c r="BB642" s="7"/>
      <c r="BC642" s="7"/>
      <c r="BD642" s="18"/>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c r="DB642" s="7"/>
      <c r="DC642" s="7"/>
      <c r="DD642" s="7"/>
      <c r="DE642" s="7"/>
      <c r="DF642" s="7"/>
      <c r="DG642" s="7"/>
      <c r="DH642" s="7"/>
      <c r="DI642" s="7"/>
      <c r="DJ642" s="7"/>
      <c r="DK642" s="7"/>
      <c r="DL642" s="7"/>
      <c r="DM642" s="7"/>
      <c r="DN642" s="7"/>
      <c r="DO642" s="7"/>
      <c r="DP642" s="7"/>
      <c r="DQ642" s="105"/>
    </row>
    <row r="643" spans="1:121" s="15" customFormat="1" x14ac:dyDescent="0.2">
      <c r="A643" s="20"/>
      <c r="C643" s="102"/>
      <c r="AI643" s="7"/>
      <c r="AJ643" s="7"/>
      <c r="AK643" s="7"/>
      <c r="AL643" s="7"/>
      <c r="AM643" s="7"/>
      <c r="AN643" s="7"/>
      <c r="AO643" s="7"/>
      <c r="AP643" s="7"/>
      <c r="AQ643" s="7"/>
      <c r="AR643" s="7"/>
      <c r="AS643" s="7"/>
      <c r="AT643" s="7"/>
      <c r="AU643" s="7"/>
      <c r="AV643" s="7"/>
      <c r="AW643" s="7"/>
      <c r="AX643" s="7"/>
      <c r="AY643" s="7"/>
      <c r="AZ643" s="7"/>
      <c r="BA643" s="7"/>
      <c r="BB643" s="7"/>
      <c r="BC643" s="7"/>
      <c r="BD643" s="18"/>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105"/>
    </row>
    <row r="644" spans="1:121" s="15" customFormat="1" x14ac:dyDescent="0.2">
      <c r="A644" s="20"/>
      <c r="C644" s="102"/>
      <c r="AI644" s="7"/>
      <c r="AJ644" s="7"/>
      <c r="AK644" s="7"/>
      <c r="AL644" s="7"/>
      <c r="AM644" s="7"/>
      <c r="AN644" s="7"/>
      <c r="AO644" s="7"/>
      <c r="AP644" s="7"/>
      <c r="AQ644" s="7"/>
      <c r="AR644" s="7"/>
      <c r="AS644" s="7"/>
      <c r="AT644" s="7"/>
      <c r="AU644" s="7"/>
      <c r="AV644" s="7"/>
      <c r="AW644" s="7"/>
      <c r="AX644" s="7"/>
      <c r="AY644" s="7"/>
      <c r="AZ644" s="7"/>
      <c r="BA644" s="7"/>
      <c r="BB644" s="7"/>
      <c r="BC644" s="7"/>
      <c r="BD644" s="18"/>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c r="DL644" s="7"/>
      <c r="DM644" s="7"/>
      <c r="DN644" s="7"/>
      <c r="DO644" s="7"/>
      <c r="DP644" s="7"/>
      <c r="DQ644" s="105"/>
    </row>
    <row r="645" spans="1:121" s="15" customFormat="1" x14ac:dyDescent="0.2">
      <c r="A645" s="20"/>
      <c r="C645" s="102"/>
      <c r="AI645" s="7"/>
      <c r="AJ645" s="7"/>
      <c r="AK645" s="7"/>
      <c r="AL645" s="7"/>
      <c r="AM645" s="7"/>
      <c r="AN645" s="7"/>
      <c r="AO645" s="7"/>
      <c r="AP645" s="7"/>
      <c r="AQ645" s="7"/>
      <c r="AR645" s="7"/>
      <c r="AS645" s="7"/>
      <c r="AT645" s="7"/>
      <c r="AU645" s="7"/>
      <c r="AV645" s="7"/>
      <c r="AW645" s="7"/>
      <c r="AX645" s="7"/>
      <c r="AY645" s="7"/>
      <c r="AZ645" s="7"/>
      <c r="BA645" s="7"/>
      <c r="BB645" s="7"/>
      <c r="BC645" s="7"/>
      <c r="BD645" s="18"/>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c r="DH645" s="7"/>
      <c r="DI645" s="7"/>
      <c r="DJ645" s="7"/>
      <c r="DK645" s="7"/>
      <c r="DL645" s="7"/>
      <c r="DM645" s="7"/>
      <c r="DN645" s="7"/>
      <c r="DO645" s="7"/>
      <c r="DP645" s="7"/>
      <c r="DQ645" s="105"/>
    </row>
    <row r="646" spans="1:121" s="15" customFormat="1" x14ac:dyDescent="0.2">
      <c r="A646" s="20"/>
      <c r="C646" s="102"/>
      <c r="AI646" s="7"/>
      <c r="AJ646" s="7"/>
      <c r="AK646" s="7"/>
      <c r="AL646" s="7"/>
      <c r="AM646" s="7"/>
      <c r="AN646" s="7"/>
      <c r="AO646" s="7"/>
      <c r="AP646" s="7"/>
      <c r="AQ646" s="7"/>
      <c r="AR646" s="7"/>
      <c r="AS646" s="7"/>
      <c r="AT646" s="7"/>
      <c r="AU646" s="7"/>
      <c r="AV646" s="7"/>
      <c r="AW646" s="7"/>
      <c r="AX646" s="7"/>
      <c r="AY646" s="7"/>
      <c r="AZ646" s="7"/>
      <c r="BA646" s="7"/>
      <c r="BB646" s="7"/>
      <c r="BC646" s="7"/>
      <c r="BD646" s="18"/>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105"/>
    </row>
    <row r="647" spans="1:121" s="15" customFormat="1" x14ac:dyDescent="0.2">
      <c r="A647" s="20"/>
      <c r="C647" s="102"/>
      <c r="AI647" s="7"/>
      <c r="AJ647" s="7"/>
      <c r="AK647" s="7"/>
      <c r="AL647" s="7"/>
      <c r="AM647" s="7"/>
      <c r="AN647" s="7"/>
      <c r="AO647" s="7"/>
      <c r="AP647" s="7"/>
      <c r="AQ647" s="7"/>
      <c r="AR647" s="7"/>
      <c r="AS647" s="7"/>
      <c r="AT647" s="7"/>
      <c r="AU647" s="7"/>
      <c r="AV647" s="7"/>
      <c r="AW647" s="7"/>
      <c r="AX647" s="7"/>
      <c r="AY647" s="7"/>
      <c r="AZ647" s="7"/>
      <c r="BA647" s="7"/>
      <c r="BB647" s="7"/>
      <c r="BC647" s="7"/>
      <c r="BD647" s="18"/>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c r="DL647" s="7"/>
      <c r="DM647" s="7"/>
      <c r="DN647" s="7"/>
      <c r="DO647" s="7"/>
      <c r="DP647" s="7"/>
      <c r="DQ647" s="105"/>
    </row>
    <row r="648" spans="1:121" s="15" customFormat="1" x14ac:dyDescent="0.2">
      <c r="A648" s="20"/>
      <c r="C648" s="102"/>
      <c r="AI648" s="7"/>
      <c r="AJ648" s="7"/>
      <c r="AK648" s="7"/>
      <c r="AL648" s="7"/>
      <c r="AM648" s="7"/>
      <c r="AN648" s="7"/>
      <c r="AO648" s="7"/>
      <c r="AP648" s="7"/>
      <c r="AQ648" s="7"/>
      <c r="AR648" s="7"/>
      <c r="AS648" s="7"/>
      <c r="AT648" s="7"/>
      <c r="AU648" s="7"/>
      <c r="AV648" s="7"/>
      <c r="AW648" s="7"/>
      <c r="AX648" s="7"/>
      <c r="AY648" s="7"/>
      <c r="AZ648" s="7"/>
      <c r="BA648" s="7"/>
      <c r="BB648" s="7"/>
      <c r="BC648" s="7"/>
      <c r="BD648" s="18"/>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c r="DL648" s="7"/>
      <c r="DM648" s="7"/>
      <c r="DN648" s="7"/>
      <c r="DO648" s="7"/>
      <c r="DP648" s="7"/>
      <c r="DQ648" s="105"/>
    </row>
    <row r="649" spans="1:121" s="15" customFormat="1" x14ac:dyDescent="0.2">
      <c r="A649" s="20"/>
      <c r="C649" s="102"/>
      <c r="AI649" s="7"/>
      <c r="AJ649" s="7"/>
      <c r="AK649" s="7"/>
      <c r="AL649" s="7"/>
      <c r="AM649" s="7"/>
      <c r="AN649" s="7"/>
      <c r="AO649" s="7"/>
      <c r="AP649" s="7"/>
      <c r="AQ649" s="7"/>
      <c r="AR649" s="7"/>
      <c r="AS649" s="7"/>
      <c r="AT649" s="7"/>
      <c r="AU649" s="7"/>
      <c r="AV649" s="7"/>
      <c r="AW649" s="7"/>
      <c r="AX649" s="7"/>
      <c r="AY649" s="7"/>
      <c r="AZ649" s="7"/>
      <c r="BA649" s="7"/>
      <c r="BB649" s="7"/>
      <c r="BC649" s="7"/>
      <c r="BD649" s="18"/>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c r="DB649" s="7"/>
      <c r="DC649" s="7"/>
      <c r="DD649" s="7"/>
      <c r="DE649" s="7"/>
      <c r="DF649" s="7"/>
      <c r="DG649" s="7"/>
      <c r="DH649" s="7"/>
      <c r="DI649" s="7"/>
      <c r="DJ649" s="7"/>
      <c r="DK649" s="7"/>
      <c r="DL649" s="7"/>
      <c r="DM649" s="7"/>
      <c r="DN649" s="7"/>
      <c r="DO649" s="7"/>
      <c r="DP649" s="7"/>
      <c r="DQ649" s="105"/>
    </row>
    <row r="650" spans="1:121" s="15" customFormat="1" x14ac:dyDescent="0.2">
      <c r="A650" s="20"/>
      <c r="C650" s="102"/>
      <c r="AI650" s="7"/>
      <c r="AJ650" s="7"/>
      <c r="AK650" s="7"/>
      <c r="AL650" s="7"/>
      <c r="AM650" s="7"/>
      <c r="AN650" s="7"/>
      <c r="AO650" s="7"/>
      <c r="AP650" s="7"/>
      <c r="AQ650" s="7"/>
      <c r="AR650" s="7"/>
      <c r="AS650" s="7"/>
      <c r="AT650" s="7"/>
      <c r="AU650" s="7"/>
      <c r="AV650" s="7"/>
      <c r="AW650" s="7"/>
      <c r="AX650" s="7"/>
      <c r="AY650" s="7"/>
      <c r="AZ650" s="7"/>
      <c r="BA650" s="7"/>
      <c r="BB650" s="7"/>
      <c r="BC650" s="7"/>
      <c r="BD650" s="18"/>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c r="DH650" s="7"/>
      <c r="DI650" s="7"/>
      <c r="DJ650" s="7"/>
      <c r="DK650" s="7"/>
      <c r="DL650" s="7"/>
      <c r="DM650" s="7"/>
      <c r="DN650" s="7"/>
      <c r="DO650" s="7"/>
      <c r="DP650" s="7"/>
      <c r="DQ650" s="105"/>
    </row>
    <row r="651" spans="1:121" s="15" customFormat="1" x14ac:dyDescent="0.2">
      <c r="A651" s="20"/>
      <c r="C651" s="102"/>
      <c r="AI651" s="7"/>
      <c r="AJ651" s="7"/>
      <c r="AK651" s="7"/>
      <c r="AL651" s="7"/>
      <c r="AM651" s="7"/>
      <c r="AN651" s="7"/>
      <c r="AO651" s="7"/>
      <c r="AP651" s="7"/>
      <c r="AQ651" s="7"/>
      <c r="AR651" s="7"/>
      <c r="AS651" s="7"/>
      <c r="AT651" s="7"/>
      <c r="AU651" s="7"/>
      <c r="AV651" s="7"/>
      <c r="AW651" s="7"/>
      <c r="AX651" s="7"/>
      <c r="AY651" s="7"/>
      <c r="AZ651" s="7"/>
      <c r="BA651" s="7"/>
      <c r="BB651" s="7"/>
      <c r="BC651" s="7"/>
      <c r="BD651" s="18"/>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105"/>
    </row>
    <row r="652" spans="1:121" s="15" customFormat="1" x14ac:dyDescent="0.2">
      <c r="A652" s="20"/>
      <c r="C652" s="102"/>
      <c r="AI652" s="7"/>
      <c r="AJ652" s="7"/>
      <c r="AK652" s="7"/>
      <c r="AL652" s="7"/>
      <c r="AM652" s="7"/>
      <c r="AN652" s="7"/>
      <c r="AO652" s="7"/>
      <c r="AP652" s="7"/>
      <c r="AQ652" s="7"/>
      <c r="AR652" s="7"/>
      <c r="AS652" s="7"/>
      <c r="AT652" s="7"/>
      <c r="AU652" s="7"/>
      <c r="AV652" s="7"/>
      <c r="AW652" s="7"/>
      <c r="AX652" s="7"/>
      <c r="AY652" s="7"/>
      <c r="AZ652" s="7"/>
      <c r="BA652" s="7"/>
      <c r="BB652" s="7"/>
      <c r="BC652" s="7"/>
      <c r="BD652" s="18"/>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c r="DL652" s="7"/>
      <c r="DM652" s="7"/>
      <c r="DN652" s="7"/>
      <c r="DO652" s="7"/>
      <c r="DP652" s="7"/>
      <c r="DQ652" s="105"/>
    </row>
  </sheetData>
  <sheetProtection formatCells="0" formatColumns="0" formatRows="0"/>
  <dataConsolidate/>
  <mergeCells count="1">
    <mergeCell ref="AR2:AZ2"/>
  </mergeCells>
  <conditionalFormatting sqref="BX4:CA4 BY49:CA80 BX50:BX80 BX36:CA48 BX9:CA34 BX81:CA87">
    <cfRule type="expression" dxfId="38" priority="8">
      <formula>"MOD(ROW(),2)=0"</formula>
    </cfRule>
    <cfRule type="expression" dxfId="37" priority="9">
      <formula>"RESTO(FILA(),2)=0"</formula>
    </cfRule>
    <cfRule type="expression" priority="10">
      <formula>"RESTO(FILA(),2)=0"</formula>
    </cfRule>
  </conditionalFormatting>
  <conditionalFormatting sqref="BX5:CA8">
    <cfRule type="expression" dxfId="36" priority="5">
      <formula>"MOD(ROW(),2)=0"</formula>
    </cfRule>
    <cfRule type="expression" dxfId="35" priority="6">
      <formula>"RESTO(FILA(),2)=0"</formula>
    </cfRule>
    <cfRule type="expression" priority="7">
      <formula>"RESTO(FILA(),2)=0"</formula>
    </cfRule>
  </conditionalFormatting>
  <dataValidations count="1">
    <dataValidation type="list" allowBlank="1" showInputMessage="1" showErrorMessage="1" sqref="AW4:AW12 AW14 AR13 AV16 AV20 AW17:AW19 AW21:AW36 AW38:AW91">
      <formula1>$AW$103:$AW$108</formula1>
    </dataValidation>
  </dataValidations>
  <printOptions horizontalCentered="1" verticalCentered="1"/>
  <pageMargins left="0.78740157480314965" right="0.78740157480314965" top="0.35433070866141736" bottom="0.62992125984251968" header="0.23622047244094491" footer="0.70866141732283472"/>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1"/>
  <sheetViews>
    <sheetView showZeros="0" zoomScale="90" zoomScaleNormal="90" workbookViewId="0">
      <selection activeCell="O4" sqref="O4:P4"/>
    </sheetView>
  </sheetViews>
  <sheetFormatPr baseColWidth="10" defaultColWidth="0" defaultRowHeight="20.25" customHeight="1" zeroHeight="1" x14ac:dyDescent="0.25"/>
  <cols>
    <col min="1" max="1" width="1.7109375" style="1" customWidth="1"/>
    <col min="2" max="2" width="19.85546875" style="4" customWidth="1"/>
    <col min="3" max="3" width="11.28515625" style="5" customWidth="1"/>
    <col min="4" max="4" width="7.28515625" style="5" customWidth="1"/>
    <col min="5" max="5" width="5" style="5" customWidth="1"/>
    <col min="6" max="6" width="6.5703125" style="6" customWidth="1"/>
    <col min="7" max="7" width="13.42578125" style="6" customWidth="1"/>
    <col min="8" max="8" width="9.85546875" style="6" customWidth="1"/>
    <col min="9" max="9" width="13.140625" style="6" customWidth="1"/>
    <col min="10" max="10" width="9.42578125" style="6" customWidth="1"/>
    <col min="11" max="11" width="4.140625" style="6" customWidth="1"/>
    <col min="12" max="12" width="9.140625" style="6" customWidth="1"/>
    <col min="13" max="13" width="13.7109375" style="2" customWidth="1"/>
    <col min="14" max="14" width="14.7109375" style="2" customWidth="1"/>
    <col min="15" max="15" width="9.85546875" style="2" customWidth="1"/>
    <col min="16" max="16" width="5.42578125" style="2" customWidth="1"/>
    <col min="17" max="17" width="1" style="9" customWidth="1"/>
    <col min="18" max="18" width="9.140625" style="232" customWidth="1"/>
    <col min="19" max="19" width="9.140625" style="232" hidden="1" customWidth="1"/>
    <col min="20" max="20" width="6.140625" style="229" hidden="1" customWidth="1"/>
    <col min="21" max="21" width="9.5703125" style="230" hidden="1" customWidth="1"/>
    <col min="22" max="22" width="35.42578125" style="231" hidden="1" customWidth="1"/>
    <col min="23" max="23" width="47.85546875" style="232" hidden="1" customWidth="1"/>
    <col min="24" max="24" width="26.85546875" style="232" hidden="1" customWidth="1"/>
    <col min="25" max="25" width="22" style="232" hidden="1" customWidth="1"/>
    <col min="26" max="26" width="10.5703125" style="233" hidden="1" customWidth="1"/>
    <col min="27" max="27" width="30.5703125" style="232" hidden="1" customWidth="1"/>
    <col min="28" max="28" width="21" style="232" hidden="1" customWidth="1"/>
    <col min="29" max="29" width="17.85546875" style="232" hidden="1" customWidth="1"/>
    <col min="30" max="30" width="15.85546875" style="232" hidden="1" customWidth="1"/>
    <col min="31" max="31" width="13" style="232" hidden="1" customWidth="1"/>
    <col min="32" max="32" width="25.140625" style="232" hidden="1" customWidth="1"/>
    <col min="33" max="33" width="13.28515625" style="232" hidden="1" customWidth="1"/>
    <col min="34" max="34" width="19" style="232" hidden="1" customWidth="1"/>
    <col min="35" max="35" width="17.5703125" style="232" hidden="1" customWidth="1"/>
    <col min="36" max="37" width="17.42578125" style="232" hidden="1" customWidth="1"/>
    <col min="38" max="38" width="18.7109375" style="232" hidden="1" customWidth="1"/>
    <col min="39" max="39" width="20.7109375" style="232" hidden="1" customWidth="1"/>
    <col min="40" max="40" width="22.28515625" style="232" hidden="1" customWidth="1"/>
    <col min="41" max="41" width="18.85546875" style="232" hidden="1" customWidth="1"/>
    <col min="42" max="42" width="16" style="261" hidden="1" customWidth="1"/>
    <col min="43" max="43" width="15.42578125" style="232" hidden="1" customWidth="1"/>
    <col min="44" max="44" width="15.7109375" style="232" hidden="1" customWidth="1"/>
    <col min="45" max="45" width="26.140625" style="232" hidden="1" customWidth="1"/>
    <col min="46" max="46" width="26.7109375" style="232" hidden="1" customWidth="1"/>
    <col min="47" max="47" width="23.5703125" style="232" hidden="1" customWidth="1"/>
    <col min="48" max="48" width="22" style="232" hidden="1" customWidth="1"/>
    <col min="49" max="49" width="14.7109375" style="232" hidden="1" customWidth="1"/>
    <col min="50" max="51" width="15.42578125" style="232" hidden="1" customWidth="1"/>
    <col min="52" max="52" width="17.5703125" style="232" hidden="1" customWidth="1"/>
    <col min="53" max="53" width="22.42578125" style="232" hidden="1" customWidth="1"/>
    <col min="54" max="54" width="23.140625" style="232" hidden="1" customWidth="1"/>
    <col min="55" max="55" width="25.28515625" style="232" hidden="1" customWidth="1"/>
    <col min="56" max="56" width="23" style="232" hidden="1" customWidth="1"/>
    <col min="57" max="57" width="25.140625" style="232" hidden="1" customWidth="1"/>
    <col min="58" max="58" width="23.140625" style="232" hidden="1" customWidth="1"/>
    <col min="59" max="61" width="21.7109375" style="232" hidden="1" customWidth="1"/>
    <col min="62" max="62" width="22.85546875" style="232" hidden="1" customWidth="1"/>
    <col min="63" max="63" width="23.140625" style="232" hidden="1" customWidth="1"/>
    <col min="64" max="64" width="66.85546875" style="232" hidden="1" customWidth="1"/>
    <col min="65" max="65" width="11.42578125" style="1" hidden="1" customWidth="1"/>
    <col min="66" max="66" width="29.140625" style="1" hidden="1" customWidth="1"/>
    <col min="67" max="67" width="11.42578125" style="1" hidden="1" customWidth="1"/>
    <col min="68" max="68" width="42.28515625" style="1" hidden="1" customWidth="1"/>
    <col min="69" max="254" width="11.42578125" style="1" hidden="1" customWidth="1"/>
    <col min="255" max="16384" width="7.7109375" style="1" hidden="1"/>
  </cols>
  <sheetData>
    <row r="1" spans="2:64" ht="18.75" x14ac:dyDescent="0.25">
      <c r="B1" s="1102" t="s">
        <v>0</v>
      </c>
      <c r="C1" s="1102"/>
      <c r="D1" s="1102"/>
      <c r="E1" s="1102"/>
      <c r="F1" s="1102"/>
      <c r="G1" s="1102"/>
      <c r="H1" s="1102"/>
      <c r="I1" s="1102"/>
      <c r="J1" s="1102"/>
      <c r="K1" s="1102"/>
      <c r="L1" s="1102"/>
      <c r="M1" s="1102"/>
      <c r="N1" s="1102"/>
      <c r="O1" s="1102"/>
      <c r="P1" s="877"/>
      <c r="Q1" s="878"/>
      <c r="R1" s="879"/>
      <c r="S1" s="879"/>
      <c r="T1" s="880"/>
      <c r="U1" s="880"/>
      <c r="AP1" s="234"/>
    </row>
    <row r="2" spans="2:64" ht="14.25" customHeight="1" x14ac:dyDescent="0.25">
      <c r="B2" s="1103" t="s">
        <v>164</v>
      </c>
      <c r="C2" s="1103"/>
      <c r="D2" s="1103"/>
      <c r="E2" s="1103"/>
      <c r="F2" s="1103"/>
      <c r="G2" s="1103"/>
      <c r="H2" s="1103"/>
      <c r="I2" s="1103"/>
      <c r="J2" s="1103"/>
      <c r="K2" s="1103"/>
      <c r="L2" s="1103"/>
      <c r="M2" s="1103"/>
      <c r="N2" s="1103"/>
      <c r="O2" s="1103"/>
      <c r="P2" s="877"/>
      <c r="Q2" s="878"/>
      <c r="R2" s="881"/>
      <c r="S2" s="881"/>
      <c r="T2" s="880"/>
      <c r="U2" s="880"/>
      <c r="AP2" s="234"/>
    </row>
    <row r="3" spans="2:64" ht="18.75" customHeight="1" x14ac:dyDescent="0.3">
      <c r="B3" s="877"/>
      <c r="C3" s="882"/>
      <c r="D3" s="1104" t="s">
        <v>1412</v>
      </c>
      <c r="E3" s="1104"/>
      <c r="F3" s="1104"/>
      <c r="G3" s="1104"/>
      <c r="H3" s="1104"/>
      <c r="I3" s="1104"/>
      <c r="J3" s="1104"/>
      <c r="K3" s="1104"/>
      <c r="L3" s="1104"/>
      <c r="M3" s="1105" t="s">
        <v>2856</v>
      </c>
      <c r="N3" s="1106"/>
      <c r="O3" s="1107"/>
      <c r="P3" s="1108"/>
      <c r="Q3" s="878"/>
      <c r="R3" s="1094">
        <f>+T4</f>
        <v>0.5</v>
      </c>
      <c r="S3" s="883"/>
      <c r="T3" s="880"/>
      <c r="U3" s="880"/>
      <c r="V3" s="235"/>
      <c r="AP3" s="234"/>
    </row>
    <row r="4" spans="2:64" ht="23.25" customHeight="1" x14ac:dyDescent="0.25">
      <c r="B4" s="877"/>
      <c r="C4" s="882"/>
      <c r="D4" s="884"/>
      <c r="E4" s="884"/>
      <c r="F4" s="884"/>
      <c r="G4" s="884"/>
      <c r="H4" s="884"/>
      <c r="I4" s="884"/>
      <c r="J4" s="884"/>
      <c r="K4" s="884"/>
      <c r="L4" s="884"/>
      <c r="M4" s="877"/>
      <c r="N4" s="884" t="s">
        <v>1411</v>
      </c>
      <c r="O4" s="1095">
        <v>368</v>
      </c>
      <c r="P4" s="1096"/>
      <c r="Q4" s="878"/>
      <c r="R4" s="1094"/>
      <c r="S4" s="883"/>
      <c r="T4" s="885">
        <f>IF(L25/G25&lt;100%,L25/G25,100%)</f>
        <v>0.5</v>
      </c>
      <c r="U4" s="880"/>
      <c r="V4" s="1"/>
      <c r="AP4" s="234"/>
    </row>
    <row r="5" spans="2:64" ht="4.5" customHeight="1" x14ac:dyDescent="0.3">
      <c r="B5" s="877"/>
      <c r="C5" s="886"/>
      <c r="D5" s="877"/>
      <c r="E5" s="877"/>
      <c r="F5" s="887"/>
      <c r="G5" s="877"/>
      <c r="H5" s="877"/>
      <c r="I5" s="877"/>
      <c r="J5" s="877"/>
      <c r="K5" s="877"/>
      <c r="L5" s="877"/>
      <c r="M5" s="877"/>
      <c r="N5" s="877"/>
      <c r="O5" s="877"/>
      <c r="P5" s="877"/>
      <c r="Q5" s="878"/>
      <c r="R5" s="888"/>
      <c r="S5" s="888"/>
      <c r="T5" s="880"/>
      <c r="U5" s="880"/>
      <c r="AP5" s="234"/>
    </row>
    <row r="6" spans="2:64" ht="18" x14ac:dyDescent="0.25">
      <c r="B6" s="1100" t="s">
        <v>235</v>
      </c>
      <c r="C6" s="1100"/>
      <c r="D6" s="1098" t="str">
        <f>VLOOKUP($O$4,Datos_P!$E$4:$EE$541,3,FALSE)</f>
        <v>SECRETARIA DE AGRICULTURA</v>
      </c>
      <c r="E6" s="1098"/>
      <c r="F6" s="1098"/>
      <c r="G6" s="1098"/>
      <c r="H6" s="1098"/>
      <c r="I6" s="1098"/>
      <c r="J6" s="1098"/>
      <c r="K6" s="1098"/>
      <c r="L6" s="1098"/>
      <c r="M6" s="1098"/>
      <c r="N6" s="1099"/>
      <c r="O6" s="236"/>
      <c r="P6" s="236"/>
      <c r="Q6" s="889"/>
      <c r="R6" s="890"/>
      <c r="S6" s="890"/>
      <c r="T6" s="880"/>
      <c r="U6" s="880"/>
      <c r="W6" s="237"/>
      <c r="AP6" s="234"/>
    </row>
    <row r="7" spans="2:64" ht="1.5" customHeight="1" x14ac:dyDescent="0.25">
      <c r="B7" s="957"/>
      <c r="C7" s="958"/>
      <c r="D7" s="959"/>
      <c r="E7" s="959"/>
      <c r="F7" s="959"/>
      <c r="G7" s="959"/>
      <c r="H7" s="959"/>
      <c r="I7" s="959"/>
      <c r="J7" s="959"/>
      <c r="K7" s="959"/>
      <c r="L7" s="959"/>
      <c r="M7" s="959"/>
      <c r="N7" s="959"/>
      <c r="O7" s="958"/>
      <c r="P7" s="960"/>
      <c r="Q7" s="889"/>
      <c r="R7" s="890"/>
      <c r="S7" s="890"/>
      <c r="T7" s="880"/>
      <c r="U7" s="880"/>
      <c r="W7" s="237"/>
      <c r="AP7" s="234"/>
    </row>
    <row r="8" spans="2:64" s="3" customFormat="1" ht="18" x14ac:dyDescent="0.2">
      <c r="B8" s="1082" t="s">
        <v>234</v>
      </c>
      <c r="C8" s="1082"/>
      <c r="D8" s="1082"/>
      <c r="E8" s="1082"/>
      <c r="F8" s="1082"/>
      <c r="G8" s="1082"/>
      <c r="H8" s="1082"/>
      <c r="I8" s="1082"/>
      <c r="J8" s="1082"/>
      <c r="K8" s="1082"/>
      <c r="L8" s="1082"/>
      <c r="M8" s="1082"/>
      <c r="N8" s="1082"/>
      <c r="O8" s="1082"/>
      <c r="P8" s="1082"/>
      <c r="Q8" s="891"/>
      <c r="R8" s="892"/>
      <c r="S8" s="892"/>
      <c r="T8" s="893"/>
      <c r="U8" s="893"/>
      <c r="V8" s="51"/>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9"/>
    </row>
    <row r="9" spans="2:64" s="3" customFormat="1" ht="39" customHeight="1" x14ac:dyDescent="0.2">
      <c r="B9" s="916" t="s">
        <v>233</v>
      </c>
      <c r="C9" s="917">
        <f>VLOOKUP($O$4,Datos_P!$E$4:$EE$541,1,FALSE)</f>
        <v>368</v>
      </c>
      <c r="D9" s="1090" t="str">
        <f>VLOOKUP($O$4,Datos_P!$E$4:$EE$541,6,FALSE)</f>
        <v>CONSOLIDAR UNA EVALUACIÓN AGROPECUARIA ANUAL DE LOS 116 MUNICIPIOS EN COORDINACIÓN CON LAS EPSAGRO, MINISTERIO DE AGRICULTURA Y DESARROLLO RURAL Y CON PUBLICACIÓN ANUAL</v>
      </c>
      <c r="E9" s="1090"/>
      <c r="F9" s="1090"/>
      <c r="G9" s="1090"/>
      <c r="H9" s="1090"/>
      <c r="I9" s="1090"/>
      <c r="J9" s="1090"/>
      <c r="K9" s="1090"/>
      <c r="L9" s="1090"/>
      <c r="M9" s="1090"/>
      <c r="N9" s="1090"/>
      <c r="O9" s="918" t="s">
        <v>308</v>
      </c>
      <c r="P9" s="919">
        <f>VLOOKUP($O$4,Datos_P!$E$4:$EE$541,13,FALSE)</f>
        <v>8.8999999999999996E-2</v>
      </c>
      <c r="Q9" s="891"/>
      <c r="R9" s="893"/>
      <c r="S9" s="893"/>
      <c r="T9" s="893"/>
      <c r="U9" s="893"/>
      <c r="V9" s="51"/>
      <c r="W9" s="240"/>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9"/>
    </row>
    <row r="10" spans="2:64" s="3" customFormat="1" ht="15.75" customHeight="1" x14ac:dyDescent="0.2">
      <c r="B10" s="916" t="s">
        <v>232</v>
      </c>
      <c r="C10" s="1097" t="str">
        <f>VLOOKUP($O$4,Datos_P!$E$4:$EE$541,2,FALSE)</f>
        <v>2-SOSTENIBILIDAD Y RURALIDAD</v>
      </c>
      <c r="D10" s="1097"/>
      <c r="E10" s="1097"/>
      <c r="F10" s="1097"/>
      <c r="G10" s="1097"/>
      <c r="H10" s="1097"/>
      <c r="I10" s="1097"/>
      <c r="J10" s="1101" t="s">
        <v>231</v>
      </c>
      <c r="K10" s="1101"/>
      <c r="L10" s="1097" t="str">
        <f>VLOOKUP($O$4,Datos_P!$E$4:$EE$541,4,FALSE)</f>
        <v>4. DESARROLLO COMPETITIVO DEL SECTOR AGROPECUARIO</v>
      </c>
      <c r="M10" s="1097"/>
      <c r="N10" s="1097"/>
      <c r="O10" s="1097"/>
      <c r="P10" s="1097"/>
      <c r="Q10" s="891"/>
      <c r="R10" s="894"/>
      <c r="S10" s="894"/>
      <c r="T10" s="893"/>
      <c r="U10" s="893"/>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9"/>
    </row>
    <row r="11" spans="2:64" s="3" customFormat="1" ht="12.75" x14ac:dyDescent="0.2">
      <c r="B11" s="916" t="s">
        <v>309</v>
      </c>
      <c r="C11" s="1097" t="str">
        <f>VLOOKUP($O$4,Datos_P!$E$4:$EE$541,5,FALSE)</f>
        <v>DESARROLLO TECNOLÓGICO, TRANSFERENCIA DE TECNOLOGÍA, ASISTENCIA TÉCNICA Y PLANIFICACIÓN AGROPECUARIA</v>
      </c>
      <c r="D11" s="1097"/>
      <c r="E11" s="1097"/>
      <c r="F11" s="1097"/>
      <c r="G11" s="1097"/>
      <c r="H11" s="1097"/>
      <c r="I11" s="1097"/>
      <c r="J11" s="1101"/>
      <c r="K11" s="1101"/>
      <c r="L11" s="1097"/>
      <c r="M11" s="1097"/>
      <c r="N11" s="1097"/>
      <c r="O11" s="1097"/>
      <c r="P11" s="1097"/>
      <c r="Q11" s="891"/>
      <c r="R11" s="894"/>
      <c r="S11" s="894"/>
      <c r="T11" s="893"/>
      <c r="U11" s="893"/>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9"/>
    </row>
    <row r="12" spans="2:64" ht="3" customHeight="1" x14ac:dyDescent="0.25">
      <c r="B12" s="953"/>
      <c r="C12" s="954"/>
      <c r="D12" s="954"/>
      <c r="E12" s="954"/>
      <c r="F12" s="955"/>
      <c r="G12" s="955"/>
      <c r="H12" s="955"/>
      <c r="I12" s="955"/>
      <c r="J12" s="955"/>
      <c r="K12" s="955"/>
      <c r="L12" s="955"/>
      <c r="M12" s="956"/>
      <c r="N12" s="956"/>
      <c r="O12" s="956"/>
      <c r="P12" s="956"/>
      <c r="Q12" s="895"/>
      <c r="R12" s="896"/>
      <c r="S12" s="896"/>
      <c r="T12" s="880"/>
      <c r="U12" s="880"/>
      <c r="AP12" s="234"/>
      <c r="BL12" s="241"/>
    </row>
    <row r="13" spans="2:64" ht="48" customHeight="1" x14ac:dyDescent="0.25">
      <c r="B13" s="1091" t="s">
        <v>2838</v>
      </c>
      <c r="C13" s="1091"/>
      <c r="D13" s="919">
        <f>VLOOKUP($O$4,Datos_P!$E$4:$EE$541,120,FALSE)</f>
        <v>360</v>
      </c>
      <c r="E13" s="1092" t="str">
        <f>VLOOKUP($O$4,Datos_P!$E$4:$EE$541,121,FALSE)</f>
        <v>INCREMENTAR EN 10% LAS TONELADAS ANUALES DE LA PRODUCCIÓN DE ALIMENTOS LLEGANDO A 4.400.000 TONELADAS PRODUCIDAS.</v>
      </c>
      <c r="F13" s="1092"/>
      <c r="G13" s="1092"/>
      <c r="H13" s="1092"/>
      <c r="I13" s="1092"/>
      <c r="J13" s="919">
        <f>VLOOKUP($O$4,Datos_P!$E$4:$EE$541,122,FALSE)</f>
        <v>0</v>
      </c>
      <c r="K13" s="1092" t="str">
        <f>VLOOKUP($O$4,Datos_P!$E$4:$EE$541,123,FALSE)</f>
        <v/>
      </c>
      <c r="L13" s="1092"/>
      <c r="M13" s="1092"/>
      <c r="N13" s="1092"/>
      <c r="O13" s="1092"/>
      <c r="P13" s="1092"/>
      <c r="Q13" s="895"/>
      <c r="R13" s="896"/>
      <c r="S13" s="896"/>
      <c r="T13" s="880"/>
      <c r="U13" s="880"/>
      <c r="AP13" s="234"/>
      <c r="BL13" s="241"/>
    </row>
    <row r="14" spans="2:64" ht="1.5" customHeight="1" x14ac:dyDescent="0.25">
      <c r="B14" s="1089"/>
      <c r="C14" s="1089"/>
      <c r="D14" s="1089"/>
      <c r="E14" s="1089"/>
      <c r="F14" s="1089"/>
      <c r="G14" s="1089"/>
      <c r="H14" s="1089"/>
      <c r="I14" s="1089"/>
      <c r="J14" s="1089"/>
      <c r="K14" s="1089"/>
      <c r="L14" s="1089"/>
      <c r="M14" s="1089"/>
      <c r="N14" s="1089"/>
      <c r="O14" s="1089"/>
      <c r="P14" s="1089"/>
      <c r="Q14" s="897"/>
      <c r="R14" s="898"/>
      <c r="S14" s="898"/>
      <c r="T14" s="880"/>
      <c r="U14" s="880"/>
      <c r="AP14" s="234"/>
    </row>
    <row r="15" spans="2:64" ht="15.75" customHeight="1" x14ac:dyDescent="0.25">
      <c r="B15" s="1082" t="s">
        <v>229</v>
      </c>
      <c r="C15" s="1082"/>
      <c r="D15" s="1082"/>
      <c r="E15" s="1082"/>
      <c r="F15" s="1082"/>
      <c r="G15" s="1082"/>
      <c r="H15" s="1082"/>
      <c r="I15" s="1082"/>
      <c r="J15" s="1082"/>
      <c r="K15" s="1082"/>
      <c r="L15" s="1082"/>
      <c r="M15" s="1082"/>
      <c r="N15" s="1082"/>
      <c r="O15" s="1082"/>
      <c r="P15" s="1082"/>
      <c r="Q15" s="897"/>
      <c r="R15" s="898"/>
      <c r="S15" s="898"/>
      <c r="T15" s="880"/>
      <c r="U15" s="880"/>
      <c r="AP15" s="234"/>
    </row>
    <row r="16" spans="2:64" ht="22.5" customHeight="1" x14ac:dyDescent="0.25">
      <c r="B16" s="920" t="s">
        <v>228</v>
      </c>
      <c r="C16" s="1090" t="str">
        <f>VLOOKUP($O$4,Datos_P!$E$4:$EE$541,7,FALSE)</f>
        <v>NO DE EVALUACIONES AGROPECUARIAS CONSOLIDADAS Y PUBLICADAS EN EL AÑO</v>
      </c>
      <c r="D16" s="1090"/>
      <c r="E16" s="1090"/>
      <c r="F16" s="1090"/>
      <c r="G16" s="1090"/>
      <c r="H16" s="1090"/>
      <c r="I16" s="1090"/>
      <c r="J16" s="1090"/>
      <c r="K16" s="1090"/>
      <c r="L16" s="1090"/>
      <c r="M16" s="921" t="s">
        <v>226</v>
      </c>
      <c r="N16" s="1093" t="str">
        <f>+IF(R16="I","INCREMENTO",IF(R16="M","MANTENIMIENTO","REDUCCIÓN"))</f>
        <v>INCREMENTO</v>
      </c>
      <c r="O16" s="1093">
        <f t="shared" ref="O16:P16" si="0">+IF(F16="I",(+N16),IF(F16="M",(+N16)/4,))</f>
        <v>0</v>
      </c>
      <c r="P16" s="1093">
        <f t="shared" si="0"/>
        <v>0</v>
      </c>
      <c r="Q16" s="897"/>
      <c r="R16" s="1079" t="str">
        <f>VLOOKUP($O$4,Datos_P!$E$4:$EE$541,9,FALSE)</f>
        <v>I</v>
      </c>
      <c r="S16" s="1079"/>
      <c r="T16" s="1079"/>
      <c r="U16" s="1079"/>
      <c r="AP16" s="234"/>
    </row>
    <row r="17" spans="2:64" ht="16.5" customHeight="1" x14ac:dyDescent="0.25">
      <c r="B17" s="922" t="s">
        <v>225</v>
      </c>
      <c r="C17" s="1083">
        <f>VLOOKUP($O$4,Datos_P!$E$4:$EE$541,10,FALSE)</f>
        <v>21</v>
      </c>
      <c r="D17" s="1083"/>
      <c r="E17" s="1084" t="s">
        <v>2353</v>
      </c>
      <c r="F17" s="1084"/>
      <c r="G17" s="1084"/>
      <c r="H17" s="923">
        <f>VLOOKUP($O$4,Datos_P!$E$4:$EE$541,11,FALSE)</f>
        <v>25</v>
      </c>
      <c r="I17" s="1088" t="s">
        <v>2354</v>
      </c>
      <c r="J17" s="1088"/>
      <c r="K17" s="1087">
        <f>VLOOKUP($O$4,Datos_P!$E$4:$EE$541,12,FALSE)</f>
        <v>4</v>
      </c>
      <c r="L17" s="1087"/>
      <c r="M17" s="924" t="s">
        <v>2010</v>
      </c>
      <c r="N17" s="1086" t="str">
        <f>VLOOKUP($O$4,Datos_P!$E$4:$EE$541,8,FALSE)</f>
        <v>EVALUACIONES</v>
      </c>
      <c r="O17" s="1086"/>
      <c r="P17" s="1086"/>
      <c r="Q17" s="897"/>
      <c r="R17" s="898"/>
      <c r="S17" s="898"/>
      <c r="T17" s="880"/>
      <c r="U17" s="880"/>
      <c r="AP17" s="234"/>
    </row>
    <row r="18" spans="2:64" ht="1.5" customHeight="1" x14ac:dyDescent="0.25">
      <c r="B18" s="1085"/>
      <c r="C18" s="1085"/>
      <c r="D18" s="1085"/>
      <c r="E18" s="1085"/>
      <c r="F18" s="1085"/>
      <c r="G18" s="1085"/>
      <c r="H18" s="1085"/>
      <c r="I18" s="1085"/>
      <c r="J18" s="1085"/>
      <c r="K18" s="1085"/>
      <c r="L18" s="1085"/>
      <c r="M18" s="1085"/>
      <c r="N18" s="1085"/>
      <c r="O18" s="1085"/>
      <c r="P18" s="1085"/>
      <c r="Q18" s="897"/>
      <c r="R18" s="898"/>
      <c r="S18" s="898"/>
      <c r="T18" s="880"/>
      <c r="U18" s="880"/>
      <c r="AP18" s="234"/>
      <c r="BL18" s="242"/>
    </row>
    <row r="19" spans="2:64" ht="12.75" customHeight="1" x14ac:dyDescent="0.25">
      <c r="B19" s="1082" t="s">
        <v>310</v>
      </c>
      <c r="C19" s="1082"/>
      <c r="D19" s="1082"/>
      <c r="E19" s="1082"/>
      <c r="F19" s="1082"/>
      <c r="G19" s="1082"/>
      <c r="H19" s="1082"/>
      <c r="I19" s="1082"/>
      <c r="J19" s="1082"/>
      <c r="K19" s="1082"/>
      <c r="L19" s="1082"/>
      <c r="M19" s="1082"/>
      <c r="N19" s="1082"/>
      <c r="O19" s="1082"/>
      <c r="P19" s="1082"/>
      <c r="Q19" s="897"/>
      <c r="R19" s="898"/>
      <c r="S19" s="898"/>
      <c r="T19" s="880"/>
      <c r="U19" s="880"/>
      <c r="V19" s="529"/>
      <c r="W19" s="529"/>
      <c r="AP19" s="234"/>
      <c r="BL19" s="242"/>
    </row>
    <row r="20" spans="2:64" ht="15.75" x14ac:dyDescent="0.25">
      <c r="B20" s="1080" t="s">
        <v>47</v>
      </c>
      <c r="C20" s="1080"/>
      <c r="D20" s="1080"/>
      <c r="E20" s="1080"/>
      <c r="F20" s="1080"/>
      <c r="G20" s="1080"/>
      <c r="H20" s="1080" t="s">
        <v>48</v>
      </c>
      <c r="I20" s="1080"/>
      <c r="J20" s="1080"/>
      <c r="K20" s="1080"/>
      <c r="L20" s="1080"/>
      <c r="M20" s="1080" t="s">
        <v>1409</v>
      </c>
      <c r="N20" s="1080"/>
      <c r="O20" s="1080"/>
      <c r="P20" s="1080"/>
      <c r="Q20" s="897"/>
      <c r="R20" s="898"/>
      <c r="S20" s="898"/>
      <c r="T20" s="880"/>
      <c r="U20" s="880"/>
      <c r="V20" s="529"/>
      <c r="W20" s="529"/>
      <c r="AP20" s="234"/>
      <c r="BL20" s="242"/>
    </row>
    <row r="21" spans="2:64" ht="27" customHeight="1" x14ac:dyDescent="0.25">
      <c r="B21" s="925" t="s">
        <v>49</v>
      </c>
      <c r="C21" s="926" t="s">
        <v>106</v>
      </c>
      <c r="D21" s="1081" t="s">
        <v>306</v>
      </c>
      <c r="E21" s="1081"/>
      <c r="F21" s="926" t="s">
        <v>1505</v>
      </c>
      <c r="G21" s="926" t="s">
        <v>1506</v>
      </c>
      <c r="H21" s="926" t="s">
        <v>199</v>
      </c>
      <c r="I21" s="926" t="s">
        <v>1508</v>
      </c>
      <c r="J21" s="926" t="s">
        <v>1950</v>
      </c>
      <c r="K21" s="1081" t="s">
        <v>311</v>
      </c>
      <c r="L21" s="1081"/>
      <c r="M21" s="926" t="s">
        <v>312</v>
      </c>
      <c r="N21" s="926" t="s">
        <v>313</v>
      </c>
      <c r="O21" s="1081" t="s">
        <v>314</v>
      </c>
      <c r="P21" s="1081"/>
      <c r="Q21" s="878"/>
      <c r="R21" s="879"/>
      <c r="S21" s="879"/>
      <c r="T21" s="880"/>
      <c r="U21" s="877"/>
      <c r="AP21" s="234"/>
      <c r="BL21" s="242"/>
    </row>
    <row r="22" spans="2:64" ht="13.5" x14ac:dyDescent="0.25">
      <c r="B22" s="927">
        <v>2012</v>
      </c>
      <c r="C22" s="928">
        <f>VLOOKUP($O$4,Datos_P!$E$4:$EE$541,15,FALSE)</f>
        <v>1</v>
      </c>
      <c r="D22" s="1074">
        <f>+C22</f>
        <v>1</v>
      </c>
      <c r="E22" s="1074"/>
      <c r="F22" s="929">
        <f>VLOOKUP($O$4,Datos_P!$E$4:$EE$541,16,FALSE)*100</f>
        <v>25</v>
      </c>
      <c r="G22" s="930">
        <f>+F22</f>
        <v>25</v>
      </c>
      <c r="H22" s="931">
        <f>VLOOKUP($O$4,Datos_P!$E$4:$EE$541,17,FALSE)</f>
        <v>1</v>
      </c>
      <c r="I22" s="932">
        <f>VLOOKUP($O$4,Datos_P!$E$4:$EE$541,22,FALSE)</f>
        <v>100</v>
      </c>
      <c r="J22" s="933">
        <f>IF($N$16="MANTENIMIENTO",H22,H22)</f>
        <v>1</v>
      </c>
      <c r="K22" s="934">
        <f>+IF($N$16="INCREMENTO",(H22),IF($N$16="MANTENIMIENTO",(H22),$C$17-H22 ))*100/$K$17</f>
        <v>25</v>
      </c>
      <c r="L22" s="935">
        <f>+IF(K22&lt;100,K22,100)</f>
        <v>25</v>
      </c>
      <c r="M22" s="931">
        <f>VLOOKUP($O$4,Datos_P!$E$4:$EE$541,23,FALSE)/1000000</f>
        <v>0</v>
      </c>
      <c r="N22" s="931">
        <f>VLOOKUP($O$4,Datos_P!$E$4:$EE$541,31,FALSE)/1000000</f>
        <v>0</v>
      </c>
      <c r="O22" s="1075">
        <f>+N22</f>
        <v>0</v>
      </c>
      <c r="P22" s="1075"/>
      <c r="Q22" s="897"/>
      <c r="R22" s="898"/>
      <c r="S22" s="898"/>
      <c r="T22" s="880"/>
      <c r="U22" s="877"/>
      <c r="V22" s="243"/>
      <c r="AP22" s="234"/>
      <c r="BL22" s="244"/>
    </row>
    <row r="23" spans="2:64" ht="13.5" x14ac:dyDescent="0.25">
      <c r="B23" s="936">
        <v>2013</v>
      </c>
      <c r="C23" s="937">
        <f>VLOOKUP($O$4,Datos_P!$E$4:$EE$541,43,FALSE)</f>
        <v>1</v>
      </c>
      <c r="D23" s="1076">
        <f>IF($N$16="MANTENIMIENTO",C23,IF($N$16="REDUCCIÓN",C23,D22+C23))</f>
        <v>2</v>
      </c>
      <c r="E23" s="1076"/>
      <c r="F23" s="938">
        <f>VLOOKUP($O$4,Datos_P!$E$4:$EE$541,44,FALSE)*100</f>
        <v>25</v>
      </c>
      <c r="G23" s="939">
        <f>+G22+F23</f>
        <v>50</v>
      </c>
      <c r="H23" s="940">
        <f>VLOOKUP($O$4,Datos_P!$E$4:$EE$541,45,FALSE)</f>
        <v>0</v>
      </c>
      <c r="I23" s="941">
        <f>VLOOKUP($O$4,Datos_P!$E$4:$EE$541,50,FALSE)</f>
        <v>0</v>
      </c>
      <c r="J23" s="942">
        <f>IF($N$16="MANTENIMIENTO",H23,IF($N$16="REDUCCIÓN",H23,H22+H23))</f>
        <v>1</v>
      </c>
      <c r="K23" s="943">
        <f>+IF($N$16="INCREMENTO",(H22+H23),IF($N$16="MANTENIMIENTO",(H22+H23)/2,$C$17-H23 ))*100/$K$17</f>
        <v>25</v>
      </c>
      <c r="L23" s="944">
        <f t="shared" ref="L23:L25" si="1">+IF(K23&lt;100,K23,100)</f>
        <v>25</v>
      </c>
      <c r="M23" s="945">
        <f>VLOOKUP($O$4,Datos_P!$E$4:$EE$541,51,FALSE)/1000000</f>
        <v>122</v>
      </c>
      <c r="N23" s="945">
        <f>VLOOKUP($O$4,Datos_P!$E$4:$EE$541,59,FALSE)/1000000</f>
        <v>0</v>
      </c>
      <c r="O23" s="1077">
        <f>+O22+N23</f>
        <v>0</v>
      </c>
      <c r="P23" s="1077"/>
      <c r="Q23" s="897"/>
      <c r="R23" s="898"/>
      <c r="S23" s="898"/>
      <c r="T23" s="880"/>
      <c r="U23" s="899"/>
      <c r="AP23" s="234"/>
      <c r="BL23" s="245"/>
    </row>
    <row r="24" spans="2:64" ht="13.5" x14ac:dyDescent="0.25">
      <c r="B24" s="927">
        <v>2014</v>
      </c>
      <c r="C24" s="928">
        <f>VLOOKUP($O$4,Datos_P!$E$4:$EE$541,71,FALSE)</f>
        <v>1</v>
      </c>
      <c r="D24" s="1078">
        <f>IF($N$16="MANTENIMIENTO",C24,IF($N$16="REDUCCIÓN",C24,D23+C24))</f>
        <v>3</v>
      </c>
      <c r="E24" s="1078"/>
      <c r="F24" s="946">
        <f>VLOOKUP($O$4,Datos_P!$E$4:$EE$541,72,FALSE)*100</f>
        <v>25</v>
      </c>
      <c r="G24" s="930">
        <f>+G23+F24</f>
        <v>75</v>
      </c>
      <c r="H24" s="947">
        <f>VLOOKUP($O$4,Datos_P!$E$4:$EE$541,75,FALSE)</f>
        <v>1</v>
      </c>
      <c r="I24" s="932">
        <f>VLOOKUP($O$4,Datos_P!$E$4:$EE$541,80,FALSE)</f>
        <v>100</v>
      </c>
      <c r="J24" s="948">
        <f>IF($N$16="MANTENIMIENTO",H24,IF($N$16="REDUCCIÓN",H24,H22+H23+H24))</f>
        <v>2</v>
      </c>
      <c r="K24" s="934">
        <f>+IF($N$16="INCREMENTO",(H22+H23+H24),IF($N$16="MANTENIMIENTO",(H22+H23+H24)/3,C17-H24 ))*100/$K$17</f>
        <v>50</v>
      </c>
      <c r="L24" s="949">
        <f t="shared" si="1"/>
        <v>50</v>
      </c>
      <c r="M24" s="931">
        <f>VLOOKUP($O$4,Datos_P!$E$4:$EE$541,129,FALSE)/1000000</f>
        <v>125</v>
      </c>
      <c r="N24" s="931">
        <f>VLOOKUP($O$4,Datos_P!$E$4:$EE$541,130,FALSE)/1000000</f>
        <v>0</v>
      </c>
      <c r="O24" s="1075">
        <f>+O23+N24</f>
        <v>0</v>
      </c>
      <c r="P24" s="1075"/>
      <c r="Q24" s="897"/>
      <c r="R24" s="898"/>
      <c r="S24" s="898"/>
      <c r="T24" s="880"/>
      <c r="U24" s="877"/>
      <c r="AP24" s="234"/>
      <c r="BL24" s="246"/>
    </row>
    <row r="25" spans="2:64" ht="13.5" x14ac:dyDescent="0.25">
      <c r="B25" s="950">
        <v>2015</v>
      </c>
      <c r="C25" s="937">
        <f>VLOOKUP($O$4,Datos_P!$E$4:$EE$541,83,FALSE)</f>
        <v>1</v>
      </c>
      <c r="D25" s="1076">
        <f>IF($N$16="MANTENIMIENTO",C25,IF($N$16="REDUCCIÓN",C25,D24+C25))</f>
        <v>4</v>
      </c>
      <c r="E25" s="1076"/>
      <c r="F25" s="938">
        <f>VLOOKUP($O$4,Datos_P!$E$4:$EE$541,84,FALSE)*100</f>
        <v>25</v>
      </c>
      <c r="G25" s="939">
        <f>+G24+F25</f>
        <v>100</v>
      </c>
      <c r="H25" s="951">
        <f>VLOOKUP($O$4,Datos_P!$E$4:$EE$541,85,FALSE)</f>
        <v>0</v>
      </c>
      <c r="I25" s="941">
        <f>VLOOKUP($O$4,Datos_P!$E$4:$EE$541,89,FALSE)</f>
        <v>0</v>
      </c>
      <c r="J25" s="952">
        <f>IF($N$16="MANTENIMIENTO",H25,IF($N$16="REDUCCIÓN",H25,H22+H23+H24+H25))</f>
        <v>2</v>
      </c>
      <c r="K25" s="943">
        <f>+IF($N$16="INCREMENTO",(H22+H23+H24+H25),IF($N$16="MANTENIMIENTO",(H22+H23+H24+H25)/4,C17-H25 ))*100/$K$17</f>
        <v>50</v>
      </c>
      <c r="L25" s="944">
        <f t="shared" si="1"/>
        <v>50</v>
      </c>
      <c r="M25" s="945">
        <f>VLOOKUP($O$4,Datos_P!$E$4:$EE$541,92,FALSE)/1000000</f>
        <v>128</v>
      </c>
      <c r="N25" s="945">
        <f>VLOOKUP($O$4,Datos_P!$E$4:$EE$541,100,FALSE)/1000000</f>
        <v>0</v>
      </c>
      <c r="O25" s="1077">
        <f>+O24+N25</f>
        <v>0</v>
      </c>
      <c r="P25" s="1077"/>
      <c r="Q25" s="900"/>
      <c r="R25" s="901"/>
      <c r="S25" s="901"/>
      <c r="T25" s="880"/>
      <c r="U25" s="877"/>
      <c r="AP25" s="234"/>
    </row>
    <row r="26" spans="2:64" ht="14.25" customHeight="1" x14ac:dyDescent="0.25">
      <c r="B26" s="1072" t="s">
        <v>315</v>
      </c>
      <c r="C26" s="1072"/>
      <c r="D26" s="1072"/>
      <c r="E26" s="1072"/>
      <c r="F26" s="1072"/>
      <c r="G26" s="1072"/>
      <c r="H26" s="1073" t="s">
        <v>316</v>
      </c>
      <c r="I26" s="1073"/>
      <c r="J26" s="1073"/>
      <c r="K26" s="1073"/>
      <c r="L26" s="1073"/>
      <c r="M26" s="1073" t="s">
        <v>317</v>
      </c>
      <c r="N26" s="1073"/>
      <c r="O26" s="1073"/>
      <c r="P26" s="1073"/>
      <c r="Q26" s="902"/>
      <c r="R26" s="903"/>
      <c r="S26" s="903"/>
      <c r="T26" s="880"/>
      <c r="U26" s="880"/>
      <c r="V26" s="2"/>
      <c r="AP26" s="234"/>
    </row>
    <row r="27" spans="2:64" ht="11.25" customHeight="1" x14ac:dyDescent="0.25">
      <c r="B27" s="1063" t="str">
        <f>VLOOKUP($O$4,Datos_P!$E$4:$EE$541,128,FALSE)</f>
        <v>Estadísticas agropecuarias impresas de  las vigencias  2011-2012-2013-2014 como herramienta  de planificación  para los  116 municipios de Departamento.</v>
      </c>
      <c r="C27" s="1064"/>
      <c r="D27" s="1064"/>
      <c r="E27" s="1064"/>
      <c r="F27" s="1064"/>
      <c r="G27" s="1065"/>
      <c r="H27" s="961"/>
      <c r="I27" s="961"/>
      <c r="J27" s="962"/>
      <c r="K27" s="962"/>
      <c r="L27" s="963"/>
      <c r="M27" s="963"/>
      <c r="N27" s="963"/>
      <c r="O27" s="963"/>
      <c r="P27" s="964"/>
      <c r="Q27" s="905"/>
      <c r="R27" s="906"/>
      <c r="S27" s="906"/>
      <c r="T27" s="880"/>
      <c r="U27" s="880"/>
      <c r="V27" s="2"/>
      <c r="AP27" s="234"/>
    </row>
    <row r="28" spans="2:64" ht="15.75" customHeight="1" x14ac:dyDescent="0.25">
      <c r="B28" s="1066"/>
      <c r="C28" s="1067"/>
      <c r="D28" s="1067"/>
      <c r="E28" s="1067"/>
      <c r="F28" s="1067"/>
      <c r="G28" s="1068"/>
      <c r="H28" s="907"/>
      <c r="I28" s="907"/>
      <c r="J28" s="907"/>
      <c r="K28" s="907"/>
      <c r="L28" s="247"/>
      <c r="M28" s="247"/>
      <c r="N28" s="248"/>
      <c r="O28" s="248"/>
      <c r="P28" s="965"/>
      <c r="Q28" s="905"/>
      <c r="R28" s="906"/>
      <c r="S28" s="906"/>
      <c r="T28" s="880"/>
      <c r="U28" s="880"/>
      <c r="AP28" s="234"/>
    </row>
    <row r="29" spans="2:64" ht="15.75" customHeight="1" x14ac:dyDescent="0.25">
      <c r="B29" s="1066"/>
      <c r="C29" s="1067"/>
      <c r="D29" s="1067"/>
      <c r="E29" s="1067"/>
      <c r="F29" s="1067"/>
      <c r="G29" s="1068"/>
      <c r="H29" s="249"/>
      <c r="I29" s="249"/>
      <c r="J29" s="247"/>
      <c r="K29" s="247"/>
      <c r="L29" s="247"/>
      <c r="M29" s="247"/>
      <c r="N29" s="248"/>
      <c r="O29" s="248"/>
      <c r="P29" s="965"/>
      <c r="Q29" s="905"/>
      <c r="R29" s="906"/>
      <c r="S29" s="906"/>
      <c r="T29" s="880"/>
      <c r="U29" s="880"/>
      <c r="AP29" s="234"/>
    </row>
    <row r="30" spans="2:64" ht="15.75" customHeight="1" x14ac:dyDescent="0.25">
      <c r="B30" s="1066"/>
      <c r="C30" s="1067"/>
      <c r="D30" s="1067"/>
      <c r="E30" s="1067"/>
      <c r="F30" s="1067"/>
      <c r="G30" s="1068"/>
      <c r="H30" s="249"/>
      <c r="I30" s="249"/>
      <c r="J30" s="247"/>
      <c r="K30" s="247"/>
      <c r="L30" s="247"/>
      <c r="M30" s="247"/>
      <c r="N30" s="248"/>
      <c r="O30" s="248"/>
      <c r="P30" s="965"/>
      <c r="Q30" s="905"/>
      <c r="R30" s="906"/>
      <c r="S30" s="906"/>
      <c r="T30" s="880"/>
      <c r="U30" s="880"/>
      <c r="AP30" s="234"/>
    </row>
    <row r="31" spans="2:64" ht="15.75" customHeight="1" x14ac:dyDescent="0.25">
      <c r="B31" s="1066"/>
      <c r="C31" s="1067"/>
      <c r="D31" s="1067"/>
      <c r="E31" s="1067"/>
      <c r="F31" s="1067"/>
      <c r="G31" s="1068"/>
      <c r="H31" s="249"/>
      <c r="I31" s="249"/>
      <c r="J31" s="247"/>
      <c r="K31" s="247"/>
      <c r="L31" s="247"/>
      <c r="M31" s="247"/>
      <c r="N31" s="248"/>
      <c r="O31" s="248"/>
      <c r="P31" s="965"/>
      <c r="Q31" s="905"/>
      <c r="R31" s="906"/>
      <c r="S31" s="906"/>
      <c r="T31" s="880"/>
      <c r="U31" s="880"/>
      <c r="AP31" s="234"/>
    </row>
    <row r="32" spans="2:64" ht="15.75" customHeight="1" x14ac:dyDescent="0.25">
      <c r="B32" s="1066"/>
      <c r="C32" s="1067"/>
      <c r="D32" s="1067"/>
      <c r="E32" s="1067"/>
      <c r="F32" s="1067"/>
      <c r="G32" s="1068"/>
      <c r="H32" s="249"/>
      <c r="I32" s="249"/>
      <c r="J32" s="247"/>
      <c r="K32" s="247"/>
      <c r="L32" s="247"/>
      <c r="M32" s="247"/>
      <c r="N32" s="248"/>
      <c r="O32" s="248"/>
      <c r="P32" s="965"/>
      <c r="Q32" s="905"/>
      <c r="R32" s="906"/>
      <c r="S32" s="906"/>
      <c r="T32" s="880"/>
      <c r="U32" s="880"/>
      <c r="AP32" s="234"/>
    </row>
    <row r="33" spans="1:64" ht="15.75" customHeight="1" x14ac:dyDescent="0.25">
      <c r="B33" s="1066"/>
      <c r="C33" s="1067"/>
      <c r="D33" s="1067"/>
      <c r="E33" s="1067"/>
      <c r="F33" s="1067"/>
      <c r="G33" s="1068"/>
      <c r="H33" s="249"/>
      <c r="I33" s="249"/>
      <c r="J33" s="247"/>
      <c r="K33" s="247"/>
      <c r="L33" s="247"/>
      <c r="M33" s="247"/>
      <c r="N33" s="248"/>
      <c r="O33" s="248"/>
      <c r="P33" s="965"/>
      <c r="Q33" s="905"/>
      <c r="R33" s="906"/>
      <c r="S33" s="906"/>
      <c r="T33" s="880"/>
      <c r="U33" s="880"/>
      <c r="AP33" s="234"/>
    </row>
    <row r="34" spans="1:64" ht="15.75" customHeight="1" x14ac:dyDescent="0.25">
      <c r="B34" s="1066"/>
      <c r="C34" s="1067"/>
      <c r="D34" s="1067"/>
      <c r="E34" s="1067"/>
      <c r="F34" s="1067"/>
      <c r="G34" s="1068"/>
      <c r="H34" s="249"/>
      <c r="I34" s="249"/>
      <c r="J34" s="247"/>
      <c r="K34" s="247"/>
      <c r="L34" s="247"/>
      <c r="M34" s="247"/>
      <c r="N34" s="248"/>
      <c r="O34" s="248"/>
      <c r="P34" s="965"/>
      <c r="Q34" s="905"/>
      <c r="R34" s="906"/>
      <c r="S34" s="906"/>
      <c r="T34" s="880"/>
      <c r="U34" s="880"/>
      <c r="AP34" s="234"/>
    </row>
    <row r="35" spans="1:64" ht="15.75" customHeight="1" x14ac:dyDescent="0.25">
      <c r="B35" s="1066"/>
      <c r="C35" s="1067"/>
      <c r="D35" s="1067"/>
      <c r="E35" s="1067"/>
      <c r="F35" s="1067"/>
      <c r="G35" s="1068"/>
      <c r="H35" s="249"/>
      <c r="I35" s="249"/>
      <c r="J35" s="908"/>
      <c r="K35" s="908"/>
      <c r="L35" s="908"/>
      <c r="M35" s="908"/>
      <c r="N35" s="249"/>
      <c r="O35" s="249"/>
      <c r="P35" s="966"/>
      <c r="Q35" s="905"/>
      <c r="R35" s="906"/>
      <c r="S35" s="906"/>
      <c r="T35" s="880"/>
      <c r="U35" s="880"/>
      <c r="AP35" s="234"/>
      <c r="BL35" s="250"/>
    </row>
    <row r="36" spans="1:64" ht="15.75" customHeight="1" x14ac:dyDescent="0.25">
      <c r="B36" s="1066"/>
      <c r="C36" s="1067"/>
      <c r="D36" s="1067"/>
      <c r="E36" s="1067"/>
      <c r="F36" s="1067"/>
      <c r="G36" s="1068"/>
      <c r="H36" s="251"/>
      <c r="I36" s="251"/>
      <c r="J36" s="252"/>
      <c r="K36" s="252"/>
      <c r="L36" s="251"/>
      <c r="M36" s="253"/>
      <c r="N36" s="253"/>
      <c r="O36" s="253"/>
      <c r="P36" s="967"/>
      <c r="Q36" s="905"/>
      <c r="R36" s="906"/>
      <c r="S36" s="906"/>
      <c r="T36" s="880"/>
      <c r="U36" s="880"/>
      <c r="AP36" s="234"/>
      <c r="BL36" s="250"/>
    </row>
    <row r="37" spans="1:64" ht="15.75" customHeight="1" x14ac:dyDescent="0.25">
      <c r="B37" s="1066"/>
      <c r="C37" s="1067"/>
      <c r="D37" s="1067"/>
      <c r="E37" s="1067"/>
      <c r="F37" s="1067"/>
      <c r="G37" s="1068"/>
      <c r="H37" s="251"/>
      <c r="I37" s="904"/>
      <c r="J37" s="251"/>
      <c r="K37" s="251"/>
      <c r="L37" s="904"/>
      <c r="M37" s="251"/>
      <c r="N37" s="904"/>
      <c r="O37" s="251"/>
      <c r="P37" s="968"/>
      <c r="Q37" s="905"/>
      <c r="R37" s="906"/>
      <c r="S37" s="906"/>
      <c r="T37" s="880"/>
      <c r="U37" s="880"/>
      <c r="W37" s="254"/>
      <c r="AP37" s="234"/>
      <c r="BL37" s="250"/>
    </row>
    <row r="38" spans="1:64" ht="15.75" customHeight="1" x14ac:dyDescent="0.25">
      <c r="B38" s="1066"/>
      <c r="C38" s="1067"/>
      <c r="D38" s="1067"/>
      <c r="E38" s="1067"/>
      <c r="F38" s="1067"/>
      <c r="G38" s="1068"/>
      <c r="H38" s="251"/>
      <c r="I38" s="255"/>
      <c r="J38" s="251"/>
      <c r="K38" s="251"/>
      <c r="L38" s="255"/>
      <c r="M38" s="251"/>
      <c r="N38" s="255"/>
      <c r="O38" s="251"/>
      <c r="P38" s="969"/>
      <c r="Q38" s="905"/>
      <c r="R38" s="906"/>
      <c r="S38" s="906"/>
      <c r="T38" s="880"/>
      <c r="U38" s="880"/>
      <c r="AP38" s="234"/>
      <c r="BL38" s="256"/>
    </row>
    <row r="39" spans="1:64" ht="15.75" customHeight="1" x14ac:dyDescent="0.25">
      <c r="B39" s="1069"/>
      <c r="C39" s="1070"/>
      <c r="D39" s="1070"/>
      <c r="E39" s="1070"/>
      <c r="F39" s="1070"/>
      <c r="G39" s="1071"/>
      <c r="H39" s="970"/>
      <c r="I39" s="970"/>
      <c r="J39" s="970"/>
      <c r="K39" s="970"/>
      <c r="L39" s="970"/>
      <c r="M39" s="970"/>
      <c r="N39" s="971"/>
      <c r="O39" s="971"/>
      <c r="P39" s="972"/>
      <c r="Q39" s="905"/>
      <c r="R39" s="906"/>
      <c r="S39" s="906"/>
      <c r="T39" s="880"/>
      <c r="U39" s="880"/>
      <c r="AP39" s="234"/>
      <c r="BL39" s="256"/>
    </row>
    <row r="40" spans="1:64" s="2" customFormat="1" ht="13.5" x14ac:dyDescent="0.25">
      <c r="A40" s="1"/>
      <c r="B40" s="909"/>
      <c r="C40" s="909"/>
      <c r="D40" s="910"/>
      <c r="E40" s="910"/>
      <c r="F40" s="910"/>
      <c r="G40" s="911"/>
      <c r="H40" s="911" t="s">
        <v>2876</v>
      </c>
      <c r="I40" s="912"/>
      <c r="J40" s="912"/>
      <c r="K40" s="912"/>
      <c r="L40" s="913"/>
      <c r="M40" s="913" t="s">
        <v>1507</v>
      </c>
      <c r="N40" s="914"/>
      <c r="O40" s="914"/>
      <c r="P40" s="914"/>
      <c r="Q40" s="905"/>
      <c r="R40" s="906"/>
      <c r="S40" s="906"/>
      <c r="T40" s="880"/>
      <c r="U40" s="880"/>
      <c r="V40" s="231"/>
      <c r="W40" s="232"/>
      <c r="X40" s="232"/>
      <c r="Y40" s="232"/>
      <c r="Z40" s="233"/>
      <c r="AA40" s="232"/>
      <c r="AB40" s="232"/>
      <c r="AC40" s="232"/>
      <c r="AD40" s="232"/>
      <c r="AE40" s="232"/>
      <c r="AF40" s="232"/>
      <c r="AG40" s="232"/>
      <c r="AH40" s="232"/>
      <c r="AI40" s="232"/>
      <c r="AJ40" s="232"/>
      <c r="AK40" s="232"/>
      <c r="AL40" s="232"/>
      <c r="AM40" s="232"/>
      <c r="AN40" s="232"/>
      <c r="AO40" s="232"/>
      <c r="AP40" s="234"/>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56"/>
    </row>
    <row r="41" spans="1:64" s="2" customFormat="1" ht="11.25" customHeight="1" x14ac:dyDescent="0.25">
      <c r="A41" s="1"/>
      <c r="B41" s="915"/>
      <c r="C41" s="909"/>
      <c r="D41" s="910"/>
      <c r="E41" s="910"/>
      <c r="F41" s="910"/>
      <c r="G41" s="910"/>
      <c r="H41" s="912"/>
      <c r="I41" s="912"/>
      <c r="J41" s="912"/>
      <c r="K41" s="912"/>
      <c r="L41" s="912"/>
      <c r="M41" s="912"/>
      <c r="N41" s="914"/>
      <c r="O41" s="914"/>
      <c r="P41" s="914"/>
      <c r="Q41" s="905"/>
      <c r="R41" s="906"/>
      <c r="S41" s="906"/>
      <c r="T41" s="880"/>
      <c r="U41" s="880"/>
      <c r="V41" s="231"/>
      <c r="W41" s="232"/>
      <c r="X41" s="232"/>
      <c r="Y41" s="232"/>
      <c r="Z41" s="233"/>
      <c r="AA41" s="232"/>
      <c r="AB41" s="232"/>
      <c r="AC41" s="232"/>
      <c r="AD41" s="232"/>
      <c r="AE41" s="232"/>
      <c r="AF41" s="232"/>
      <c r="AG41" s="232"/>
      <c r="AH41" s="232"/>
      <c r="AI41" s="232"/>
      <c r="AJ41" s="232"/>
      <c r="AK41" s="232"/>
      <c r="AL41" s="232"/>
      <c r="AM41" s="232"/>
      <c r="AN41" s="232"/>
      <c r="AO41" s="232"/>
      <c r="AP41" s="234"/>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57"/>
    </row>
  </sheetData>
  <sheetProtection algorithmName="SHA-512" hashValue="bA7X4d/AJsLoabnDrnP1h3uzLLpG83oFKOiT7PJd0mkpWTIBrTsauooHpghA42YZN02yzBD7ELE7wajP27vKhQ==" saltValue="9gy/Zxo1OlrUkM5mC++ArA==" spinCount="100000" sheet="1" objects="1" scenarios="1" formatCells="0" formatRows="0"/>
  <dataConsolidate/>
  <mergeCells count="47">
    <mergeCell ref="C11:I11"/>
    <mergeCell ref="J10:K11"/>
    <mergeCell ref="L10:P11"/>
    <mergeCell ref="B1:O1"/>
    <mergeCell ref="B2:O2"/>
    <mergeCell ref="D3:L3"/>
    <mergeCell ref="M3:P3"/>
    <mergeCell ref="R3:R4"/>
    <mergeCell ref="O4:P4"/>
    <mergeCell ref="B8:P8"/>
    <mergeCell ref="D9:N9"/>
    <mergeCell ref="C10:I10"/>
    <mergeCell ref="D6:N6"/>
    <mergeCell ref="B6:C6"/>
    <mergeCell ref="B14:P14"/>
    <mergeCell ref="B15:P15"/>
    <mergeCell ref="C16:L16"/>
    <mergeCell ref="B13:C13"/>
    <mergeCell ref="E13:I13"/>
    <mergeCell ref="K13:P13"/>
    <mergeCell ref="N16:P16"/>
    <mergeCell ref="R16:U16"/>
    <mergeCell ref="B20:G20"/>
    <mergeCell ref="H20:L20"/>
    <mergeCell ref="M20:P20"/>
    <mergeCell ref="D21:E21"/>
    <mergeCell ref="K21:L21"/>
    <mergeCell ref="O21:P21"/>
    <mergeCell ref="B19:P19"/>
    <mergeCell ref="C17:D17"/>
    <mergeCell ref="E17:G17"/>
    <mergeCell ref="B18:P18"/>
    <mergeCell ref="N17:P17"/>
    <mergeCell ref="K17:L17"/>
    <mergeCell ref="I17:J17"/>
    <mergeCell ref="B27:G39"/>
    <mergeCell ref="B26:G26"/>
    <mergeCell ref="H26:L26"/>
    <mergeCell ref="M26:P26"/>
    <mergeCell ref="D22:E22"/>
    <mergeCell ref="O22:P22"/>
    <mergeCell ref="D23:E23"/>
    <mergeCell ref="O23:P23"/>
    <mergeCell ref="D24:E24"/>
    <mergeCell ref="O24:P24"/>
    <mergeCell ref="D25:E25"/>
    <mergeCell ref="O25:P25"/>
  </mergeCells>
  <conditionalFormatting sqref="R2:S2">
    <cfRule type="iconSet" priority="2">
      <iconSet showValue="0">
        <cfvo type="percent" val="0"/>
        <cfvo type="percent" val="61"/>
        <cfvo type="percent" val="91"/>
      </iconSet>
    </cfRule>
    <cfRule type="colorScale" priority="3">
      <colorScale>
        <cfvo type="percent" val="0"/>
        <cfvo type="percent" val="50"/>
        <cfvo type="percent" val="100"/>
        <color rgb="FFF8696B"/>
        <color rgb="FFFFEB84"/>
        <color rgb="FF63BE7B"/>
      </colorScale>
    </cfRule>
  </conditionalFormatting>
  <conditionalFormatting sqref="R3:S3">
    <cfRule type="iconSet" priority="1">
      <iconSet iconSet="3TrafficLights2" showValue="0">
        <cfvo type="percent" val="0"/>
        <cfvo type="num" val="0.6"/>
        <cfvo type="num" val="0.9"/>
      </iconSet>
    </cfRule>
  </conditionalFormatting>
  <dataValidations count="5">
    <dataValidation type="list" allowBlank="1" showInputMessage="1" showErrorMessage="1" sqref="H36:I36 L36">
      <formula1>#REF!</formula1>
    </dataValidation>
    <dataValidation type="list" showInputMessage="1" showErrorMessage="1" sqref="N28:P34">
      <formula1>#REF!</formula1>
    </dataValidation>
    <dataValidation type="list" errorStyle="warning" showInputMessage="1" showErrorMessage="1" sqref="F5">
      <formula1>#REF!</formula1>
    </dataValidation>
    <dataValidation type="list" allowBlank="1" showInputMessage="1" showErrorMessage="1" sqref="O4">
      <formula1>INDIRECT(M$3)</formula1>
    </dataValidation>
    <dataValidation type="list" allowBlank="1" showInputMessage="1" showErrorMessage="1" sqref="M3">
      <formula1>ENTIDADES</formula1>
    </dataValidation>
  </dataValidations>
  <printOptions horizontalCentered="1" verticalCentered="1"/>
  <pageMargins left="0.78740157480314965" right="0.78740157480314965" top="0.35433070866141736" bottom="0.62992125984251968" header="0.23622047244094491" footer="0.70866141732283472"/>
  <pageSetup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E1096"/>
  <sheetViews>
    <sheetView tabSelected="1" view="pageBreakPreview" topLeftCell="E1" zoomScale="130" zoomScaleNormal="80" zoomScaleSheetLayoutView="130" workbookViewId="0">
      <pane xSplit="1" ySplit="4" topLeftCell="P5" activePane="bottomRight" state="frozen"/>
      <selection activeCell="E1" sqref="E1"/>
      <selection pane="topRight" activeCell="F1" sqref="F1"/>
      <selection pane="bottomLeft" activeCell="E5" sqref="E5"/>
      <selection pane="bottomRight" activeCell="EB544" sqref="EB544"/>
    </sheetView>
  </sheetViews>
  <sheetFormatPr baseColWidth="10" defaultColWidth="25.85546875" defaultRowHeight="12.75" x14ac:dyDescent="0.2"/>
  <cols>
    <col min="1" max="1" width="5.42578125" style="817" hidden="1" customWidth="1"/>
    <col min="2" max="2" width="4.5703125" style="817" hidden="1" customWidth="1"/>
    <col min="3" max="3" width="5.85546875" style="817" hidden="1" customWidth="1"/>
    <col min="4" max="4" width="6.85546875" style="817" hidden="1" customWidth="1"/>
    <col min="5" max="5" width="9.85546875" style="817" customWidth="1"/>
    <col min="6" max="6" width="23.5703125" style="817" customWidth="1"/>
    <col min="7" max="7" width="21.5703125" style="817" customWidth="1"/>
    <col min="8" max="8" width="37.42578125" style="817" hidden="1" customWidth="1"/>
    <col min="9" max="9" width="21.140625" style="817" hidden="1" customWidth="1"/>
    <col min="10" max="10" width="36.7109375" style="817" customWidth="1"/>
    <col min="11" max="11" width="29.85546875" style="817" customWidth="1"/>
    <col min="12" max="12" width="14.7109375" style="817" hidden="1" customWidth="1"/>
    <col min="13" max="13" width="11" style="818" customWidth="1"/>
    <col min="14" max="14" width="11.5703125" style="817" hidden="1" customWidth="1"/>
    <col min="15" max="15" width="10.7109375" style="817" hidden="1" customWidth="1"/>
    <col min="16" max="16" width="13.85546875" style="819" customWidth="1"/>
    <col min="17" max="17" width="11.5703125" style="820" hidden="1" customWidth="1"/>
    <col min="18" max="20" width="11.5703125" style="817" hidden="1" customWidth="1"/>
    <col min="21" max="21" width="11.5703125" style="819" customWidth="1"/>
    <col min="22" max="26" width="11.5703125" style="819" hidden="1" customWidth="1"/>
    <col min="27" max="27" width="14.85546875" style="817" hidden="1" customWidth="1"/>
    <col min="28" max="28" width="16.85546875" style="817" hidden="1" customWidth="1"/>
    <col min="29" max="29" width="14.5703125" style="817" hidden="1" customWidth="1"/>
    <col min="30" max="33" width="11.5703125" style="817" hidden="1" customWidth="1"/>
    <col min="34" max="34" width="17.7109375" style="817" hidden="1" customWidth="1"/>
    <col min="35" max="35" width="14.85546875" style="817" hidden="1" customWidth="1"/>
    <col min="36" max="36" width="18.140625" style="817" hidden="1" customWidth="1"/>
    <col min="37" max="46" width="11.5703125" style="817" hidden="1" customWidth="1"/>
    <col min="47" max="47" width="11.5703125" style="821" hidden="1" customWidth="1"/>
    <col min="48" max="48" width="11.5703125" style="817" hidden="1" customWidth="1"/>
    <col min="49" max="49" width="11.5703125" style="820" customWidth="1"/>
    <col min="50" max="54" width="11.5703125" style="817" hidden="1" customWidth="1"/>
    <col min="55" max="55" width="19.140625" style="817" hidden="1" customWidth="1"/>
    <col min="56" max="76" width="11.5703125" style="817" hidden="1" customWidth="1"/>
    <col min="77" max="77" width="11.5703125" style="822" hidden="1" customWidth="1"/>
    <col min="78" max="78" width="11.5703125" style="823" hidden="1" customWidth="1"/>
    <col min="79" max="79" width="11.5703125" style="832" customWidth="1"/>
    <col min="80" max="85" width="11.5703125" style="824" hidden="1" customWidth="1"/>
    <col min="86" max="86" width="15.140625" style="824" hidden="1" customWidth="1"/>
    <col min="87" max="87" width="15" style="824" hidden="1" customWidth="1"/>
    <col min="88" max="88" width="6.42578125" style="824" hidden="1" customWidth="1"/>
    <col min="89" max="89" width="17" style="824" customWidth="1"/>
    <col min="90" max="90" width="14.5703125" style="824" hidden="1" customWidth="1"/>
    <col min="91" max="114" width="11.5703125" style="824" hidden="1" customWidth="1"/>
    <col min="115" max="115" width="14.85546875" style="817" customWidth="1"/>
    <col min="116" max="116" width="11.5703125" style="817" hidden="1" customWidth="1"/>
    <col min="117" max="119" width="11.5703125" style="819" hidden="1" customWidth="1"/>
    <col min="120" max="120" width="14.5703125" style="819" hidden="1" customWidth="1"/>
    <col min="121" max="121" width="18.42578125" style="819" hidden="1" customWidth="1"/>
    <col min="122" max="122" width="11.5703125" style="817" hidden="1" customWidth="1"/>
    <col min="123" max="123" width="17.7109375" style="817" hidden="1" customWidth="1"/>
    <col min="124" max="124" width="11.42578125" style="817" hidden="1" customWidth="1"/>
    <col min="125" max="125" width="32" style="817" hidden="1" customWidth="1"/>
    <col min="126" max="126" width="11.42578125" style="817" hidden="1" customWidth="1"/>
    <col min="127" max="127" width="17.140625" style="817" hidden="1" customWidth="1"/>
    <col min="128" max="128" width="11.42578125" style="817" hidden="1" customWidth="1"/>
    <col min="129" max="129" width="19.140625" style="817" hidden="1" customWidth="1"/>
    <col min="130" max="131" width="11.42578125" style="817" hidden="1" customWidth="1"/>
    <col min="132" max="132" width="73.42578125" style="817" customWidth="1"/>
    <col min="133" max="133" width="31.7109375" style="817" hidden="1" customWidth="1"/>
    <col min="134" max="134" width="19.28515625" style="817" hidden="1" customWidth="1"/>
    <col min="135" max="135" width="19.140625" style="817" customWidth="1"/>
    <col min="136" max="16382" width="25.85546875" style="817"/>
    <col min="16383" max="16384" width="11.5703125" style="817" customWidth="1"/>
  </cols>
  <sheetData>
    <row r="1" spans="1:135" s="836" customFormat="1" x14ac:dyDescent="0.2">
      <c r="A1" s="532"/>
      <c r="B1" s="532"/>
      <c r="C1" s="532"/>
      <c r="D1" s="532"/>
      <c r="M1" s="837"/>
      <c r="P1" s="838"/>
      <c r="Q1" s="839"/>
      <c r="U1" s="838"/>
      <c r="V1" s="838"/>
      <c r="W1" s="838"/>
      <c r="X1" s="838"/>
      <c r="Y1" s="838"/>
      <c r="Z1" s="838"/>
      <c r="AU1" s="840"/>
      <c r="AW1" s="839"/>
      <c r="BY1" s="841"/>
      <c r="BZ1" s="842"/>
      <c r="CA1" s="843"/>
      <c r="CB1" s="844"/>
      <c r="CC1" s="844"/>
      <c r="CD1" s="844"/>
      <c r="CE1" s="844"/>
      <c r="CF1" s="844"/>
      <c r="CG1" s="844"/>
      <c r="CH1" s="844"/>
      <c r="CI1" s="844"/>
      <c r="CJ1" s="844"/>
      <c r="CK1" s="844"/>
      <c r="CL1" s="844"/>
      <c r="CM1" s="844"/>
      <c r="CN1" s="844"/>
      <c r="CO1" s="844"/>
      <c r="CP1" s="844"/>
      <c r="CQ1" s="844"/>
      <c r="CR1" s="844"/>
      <c r="CS1" s="844"/>
      <c r="CT1" s="844"/>
      <c r="CU1" s="844"/>
      <c r="CV1" s="844"/>
      <c r="CW1" s="844"/>
      <c r="CX1" s="844"/>
      <c r="CY1" s="844"/>
      <c r="CZ1" s="844"/>
      <c r="DA1" s="844"/>
      <c r="DB1" s="844"/>
      <c r="DC1" s="844"/>
      <c r="DD1" s="844"/>
      <c r="DE1" s="844"/>
      <c r="DF1" s="844"/>
      <c r="DG1" s="844"/>
      <c r="DH1" s="844"/>
      <c r="DI1" s="844"/>
      <c r="DJ1" s="844"/>
      <c r="DM1" s="838"/>
      <c r="DN1" s="838"/>
      <c r="DO1" s="838"/>
      <c r="DP1" s="838"/>
      <c r="DQ1" s="838"/>
    </row>
    <row r="2" spans="1:135" s="836" customFormat="1" x14ac:dyDescent="0.2">
      <c r="A2" s="532"/>
      <c r="B2" s="532"/>
      <c r="C2" s="532"/>
      <c r="D2" s="532"/>
      <c r="M2" s="837"/>
      <c r="P2" s="838"/>
      <c r="Q2" s="839"/>
      <c r="U2" s="838"/>
      <c r="V2" s="838"/>
      <c r="W2" s="838"/>
      <c r="X2" s="838"/>
      <c r="Y2" s="838"/>
      <c r="Z2" s="838"/>
      <c r="AU2" s="840"/>
      <c r="AW2" s="839"/>
      <c r="BY2" s="841"/>
      <c r="BZ2" s="842"/>
      <c r="CA2" s="843"/>
      <c r="CB2" s="844"/>
      <c r="CC2" s="844"/>
      <c r="CD2" s="844"/>
      <c r="CE2" s="844"/>
      <c r="CF2" s="844"/>
      <c r="CG2" s="844"/>
      <c r="CH2" s="844"/>
      <c r="CI2" s="844"/>
      <c r="CJ2" s="844"/>
      <c r="CK2" s="844"/>
      <c r="CL2" s="844"/>
      <c r="CM2" s="844"/>
      <c r="CN2" s="844"/>
      <c r="CO2" s="844"/>
      <c r="CP2" s="844"/>
      <c r="CQ2" s="844"/>
      <c r="CR2" s="844"/>
      <c r="CS2" s="844"/>
      <c r="CT2" s="844"/>
      <c r="CU2" s="844"/>
      <c r="CV2" s="844"/>
      <c r="CW2" s="844"/>
      <c r="CX2" s="844"/>
      <c r="CY2" s="844"/>
      <c r="CZ2" s="844"/>
      <c r="DA2" s="844"/>
      <c r="DB2" s="844"/>
      <c r="DC2" s="844"/>
      <c r="DD2" s="844"/>
      <c r="DE2" s="844"/>
      <c r="DF2" s="844"/>
      <c r="DG2" s="844"/>
      <c r="DH2" s="844"/>
      <c r="DI2" s="844"/>
      <c r="DJ2" s="844"/>
      <c r="DM2" s="838"/>
      <c r="DN2" s="838"/>
      <c r="DO2" s="838"/>
      <c r="DP2" s="838"/>
      <c r="DQ2" s="838"/>
    </row>
    <row r="3" spans="1:135" s="532" customFormat="1" ht="26.25" hidden="1" x14ac:dyDescent="0.4">
      <c r="E3" s="797">
        <v>1</v>
      </c>
      <c r="F3" s="797">
        <v>2</v>
      </c>
      <c r="G3" s="797">
        <v>3</v>
      </c>
      <c r="H3" s="797">
        <v>4</v>
      </c>
      <c r="I3" s="797">
        <v>5</v>
      </c>
      <c r="J3" s="797">
        <v>6</v>
      </c>
      <c r="K3" s="797">
        <v>7</v>
      </c>
      <c r="L3" s="797">
        <v>8</v>
      </c>
      <c r="M3" s="797">
        <v>9</v>
      </c>
      <c r="N3" s="797">
        <v>10</v>
      </c>
      <c r="O3" s="797">
        <v>11</v>
      </c>
      <c r="P3" s="797">
        <v>12</v>
      </c>
      <c r="Q3" s="797">
        <v>13</v>
      </c>
      <c r="R3" s="797">
        <v>14</v>
      </c>
      <c r="S3" s="797">
        <v>15</v>
      </c>
      <c r="T3" s="797">
        <v>16</v>
      </c>
      <c r="U3" s="797">
        <v>17</v>
      </c>
      <c r="V3" s="797">
        <v>18</v>
      </c>
      <c r="W3" s="797">
        <v>19</v>
      </c>
      <c r="X3" s="797">
        <v>20</v>
      </c>
      <c r="Y3" s="797">
        <v>21</v>
      </c>
      <c r="Z3" s="797">
        <v>22</v>
      </c>
      <c r="AA3" s="797">
        <v>23</v>
      </c>
      <c r="AB3" s="797">
        <v>24</v>
      </c>
      <c r="AC3" s="797">
        <v>25</v>
      </c>
      <c r="AD3" s="797">
        <v>26</v>
      </c>
      <c r="AE3" s="797">
        <v>27</v>
      </c>
      <c r="AF3" s="797">
        <v>28</v>
      </c>
      <c r="AG3" s="797">
        <v>29</v>
      </c>
      <c r="AH3" s="797">
        <v>30</v>
      </c>
      <c r="AI3" s="797">
        <v>31</v>
      </c>
      <c r="AJ3" s="797">
        <v>32</v>
      </c>
      <c r="AK3" s="797">
        <v>33</v>
      </c>
      <c r="AL3" s="797">
        <v>34</v>
      </c>
      <c r="AM3" s="797">
        <v>35</v>
      </c>
      <c r="AN3" s="797">
        <v>36</v>
      </c>
      <c r="AO3" s="797">
        <v>37</v>
      </c>
      <c r="AP3" s="797">
        <v>38</v>
      </c>
      <c r="AQ3" s="797">
        <v>39</v>
      </c>
      <c r="AR3" s="797">
        <v>40</v>
      </c>
      <c r="AS3" s="797">
        <v>41</v>
      </c>
      <c r="AT3" s="797">
        <v>42</v>
      </c>
      <c r="AU3" s="797">
        <v>43</v>
      </c>
      <c r="AV3" s="797">
        <v>44</v>
      </c>
      <c r="AW3" s="797">
        <v>45</v>
      </c>
      <c r="AX3" s="797">
        <v>46</v>
      </c>
      <c r="AY3" s="797">
        <v>47</v>
      </c>
      <c r="AZ3" s="797">
        <v>48</v>
      </c>
      <c r="BA3" s="797">
        <v>49</v>
      </c>
      <c r="BB3" s="797">
        <v>50</v>
      </c>
      <c r="BC3" s="797">
        <v>51</v>
      </c>
      <c r="BD3" s="797">
        <v>52</v>
      </c>
      <c r="BE3" s="797">
        <v>53</v>
      </c>
      <c r="BF3" s="797">
        <v>54</v>
      </c>
      <c r="BG3" s="797">
        <v>55</v>
      </c>
      <c r="BH3" s="797">
        <v>56</v>
      </c>
      <c r="BI3" s="797">
        <v>57</v>
      </c>
      <c r="BJ3" s="797">
        <v>58</v>
      </c>
      <c r="BK3" s="797">
        <v>59</v>
      </c>
      <c r="BL3" s="797">
        <v>60</v>
      </c>
      <c r="BM3" s="797">
        <v>61</v>
      </c>
      <c r="BN3" s="797">
        <v>62</v>
      </c>
      <c r="BO3" s="797">
        <v>63</v>
      </c>
      <c r="BP3" s="797">
        <v>64</v>
      </c>
      <c r="BQ3" s="797">
        <v>65</v>
      </c>
      <c r="BR3" s="797">
        <v>66</v>
      </c>
      <c r="BS3" s="797">
        <v>67</v>
      </c>
      <c r="BT3" s="797">
        <v>68</v>
      </c>
      <c r="BU3" s="797">
        <v>69</v>
      </c>
      <c r="BV3" s="797">
        <v>70</v>
      </c>
      <c r="BW3" s="797">
        <v>71</v>
      </c>
      <c r="BX3" s="797">
        <v>72</v>
      </c>
      <c r="BY3" s="797">
        <v>73</v>
      </c>
      <c r="BZ3" s="797">
        <v>74</v>
      </c>
      <c r="CA3" s="797">
        <v>75</v>
      </c>
      <c r="CB3" s="797">
        <v>76</v>
      </c>
      <c r="CC3" s="797">
        <v>77</v>
      </c>
      <c r="CD3" s="797">
        <v>78</v>
      </c>
      <c r="CE3" s="797">
        <v>79</v>
      </c>
      <c r="CF3" s="797">
        <v>80</v>
      </c>
      <c r="CG3" s="797">
        <v>81</v>
      </c>
      <c r="CH3" s="797">
        <v>82</v>
      </c>
      <c r="CI3" s="797">
        <v>83</v>
      </c>
      <c r="CJ3" s="797">
        <v>84</v>
      </c>
      <c r="CK3" s="797">
        <v>85</v>
      </c>
      <c r="CL3" s="797">
        <v>86</v>
      </c>
      <c r="CM3" s="797">
        <v>87</v>
      </c>
      <c r="CN3" s="797">
        <v>88</v>
      </c>
      <c r="CO3" s="797">
        <v>89</v>
      </c>
      <c r="CP3" s="797">
        <v>90</v>
      </c>
      <c r="CQ3" s="797">
        <v>91</v>
      </c>
      <c r="CR3" s="797">
        <v>92</v>
      </c>
      <c r="CS3" s="797">
        <v>93</v>
      </c>
      <c r="CT3" s="797">
        <v>94</v>
      </c>
      <c r="CU3" s="797">
        <v>95</v>
      </c>
      <c r="CV3" s="797">
        <v>96</v>
      </c>
      <c r="CW3" s="797">
        <v>97</v>
      </c>
      <c r="CX3" s="797">
        <v>98</v>
      </c>
      <c r="CY3" s="797">
        <v>99</v>
      </c>
      <c r="CZ3" s="797">
        <v>100</v>
      </c>
      <c r="DA3" s="797">
        <v>101</v>
      </c>
      <c r="DB3" s="797">
        <v>102</v>
      </c>
      <c r="DC3" s="797">
        <v>103</v>
      </c>
      <c r="DD3" s="797">
        <v>104</v>
      </c>
      <c r="DE3" s="797">
        <v>105</v>
      </c>
      <c r="DF3" s="797">
        <v>106</v>
      </c>
      <c r="DG3" s="797">
        <v>107</v>
      </c>
      <c r="DH3" s="797">
        <v>108</v>
      </c>
      <c r="DI3" s="797">
        <v>109</v>
      </c>
      <c r="DJ3" s="797">
        <v>110</v>
      </c>
      <c r="DK3" s="797">
        <v>111</v>
      </c>
      <c r="DL3" s="797">
        <v>112</v>
      </c>
      <c r="DM3" s="797">
        <v>113</v>
      </c>
      <c r="DN3" s="797">
        <v>114</v>
      </c>
      <c r="DO3" s="797">
        <v>115</v>
      </c>
      <c r="DP3" s="797">
        <v>116</v>
      </c>
      <c r="DQ3" s="797">
        <v>117</v>
      </c>
      <c r="DR3" s="797">
        <v>118</v>
      </c>
      <c r="DS3" s="797">
        <v>119</v>
      </c>
      <c r="DT3" s="797">
        <v>120</v>
      </c>
      <c r="DU3" s="797">
        <v>121</v>
      </c>
      <c r="DV3" s="797">
        <v>122</v>
      </c>
      <c r="DW3" s="797">
        <v>123</v>
      </c>
      <c r="DX3" s="797">
        <v>124</v>
      </c>
      <c r="DY3" s="797">
        <v>125</v>
      </c>
      <c r="DZ3" s="797">
        <v>126</v>
      </c>
      <c r="EA3" s="797">
        <v>127</v>
      </c>
      <c r="EB3" s="797">
        <v>128</v>
      </c>
      <c r="EC3" s="797">
        <v>129</v>
      </c>
      <c r="ED3" s="797">
        <v>130</v>
      </c>
      <c r="EE3" s="797">
        <v>131</v>
      </c>
    </row>
    <row r="4" spans="1:135" s="534" customFormat="1" ht="142.5" customHeight="1" x14ac:dyDescent="0.3">
      <c r="D4" s="783">
        <v>1</v>
      </c>
      <c r="E4" s="782" t="s">
        <v>2352</v>
      </c>
      <c r="F4" s="830" t="s">
        <v>2</v>
      </c>
      <c r="G4" s="830" t="s">
        <v>304</v>
      </c>
      <c r="H4" s="830" t="s">
        <v>1</v>
      </c>
      <c r="I4" s="830" t="s">
        <v>318</v>
      </c>
      <c r="J4" s="830" t="s">
        <v>319</v>
      </c>
      <c r="K4" s="830" t="s">
        <v>320</v>
      </c>
      <c r="L4" s="830" t="s">
        <v>2351</v>
      </c>
      <c r="M4" s="830" t="s">
        <v>2350</v>
      </c>
      <c r="N4" s="830" t="s">
        <v>2349</v>
      </c>
      <c r="O4" s="830" t="s">
        <v>2841</v>
      </c>
      <c r="P4" s="830" t="s">
        <v>2348</v>
      </c>
      <c r="Q4" s="830" t="s">
        <v>321</v>
      </c>
      <c r="R4" s="778" t="s">
        <v>2347</v>
      </c>
      <c r="S4" s="778" t="s">
        <v>2346</v>
      </c>
      <c r="T4" s="781" t="s">
        <v>2345</v>
      </c>
      <c r="U4" s="833" t="s">
        <v>2344</v>
      </c>
      <c r="V4" s="780" t="s">
        <v>2343</v>
      </c>
      <c r="W4" s="780" t="s">
        <v>2342</v>
      </c>
      <c r="X4" s="780" t="s">
        <v>2291</v>
      </c>
      <c r="Y4" s="780" t="s">
        <v>2341</v>
      </c>
      <c r="Z4" s="780" t="s">
        <v>2340</v>
      </c>
      <c r="AA4" s="779" t="s">
        <v>2339</v>
      </c>
      <c r="AB4" s="778" t="s">
        <v>2327</v>
      </c>
      <c r="AC4" s="778" t="s">
        <v>2303</v>
      </c>
      <c r="AD4" s="778" t="s">
        <v>2302</v>
      </c>
      <c r="AE4" s="778" t="s">
        <v>2326</v>
      </c>
      <c r="AF4" s="778" t="s">
        <v>2300</v>
      </c>
      <c r="AG4" s="778" t="s">
        <v>2299</v>
      </c>
      <c r="AH4" s="778" t="s">
        <v>2298</v>
      </c>
      <c r="AI4" s="779" t="s">
        <v>2338</v>
      </c>
      <c r="AJ4" s="778" t="s">
        <v>2327</v>
      </c>
      <c r="AK4" s="778" t="s">
        <v>2303</v>
      </c>
      <c r="AL4" s="778" t="s">
        <v>2302</v>
      </c>
      <c r="AM4" s="778" t="s">
        <v>2326</v>
      </c>
      <c r="AN4" s="778" t="s">
        <v>2300</v>
      </c>
      <c r="AO4" s="778" t="s">
        <v>2299</v>
      </c>
      <c r="AP4" s="778" t="s">
        <v>2298</v>
      </c>
      <c r="AQ4" s="778" t="s">
        <v>2297</v>
      </c>
      <c r="AR4" s="778" t="s">
        <v>2296</v>
      </c>
      <c r="AS4" s="778" t="s">
        <v>2325</v>
      </c>
      <c r="AT4" s="775" t="s">
        <v>2337</v>
      </c>
      <c r="AU4" s="776" t="s">
        <v>2336</v>
      </c>
      <c r="AV4" s="775" t="s">
        <v>2335</v>
      </c>
      <c r="AW4" s="834" t="s">
        <v>2334</v>
      </c>
      <c r="AX4" s="777" t="s">
        <v>2333</v>
      </c>
      <c r="AY4" s="777" t="s">
        <v>2332</v>
      </c>
      <c r="AZ4" s="777" t="s">
        <v>2308</v>
      </c>
      <c r="BA4" s="777" t="s">
        <v>2331</v>
      </c>
      <c r="BB4" s="777" t="s">
        <v>2330</v>
      </c>
      <c r="BC4" s="776" t="s">
        <v>2329</v>
      </c>
      <c r="BD4" s="775" t="s">
        <v>2327</v>
      </c>
      <c r="BE4" s="775" t="s">
        <v>2303</v>
      </c>
      <c r="BF4" s="775" t="s">
        <v>2302</v>
      </c>
      <c r="BG4" s="775" t="s">
        <v>2326</v>
      </c>
      <c r="BH4" s="775" t="s">
        <v>2300</v>
      </c>
      <c r="BI4" s="775" t="s">
        <v>2299</v>
      </c>
      <c r="BJ4" s="775" t="s">
        <v>2298</v>
      </c>
      <c r="BK4" s="776" t="s">
        <v>2328</v>
      </c>
      <c r="BL4" s="775" t="s">
        <v>2327</v>
      </c>
      <c r="BM4" s="774" t="s">
        <v>2303</v>
      </c>
      <c r="BN4" s="774" t="s">
        <v>2302</v>
      </c>
      <c r="BO4" s="774" t="s">
        <v>2326</v>
      </c>
      <c r="BP4" s="774" t="s">
        <v>2300</v>
      </c>
      <c r="BQ4" s="774" t="s">
        <v>2299</v>
      </c>
      <c r="BR4" s="774" t="s">
        <v>2298</v>
      </c>
      <c r="BS4" s="774" t="s">
        <v>2297</v>
      </c>
      <c r="BT4" s="774" t="s">
        <v>2296</v>
      </c>
      <c r="BU4" s="774" t="s">
        <v>2325</v>
      </c>
      <c r="BV4" s="773" t="s">
        <v>2324</v>
      </c>
      <c r="BW4" s="772" t="s">
        <v>2323</v>
      </c>
      <c r="BX4" s="772" t="s">
        <v>2322</v>
      </c>
      <c r="BY4" s="772" t="s">
        <v>2321</v>
      </c>
      <c r="BZ4" s="772" t="s">
        <v>2320</v>
      </c>
      <c r="CA4" s="835" t="s">
        <v>2319</v>
      </c>
      <c r="CB4" s="769" t="s">
        <v>2318</v>
      </c>
      <c r="CC4" s="769" t="s">
        <v>2317</v>
      </c>
      <c r="CD4" s="769" t="s">
        <v>2308</v>
      </c>
      <c r="CE4" s="769" t="s">
        <v>2316</v>
      </c>
      <c r="CF4" s="769" t="s">
        <v>2315</v>
      </c>
      <c r="CG4" s="769" t="s">
        <v>46</v>
      </c>
      <c r="CH4" s="771" t="s">
        <v>2314</v>
      </c>
      <c r="CI4" s="770" t="s">
        <v>2313</v>
      </c>
      <c r="CJ4" s="973" t="s">
        <v>2312</v>
      </c>
      <c r="CK4" s="981" t="s">
        <v>2878</v>
      </c>
      <c r="CL4" s="976" t="s">
        <v>2311</v>
      </c>
      <c r="CM4" s="977" t="s">
        <v>2310</v>
      </c>
      <c r="CN4" s="977" t="s">
        <v>2309</v>
      </c>
      <c r="CO4" s="977" t="s">
        <v>2308</v>
      </c>
      <c r="CP4" s="977" t="s">
        <v>2307</v>
      </c>
      <c r="CQ4" s="977" t="s">
        <v>45</v>
      </c>
      <c r="CR4" s="978" t="s">
        <v>2306</v>
      </c>
      <c r="CS4" s="979" t="s">
        <v>2304</v>
      </c>
      <c r="CT4" s="979" t="s">
        <v>2303</v>
      </c>
      <c r="CU4" s="979" t="s">
        <v>2302</v>
      </c>
      <c r="CV4" s="979" t="s">
        <v>2301</v>
      </c>
      <c r="CW4" s="979" t="s">
        <v>2300</v>
      </c>
      <c r="CX4" s="979" t="s">
        <v>2299</v>
      </c>
      <c r="CY4" s="979" t="s">
        <v>2298</v>
      </c>
      <c r="CZ4" s="978" t="s">
        <v>2305</v>
      </c>
      <c r="DA4" s="979" t="s">
        <v>2304</v>
      </c>
      <c r="DB4" s="979" t="s">
        <v>2303</v>
      </c>
      <c r="DC4" s="979" t="s">
        <v>2302</v>
      </c>
      <c r="DD4" s="979" t="s">
        <v>2301</v>
      </c>
      <c r="DE4" s="979" t="s">
        <v>2300</v>
      </c>
      <c r="DF4" s="979" t="s">
        <v>2299</v>
      </c>
      <c r="DG4" s="979" t="s">
        <v>2298</v>
      </c>
      <c r="DH4" s="979" t="s">
        <v>2297</v>
      </c>
      <c r="DI4" s="979" t="s">
        <v>2296</v>
      </c>
      <c r="DJ4" s="979" t="s">
        <v>2295</v>
      </c>
      <c r="DK4" s="980" t="s">
        <v>2294</v>
      </c>
      <c r="DL4" s="975" t="s">
        <v>2293</v>
      </c>
      <c r="DM4" s="768" t="s">
        <v>2292</v>
      </c>
      <c r="DN4" s="768" t="s">
        <v>2291</v>
      </c>
      <c r="DO4" s="768" t="s">
        <v>2290</v>
      </c>
      <c r="DP4" s="768" t="s">
        <v>2289</v>
      </c>
      <c r="DQ4" s="768" t="s">
        <v>2288</v>
      </c>
      <c r="DR4" s="767" t="s">
        <v>2287</v>
      </c>
      <c r="DS4" s="767" t="s">
        <v>2286</v>
      </c>
      <c r="DT4" s="258" t="s">
        <v>322</v>
      </c>
      <c r="DU4" s="258" t="s">
        <v>323</v>
      </c>
      <c r="DV4" s="258" t="s">
        <v>324</v>
      </c>
      <c r="DW4" s="258" t="s">
        <v>325</v>
      </c>
      <c r="DX4" s="258" t="s">
        <v>326</v>
      </c>
      <c r="DY4" s="258" t="s">
        <v>327</v>
      </c>
      <c r="DZ4" s="258" t="s">
        <v>328</v>
      </c>
      <c r="EA4" s="258" t="s">
        <v>329</v>
      </c>
      <c r="EB4" s="1045" t="s">
        <v>2355</v>
      </c>
      <c r="EC4" s="801" t="s">
        <v>2839</v>
      </c>
      <c r="ED4" s="801" t="s">
        <v>2840</v>
      </c>
      <c r="EE4" s="1046" t="s">
        <v>2877</v>
      </c>
    </row>
    <row r="5" spans="1:135" s="534" customFormat="1" ht="51" hidden="1" x14ac:dyDescent="0.3">
      <c r="D5" s="783">
        <v>2</v>
      </c>
      <c r="E5" s="798">
        <v>11</v>
      </c>
      <c r="F5" s="784" t="s">
        <v>200</v>
      </c>
      <c r="G5" s="784" t="s">
        <v>10</v>
      </c>
      <c r="H5" s="785" t="s">
        <v>135</v>
      </c>
      <c r="I5" s="786" t="s">
        <v>330</v>
      </c>
      <c r="J5" s="766" t="s">
        <v>331</v>
      </c>
      <c r="K5" s="766" t="s">
        <v>332</v>
      </c>
      <c r="L5" s="765" t="s">
        <v>2280</v>
      </c>
      <c r="M5" s="692" t="s">
        <v>2017</v>
      </c>
      <c r="N5" s="692">
        <v>8000</v>
      </c>
      <c r="O5" s="692">
        <f>+N5+P5</f>
        <v>32000</v>
      </c>
      <c r="P5" s="764">
        <v>24000</v>
      </c>
      <c r="Q5" s="595">
        <v>0.16500000000000001</v>
      </c>
      <c r="R5" s="763">
        <f t="shared" ref="R5:R68" si="0">+Q5*T5</f>
        <v>0</v>
      </c>
      <c r="S5" s="595">
        <v>0</v>
      </c>
      <c r="T5" s="762">
        <f t="shared" ref="T5:T36" si="1">IF($M5="M",0.25,(IF($P5&gt;0,S5/$P5," ")))</f>
        <v>0</v>
      </c>
      <c r="U5" s="990">
        <v>4521</v>
      </c>
      <c r="V5" s="761">
        <f t="shared" ref="V5:V36" si="2">+IF(M5="I",(+U5),IF(M5="M",(+U5)/4,))</f>
        <v>4521</v>
      </c>
      <c r="W5" s="542">
        <f t="shared" ref="W5:W36" si="3">IF(S5=0,0,+U5*100/S5)</f>
        <v>0</v>
      </c>
      <c r="X5" s="542">
        <f t="shared" ref="X5:X68" si="4">+IF(W5&lt;100,W5,100)</f>
        <v>0</v>
      </c>
      <c r="Y5" s="542">
        <f t="shared" ref="Y5:Y16" si="5">+(X5*R5)/100</f>
        <v>0</v>
      </c>
      <c r="Z5" s="542">
        <f t="shared" ref="Z5:Z68" si="6">+IF(U5&gt;S5,100,X5)</f>
        <v>100</v>
      </c>
      <c r="AA5" s="747">
        <v>0</v>
      </c>
      <c r="AB5" s="747">
        <v>0</v>
      </c>
      <c r="AC5" s="747">
        <v>0</v>
      </c>
      <c r="AD5" s="747">
        <v>0</v>
      </c>
      <c r="AE5" s="747">
        <v>0</v>
      </c>
      <c r="AF5" s="747">
        <v>0</v>
      </c>
      <c r="AG5" s="747">
        <v>0</v>
      </c>
      <c r="AH5" s="747">
        <v>0</v>
      </c>
      <c r="AI5" s="747">
        <v>1200000000</v>
      </c>
      <c r="AJ5" s="747">
        <v>1200000000</v>
      </c>
      <c r="AK5" s="747">
        <v>0</v>
      </c>
      <c r="AL5" s="747">
        <v>0</v>
      </c>
      <c r="AM5" s="747">
        <v>0</v>
      </c>
      <c r="AN5" s="747">
        <v>0</v>
      </c>
      <c r="AO5" s="747">
        <v>0</v>
      </c>
      <c r="AP5" s="747">
        <v>0</v>
      </c>
      <c r="AQ5" s="747">
        <v>0</v>
      </c>
      <c r="AR5" s="747">
        <v>0</v>
      </c>
      <c r="AS5" s="747" t="s">
        <v>2045</v>
      </c>
      <c r="AT5" s="692">
        <f t="shared" ref="AT5:AT68" si="7">+Q5*AV5</f>
        <v>5.5E-2</v>
      </c>
      <c r="AU5" s="692">
        <v>8000</v>
      </c>
      <c r="AV5" s="760">
        <f t="shared" ref="AV5:AV36" si="8">IF($M5="M",0.25,(IF($P5&gt;0,AU5/$P5," ")))</f>
        <v>0.33333333333333331</v>
      </c>
      <c r="AW5" s="1007">
        <v>12515</v>
      </c>
      <c r="AX5" s="544">
        <f t="shared" ref="AX5:AX36" si="9">+IF(M5="I",(+AW5),IF(M5="M",(+AW5)/4,))</f>
        <v>12515</v>
      </c>
      <c r="AY5" s="544">
        <f t="shared" ref="AY5:AY36" si="10">IF(AU5=0,0,+AW5*100/AU5)</f>
        <v>156.4375</v>
      </c>
      <c r="AZ5" s="544">
        <f t="shared" ref="AZ5:AZ68" si="11">+IF(AY5&lt;100,AY5,100)</f>
        <v>100</v>
      </c>
      <c r="BA5" s="542">
        <f t="shared" ref="BA5:BA68" si="12">+(AZ5*AT5)/100</f>
        <v>5.5E-2</v>
      </c>
      <c r="BB5" s="542">
        <f t="shared" ref="BB5:BB68" si="13">+IF(AW5&gt;AU5,100,AZ5)</f>
        <v>100</v>
      </c>
      <c r="BC5" s="747">
        <v>992000000</v>
      </c>
      <c r="BD5" s="747">
        <v>0</v>
      </c>
      <c r="BE5" s="747">
        <v>992000000</v>
      </c>
      <c r="BF5" s="747">
        <v>0</v>
      </c>
      <c r="BG5" s="747">
        <v>0</v>
      </c>
      <c r="BH5" s="747">
        <v>0</v>
      </c>
      <c r="BI5" s="747">
        <v>0</v>
      </c>
      <c r="BJ5" s="747">
        <v>0</v>
      </c>
      <c r="BK5" s="759">
        <v>1330000000</v>
      </c>
      <c r="BL5" s="758">
        <v>1300000000</v>
      </c>
      <c r="BM5" s="758">
        <v>30000000</v>
      </c>
      <c r="BN5" s="757">
        <v>0</v>
      </c>
      <c r="BO5" s="757">
        <v>0</v>
      </c>
      <c r="BP5" s="757">
        <v>0</v>
      </c>
      <c r="BQ5" s="757">
        <v>0</v>
      </c>
      <c r="BR5" s="757">
        <v>0</v>
      </c>
      <c r="BS5" s="757">
        <v>0</v>
      </c>
      <c r="BT5" s="757">
        <v>0</v>
      </c>
      <c r="BU5" s="757">
        <v>0</v>
      </c>
      <c r="BV5" s="756">
        <f t="shared" ref="BV5:BV68" si="14">+Q5*BX5</f>
        <v>5.5E-2</v>
      </c>
      <c r="BW5" s="755">
        <v>8000</v>
      </c>
      <c r="BX5" s="754">
        <f t="shared" ref="BX5:BX36" si="15">IF($M5="M",0.25,(IF($P5&gt;0,BW5/$P5," ")))</f>
        <v>0.33333333333333331</v>
      </c>
      <c r="BY5" s="753">
        <v>7511</v>
      </c>
      <c r="BZ5" s="752">
        <v>7511</v>
      </c>
      <c r="CA5" s="1016">
        <v>8000</v>
      </c>
      <c r="CB5" s="721">
        <f t="shared" ref="CB5:CB36" si="16">+IF(M5="I",(+CA5),IF(M5="M",(+CA5)/4,))</f>
        <v>8000</v>
      </c>
      <c r="CC5" s="721">
        <f t="shared" ref="CC5:CC36" si="17">IF(BW5=0,0,+CA5*100/BW5)</f>
        <v>100</v>
      </c>
      <c r="CD5" s="721">
        <f t="shared" ref="CD5:CD68" si="18">+IF(CC5&lt;100,CC5,100)</f>
        <v>100</v>
      </c>
      <c r="CE5" s="746">
        <f t="shared" ref="CE5:CE68" si="19">+(CD5*BV5)/100</f>
        <v>5.5E-2</v>
      </c>
      <c r="CF5" s="751">
        <f t="shared" ref="CF5:CF68" si="20">+IF(BZ5&gt;BW5,100,CD5)</f>
        <v>100</v>
      </c>
      <c r="CG5" s="746">
        <f t="shared" ref="CG5:CG68" si="21">(CC5*BV5)/100</f>
        <v>5.5E-2</v>
      </c>
      <c r="CH5" s="750">
        <f t="shared" ref="CH5:CH68" si="22">+Q5*CJ5</f>
        <v>5.5E-2</v>
      </c>
      <c r="CI5" s="749">
        <v>8000</v>
      </c>
      <c r="CJ5" s="748">
        <f t="shared" ref="CJ5:CJ36" si="23">IF($M5="M",0.25,(IF($P5&gt;0,CI5/$P5," ")))</f>
        <v>0.33333333333333331</v>
      </c>
      <c r="CK5" s="983">
        <v>0</v>
      </c>
      <c r="CL5" s="533">
        <f t="shared" ref="CL5:CL36" si="24">+CI5-CK5</f>
        <v>8000</v>
      </c>
      <c r="CM5" s="549">
        <f t="shared" ref="CM5:CM36" si="25">+IF(M5="I",(+CK5),IF(M5="M",(+CK5)/4,))</f>
        <v>0</v>
      </c>
      <c r="CN5" s="549">
        <f t="shared" ref="CN5:CN36" si="26">IF(CI5=0,0,+CK5*100/CI5)</f>
        <v>0</v>
      </c>
      <c r="CO5" s="549">
        <f t="shared" ref="CO5:CO68" si="27">+IF(CN5&lt;100,CN5,100)</f>
        <v>0</v>
      </c>
      <c r="CP5" s="549">
        <f t="shared" ref="CP5:CP68" si="28">+(CO5*CH5)/100</f>
        <v>0</v>
      </c>
      <c r="CQ5" s="549">
        <f t="shared" ref="CQ5:CQ68" si="29">+(CN5*CH5)/100</f>
        <v>0</v>
      </c>
      <c r="CR5" s="747">
        <v>960000000</v>
      </c>
      <c r="CS5" s="747">
        <v>960000000</v>
      </c>
      <c r="CT5" s="747">
        <v>0</v>
      </c>
      <c r="CU5" s="747">
        <v>0</v>
      </c>
      <c r="CV5" s="747">
        <v>0</v>
      </c>
      <c r="CW5" s="747">
        <v>0</v>
      </c>
      <c r="CX5" s="747">
        <v>0</v>
      </c>
      <c r="CY5" s="747">
        <v>0</v>
      </c>
      <c r="CZ5" s="746">
        <v>0</v>
      </c>
      <c r="DA5" s="746">
        <v>0</v>
      </c>
      <c r="DB5" s="746">
        <v>0</v>
      </c>
      <c r="DC5" s="746">
        <v>0</v>
      </c>
      <c r="DD5" s="746">
        <v>0</v>
      </c>
      <c r="DE5" s="746">
        <v>0</v>
      </c>
      <c r="DF5" s="746">
        <v>0</v>
      </c>
      <c r="DG5" s="746">
        <v>0</v>
      </c>
      <c r="DH5" s="746">
        <v>0</v>
      </c>
      <c r="DI5" s="746">
        <v>0</v>
      </c>
      <c r="DJ5" s="746">
        <v>0</v>
      </c>
      <c r="DK5" s="1034">
        <f t="shared" ref="DK5:DK36" si="30">+IF(M5="I",(+U5+AW5+CA5+CK5),IF(M5="M",(+U5+AW5+CA5+CK5)/4,))</f>
        <v>25036</v>
      </c>
      <c r="DL5" s="543">
        <f t="shared" ref="DL5:DL68" si="31">+R5+AT5+BV5+CH5</f>
        <v>0.16500000000000001</v>
      </c>
      <c r="DM5" s="542">
        <f t="shared" ref="DM5:DM68" si="32">+DK5*100/P5</f>
        <v>104.31666666666666</v>
      </c>
      <c r="DN5" s="542">
        <f t="shared" ref="DN5:DN68" si="33">+IF(DM5&lt;100,DM5,100)</f>
        <v>100</v>
      </c>
      <c r="DO5" s="540">
        <f t="shared" ref="DO5:DO68" si="34">+(DN5*Q5)/100</f>
        <v>0.16500000000000001</v>
      </c>
      <c r="DP5" s="745">
        <f>+IF(((DN5*Q5)/100)&lt;Q5, ((DN5*Q5)/100),Q5)</f>
        <v>0.16500000000000001</v>
      </c>
      <c r="DQ5" s="744">
        <f t="shared" ref="DQ5:DQ68" si="35">+IF(DL5&lt;DP5,DL5,DP5)</f>
        <v>0.16500000000000001</v>
      </c>
      <c r="DR5" s="743">
        <f t="shared" ref="DR5:DR68" si="36">+T5+AV5+BX5+CJ5</f>
        <v>1</v>
      </c>
      <c r="DS5" s="742">
        <f t="shared" ref="DS5:DS68" si="37">+Q5-R5-AT5-BV5-CH5</f>
        <v>0</v>
      </c>
      <c r="DT5" s="259">
        <v>3</v>
      </c>
      <c r="DU5" s="260" t="s">
        <v>303</v>
      </c>
      <c r="DV5" s="259"/>
      <c r="DW5" s="260" t="s">
        <v>242</v>
      </c>
      <c r="DX5" s="259"/>
      <c r="DY5" s="259"/>
      <c r="DZ5" s="259"/>
      <c r="EA5" s="987"/>
      <c r="EB5" s="1039"/>
      <c r="EC5" s="802">
        <v>960000000</v>
      </c>
      <c r="EE5" s="1047"/>
    </row>
    <row r="6" spans="1:135" s="534" customFormat="1" ht="72" hidden="1" x14ac:dyDescent="0.3">
      <c r="D6" s="783">
        <v>3</v>
      </c>
      <c r="E6" s="799">
        <v>12</v>
      </c>
      <c r="F6" s="787" t="s">
        <v>200</v>
      </c>
      <c r="G6" s="787" t="s">
        <v>10</v>
      </c>
      <c r="H6" s="788" t="s">
        <v>135</v>
      </c>
      <c r="I6" s="712" t="s">
        <v>330</v>
      </c>
      <c r="J6" s="573" t="s">
        <v>333</v>
      </c>
      <c r="K6" s="573" t="s">
        <v>334</v>
      </c>
      <c r="L6" s="702" t="s">
        <v>2285</v>
      </c>
      <c r="M6" s="570" t="s">
        <v>2017</v>
      </c>
      <c r="N6" s="570">
        <v>0</v>
      </c>
      <c r="O6" s="570">
        <f>+N6+P6</f>
        <v>100</v>
      </c>
      <c r="P6" s="569">
        <v>100</v>
      </c>
      <c r="Q6" s="595">
        <v>0.16500000000000001</v>
      </c>
      <c r="R6" s="580">
        <f t="shared" si="0"/>
        <v>1.6500000000000001E-2</v>
      </c>
      <c r="S6" s="708">
        <v>10</v>
      </c>
      <c r="T6" s="625">
        <f t="shared" si="1"/>
        <v>0.1</v>
      </c>
      <c r="U6" s="991">
        <v>10</v>
      </c>
      <c r="V6" s="626">
        <f t="shared" si="2"/>
        <v>10</v>
      </c>
      <c r="W6" s="594">
        <f t="shared" si="3"/>
        <v>100</v>
      </c>
      <c r="X6" s="594">
        <f t="shared" si="4"/>
        <v>100</v>
      </c>
      <c r="Y6" s="594">
        <f t="shared" si="5"/>
        <v>1.6500000000000001E-2</v>
      </c>
      <c r="Z6" s="594">
        <f t="shared" si="6"/>
        <v>100</v>
      </c>
      <c r="AA6" s="546">
        <v>1241000000</v>
      </c>
      <c r="AB6" s="546">
        <v>0</v>
      </c>
      <c r="AC6" s="546">
        <v>1241000000</v>
      </c>
      <c r="AD6" s="546">
        <v>0</v>
      </c>
      <c r="AE6" s="546">
        <v>0</v>
      </c>
      <c r="AF6" s="546">
        <v>0</v>
      </c>
      <c r="AG6" s="546">
        <v>0</v>
      </c>
      <c r="AH6" s="546">
        <v>0</v>
      </c>
      <c r="AI6" s="546">
        <v>1042693000</v>
      </c>
      <c r="AJ6" s="546">
        <v>554101000</v>
      </c>
      <c r="AK6" s="546">
        <v>454192000</v>
      </c>
      <c r="AL6" s="546">
        <v>0</v>
      </c>
      <c r="AM6" s="546">
        <v>0</v>
      </c>
      <c r="AN6" s="546">
        <v>0</v>
      </c>
      <c r="AO6" s="546">
        <v>0</v>
      </c>
      <c r="AP6" s="546">
        <v>34400000</v>
      </c>
      <c r="AQ6" s="546">
        <v>0</v>
      </c>
      <c r="AR6" s="546">
        <v>0</v>
      </c>
      <c r="AS6" s="546" t="s">
        <v>2045</v>
      </c>
      <c r="AT6" s="570">
        <f t="shared" si="7"/>
        <v>4.5045000000000009E-2</v>
      </c>
      <c r="AU6" s="570">
        <v>27.3</v>
      </c>
      <c r="AV6" s="625">
        <f t="shared" si="8"/>
        <v>0.27300000000000002</v>
      </c>
      <c r="AW6" s="1008">
        <v>27.3</v>
      </c>
      <c r="AX6" s="724">
        <f t="shared" si="9"/>
        <v>27.3</v>
      </c>
      <c r="AY6" s="724">
        <f t="shared" si="10"/>
        <v>100</v>
      </c>
      <c r="AZ6" s="724">
        <f t="shared" si="11"/>
        <v>100</v>
      </c>
      <c r="BA6" s="594">
        <f t="shared" si="12"/>
        <v>4.5045000000000009E-2</v>
      </c>
      <c r="BB6" s="594">
        <f t="shared" si="13"/>
        <v>100</v>
      </c>
      <c r="BC6" s="546">
        <v>1609000000</v>
      </c>
      <c r="BD6" s="546">
        <v>1379000000</v>
      </c>
      <c r="BE6" s="546">
        <v>230000000</v>
      </c>
      <c r="BF6" s="546">
        <v>0</v>
      </c>
      <c r="BG6" s="546">
        <v>0</v>
      </c>
      <c r="BH6" s="546">
        <v>0</v>
      </c>
      <c r="BI6" s="546">
        <v>0</v>
      </c>
      <c r="BJ6" s="546">
        <v>0</v>
      </c>
      <c r="BK6" s="723">
        <v>1004465000</v>
      </c>
      <c r="BL6" s="722">
        <v>404465000</v>
      </c>
      <c r="BM6" s="722">
        <v>600000000</v>
      </c>
      <c r="BN6" s="722">
        <v>0</v>
      </c>
      <c r="BO6" s="722">
        <v>0</v>
      </c>
      <c r="BP6" s="722">
        <v>0</v>
      </c>
      <c r="BQ6" s="722">
        <v>0</v>
      </c>
      <c r="BR6" s="722">
        <v>0</v>
      </c>
      <c r="BS6" s="722">
        <v>0</v>
      </c>
      <c r="BT6" s="722">
        <v>0</v>
      </c>
      <c r="BU6" s="722">
        <v>0</v>
      </c>
      <c r="BV6" s="580">
        <f t="shared" si="14"/>
        <v>5.3955000000000003E-2</v>
      </c>
      <c r="BW6" s="588">
        <v>32.700000000000003</v>
      </c>
      <c r="BX6" s="623">
        <f t="shared" si="15"/>
        <v>0.32700000000000001</v>
      </c>
      <c r="BY6" s="607">
        <v>25</v>
      </c>
      <c r="BZ6" s="629">
        <v>25</v>
      </c>
      <c r="CA6" s="1017">
        <v>30</v>
      </c>
      <c r="CB6" s="721">
        <f t="shared" si="16"/>
        <v>30</v>
      </c>
      <c r="CC6" s="721">
        <f t="shared" si="17"/>
        <v>91.743119266055032</v>
      </c>
      <c r="CD6" s="720">
        <f t="shared" si="18"/>
        <v>91.743119266055032</v>
      </c>
      <c r="CE6" s="618">
        <f t="shared" si="19"/>
        <v>4.9499999999999995E-2</v>
      </c>
      <c r="CF6" s="719">
        <f t="shared" si="20"/>
        <v>91.743119266055032</v>
      </c>
      <c r="CG6" s="618">
        <f t="shared" si="21"/>
        <v>4.9499999999999995E-2</v>
      </c>
      <c r="CH6" s="718">
        <f t="shared" si="22"/>
        <v>4.9500000000000002E-2</v>
      </c>
      <c r="CI6" s="552">
        <v>30</v>
      </c>
      <c r="CJ6" s="982">
        <f t="shared" si="23"/>
        <v>0.3</v>
      </c>
      <c r="CK6" s="984">
        <v>10</v>
      </c>
      <c r="CL6" s="533">
        <f t="shared" si="24"/>
        <v>20</v>
      </c>
      <c r="CM6" s="619">
        <f t="shared" si="25"/>
        <v>10</v>
      </c>
      <c r="CN6" s="619">
        <f t="shared" si="26"/>
        <v>33.333333333333336</v>
      </c>
      <c r="CO6" s="549">
        <f t="shared" si="27"/>
        <v>33.333333333333336</v>
      </c>
      <c r="CP6" s="619">
        <f t="shared" si="28"/>
        <v>1.6500000000000001E-2</v>
      </c>
      <c r="CQ6" s="619">
        <f t="shared" si="29"/>
        <v>1.6500000000000001E-2</v>
      </c>
      <c r="CR6" s="546">
        <v>1379000000</v>
      </c>
      <c r="CS6" s="546">
        <v>0</v>
      </c>
      <c r="CT6" s="546">
        <v>1379000000</v>
      </c>
      <c r="CU6" s="546">
        <v>0</v>
      </c>
      <c r="CV6" s="546">
        <v>0</v>
      </c>
      <c r="CW6" s="546">
        <v>0</v>
      </c>
      <c r="CX6" s="546">
        <v>0</v>
      </c>
      <c r="CY6" s="546">
        <v>0</v>
      </c>
      <c r="CZ6" s="618">
        <v>0</v>
      </c>
      <c r="DA6" s="618">
        <v>0</v>
      </c>
      <c r="DB6" s="618">
        <v>0</v>
      </c>
      <c r="DC6" s="618">
        <v>0</v>
      </c>
      <c r="DD6" s="618">
        <v>0</v>
      </c>
      <c r="DE6" s="618">
        <v>0</v>
      </c>
      <c r="DF6" s="618">
        <v>0</v>
      </c>
      <c r="DG6" s="618">
        <v>0</v>
      </c>
      <c r="DH6" s="618">
        <v>0</v>
      </c>
      <c r="DI6" s="618">
        <v>0</v>
      </c>
      <c r="DJ6" s="618">
        <v>0</v>
      </c>
      <c r="DK6" s="1034">
        <f t="shared" si="30"/>
        <v>77.3</v>
      </c>
      <c r="DL6" s="543">
        <f t="shared" si="31"/>
        <v>0.16500000000000004</v>
      </c>
      <c r="DM6" s="542">
        <f t="shared" si="32"/>
        <v>77.3</v>
      </c>
      <c r="DN6" s="594">
        <f t="shared" si="33"/>
        <v>77.3</v>
      </c>
      <c r="DO6" s="540">
        <f t="shared" si="34"/>
        <v>0.12754499999999999</v>
      </c>
      <c r="DP6" s="597">
        <f>+IF(((DN6*Q6)/100)&lt;Q6, ((DN6*Q6)/100),Q6)</f>
        <v>0.12754499999999999</v>
      </c>
      <c r="DQ6" s="538">
        <f t="shared" si="35"/>
        <v>0.12754499999999999</v>
      </c>
      <c r="DR6" s="617">
        <f t="shared" si="36"/>
        <v>1</v>
      </c>
      <c r="DS6" s="616">
        <f t="shared" si="37"/>
        <v>0</v>
      </c>
      <c r="DT6" s="259">
        <v>4</v>
      </c>
      <c r="DU6" s="260" t="s">
        <v>302</v>
      </c>
      <c r="DV6" s="259">
        <v>6</v>
      </c>
      <c r="DW6" s="260" t="s">
        <v>301</v>
      </c>
      <c r="DX6" s="259"/>
      <c r="DY6" s="259"/>
      <c r="DZ6" s="259"/>
      <c r="EA6" s="987"/>
      <c r="EB6" s="1040"/>
      <c r="EC6" s="802">
        <v>1827000000</v>
      </c>
      <c r="EE6" s="1047"/>
    </row>
    <row r="7" spans="1:135" s="534" customFormat="1" ht="69.75" hidden="1" customHeight="1" x14ac:dyDescent="0.3">
      <c r="D7" s="783">
        <v>4</v>
      </c>
      <c r="E7" s="799">
        <v>13</v>
      </c>
      <c r="F7" s="787" t="s">
        <v>200</v>
      </c>
      <c r="G7" s="787" t="s">
        <v>10</v>
      </c>
      <c r="H7" s="788" t="s">
        <v>135</v>
      </c>
      <c r="I7" s="712" t="s">
        <v>330</v>
      </c>
      <c r="J7" s="573" t="s">
        <v>335</v>
      </c>
      <c r="K7" s="573" t="s">
        <v>336</v>
      </c>
      <c r="L7" s="701" t="s">
        <v>2284</v>
      </c>
      <c r="M7" s="577" t="s">
        <v>2032</v>
      </c>
      <c r="N7" s="570">
        <v>76</v>
      </c>
      <c r="O7" s="570">
        <f>+P7</f>
        <v>95</v>
      </c>
      <c r="P7" s="569">
        <v>95</v>
      </c>
      <c r="Q7" s="809">
        <v>0.16500000000000001</v>
      </c>
      <c r="R7" s="580">
        <f t="shared" si="0"/>
        <v>4.1250000000000002E-2</v>
      </c>
      <c r="S7" s="737">
        <v>95</v>
      </c>
      <c r="T7" s="625">
        <f t="shared" si="1"/>
        <v>0.25</v>
      </c>
      <c r="U7" s="991">
        <v>97</v>
      </c>
      <c r="V7" s="626">
        <f t="shared" si="2"/>
        <v>24.25</v>
      </c>
      <c r="W7" s="594">
        <f t="shared" si="3"/>
        <v>102.10526315789474</v>
      </c>
      <c r="X7" s="594">
        <f t="shared" si="4"/>
        <v>100</v>
      </c>
      <c r="Y7" s="594">
        <f t="shared" si="5"/>
        <v>4.1250000000000002E-2</v>
      </c>
      <c r="Z7" s="594">
        <f t="shared" si="6"/>
        <v>100</v>
      </c>
      <c r="AA7" s="599">
        <v>442000000</v>
      </c>
      <c r="AB7" s="599">
        <v>0</v>
      </c>
      <c r="AC7" s="599">
        <v>442000000</v>
      </c>
      <c r="AD7" s="599">
        <v>0</v>
      </c>
      <c r="AE7" s="599">
        <v>0</v>
      </c>
      <c r="AF7" s="599">
        <v>0</v>
      </c>
      <c r="AG7" s="599">
        <v>0</v>
      </c>
      <c r="AH7" s="599">
        <v>0</v>
      </c>
      <c r="AI7" s="599">
        <v>362765000</v>
      </c>
      <c r="AJ7" s="599">
        <v>0</v>
      </c>
      <c r="AK7" s="599">
        <v>362765000</v>
      </c>
      <c r="AL7" s="599">
        <v>0</v>
      </c>
      <c r="AM7" s="599">
        <v>0</v>
      </c>
      <c r="AN7" s="599">
        <v>0</v>
      </c>
      <c r="AO7" s="599">
        <v>0</v>
      </c>
      <c r="AP7" s="599">
        <v>0</v>
      </c>
      <c r="AQ7" s="599">
        <v>0</v>
      </c>
      <c r="AR7" s="599">
        <v>0</v>
      </c>
      <c r="AS7" s="546" t="s">
        <v>2045</v>
      </c>
      <c r="AT7" s="570">
        <f t="shared" si="7"/>
        <v>4.1250000000000002E-2</v>
      </c>
      <c r="AU7" s="577">
        <v>95</v>
      </c>
      <c r="AV7" s="625">
        <f t="shared" si="8"/>
        <v>0.25</v>
      </c>
      <c r="AW7" s="1003">
        <v>100</v>
      </c>
      <c r="AX7" s="724">
        <f t="shared" si="9"/>
        <v>25</v>
      </c>
      <c r="AY7" s="724">
        <f t="shared" si="10"/>
        <v>105.26315789473684</v>
      </c>
      <c r="AZ7" s="724">
        <f t="shared" si="11"/>
        <v>100</v>
      </c>
      <c r="BA7" s="594">
        <f t="shared" si="12"/>
        <v>4.1250000000000002E-2</v>
      </c>
      <c r="BB7" s="594">
        <f t="shared" si="13"/>
        <v>100</v>
      </c>
      <c r="BC7" s="546">
        <v>491000000</v>
      </c>
      <c r="BD7" s="546">
        <v>491000000</v>
      </c>
      <c r="BE7" s="546">
        <v>0</v>
      </c>
      <c r="BF7" s="546">
        <v>0</v>
      </c>
      <c r="BG7" s="546">
        <v>0</v>
      </c>
      <c r="BH7" s="546">
        <v>0</v>
      </c>
      <c r="BI7" s="546">
        <v>0</v>
      </c>
      <c r="BJ7" s="546">
        <v>0</v>
      </c>
      <c r="BK7" s="723">
        <v>856811981</v>
      </c>
      <c r="BL7" s="722">
        <v>0</v>
      </c>
      <c r="BM7" s="722">
        <v>811548867</v>
      </c>
      <c r="BN7" s="722">
        <v>45263114</v>
      </c>
      <c r="BO7" s="722">
        <v>0</v>
      </c>
      <c r="BP7" s="722">
        <v>0</v>
      </c>
      <c r="BQ7" s="722">
        <v>0</v>
      </c>
      <c r="BR7" s="722">
        <v>0</v>
      </c>
      <c r="BS7" s="722">
        <v>0</v>
      </c>
      <c r="BT7" s="722">
        <v>0</v>
      </c>
      <c r="BU7" s="722">
        <v>0</v>
      </c>
      <c r="BV7" s="580">
        <f t="shared" si="14"/>
        <v>4.1250000000000002E-2</v>
      </c>
      <c r="BW7" s="588">
        <v>95</v>
      </c>
      <c r="BX7" s="623">
        <f t="shared" si="15"/>
        <v>0.25</v>
      </c>
      <c r="BY7" s="607">
        <v>95</v>
      </c>
      <c r="BZ7" s="629">
        <v>95</v>
      </c>
      <c r="CA7" s="1017">
        <v>96</v>
      </c>
      <c r="CB7" s="721">
        <f t="shared" si="16"/>
        <v>24</v>
      </c>
      <c r="CC7" s="721">
        <f t="shared" si="17"/>
        <v>101.05263157894737</v>
      </c>
      <c r="CD7" s="720">
        <f t="shared" si="18"/>
        <v>100</v>
      </c>
      <c r="CE7" s="618">
        <f t="shared" si="19"/>
        <v>4.1250000000000002E-2</v>
      </c>
      <c r="CF7" s="719">
        <f t="shared" si="20"/>
        <v>100</v>
      </c>
      <c r="CG7" s="618">
        <f t="shared" si="21"/>
        <v>4.1684210526315796E-2</v>
      </c>
      <c r="CH7" s="718">
        <f t="shared" si="22"/>
        <v>4.1250000000000002E-2</v>
      </c>
      <c r="CI7" s="552">
        <v>95</v>
      </c>
      <c r="CJ7" s="982">
        <f t="shared" si="23"/>
        <v>0.25</v>
      </c>
      <c r="CK7" s="985">
        <v>95</v>
      </c>
      <c r="CL7" s="533">
        <f t="shared" si="24"/>
        <v>0</v>
      </c>
      <c r="CM7" s="619">
        <f t="shared" si="25"/>
        <v>23.75</v>
      </c>
      <c r="CN7" s="619">
        <f t="shared" si="26"/>
        <v>100</v>
      </c>
      <c r="CO7" s="619">
        <f t="shared" si="27"/>
        <v>100</v>
      </c>
      <c r="CP7" s="619">
        <f t="shared" si="28"/>
        <v>4.1250000000000002E-2</v>
      </c>
      <c r="CQ7" s="619">
        <f t="shared" si="29"/>
        <v>4.1250000000000002E-2</v>
      </c>
      <c r="CR7" s="546">
        <v>491000000</v>
      </c>
      <c r="CS7" s="546">
        <v>0</v>
      </c>
      <c r="CT7" s="546">
        <v>491000000</v>
      </c>
      <c r="CU7" s="546">
        <v>0</v>
      </c>
      <c r="CV7" s="546">
        <v>0</v>
      </c>
      <c r="CW7" s="546">
        <v>0</v>
      </c>
      <c r="CX7" s="546">
        <v>0</v>
      </c>
      <c r="CY7" s="546">
        <v>0</v>
      </c>
      <c r="CZ7" s="618">
        <v>0</v>
      </c>
      <c r="DA7" s="618">
        <v>0</v>
      </c>
      <c r="DB7" s="618">
        <v>0</v>
      </c>
      <c r="DC7" s="618">
        <v>0</v>
      </c>
      <c r="DD7" s="618">
        <v>0</v>
      </c>
      <c r="DE7" s="618">
        <v>0</v>
      </c>
      <c r="DF7" s="618">
        <v>0</v>
      </c>
      <c r="DG7" s="618">
        <v>0</v>
      </c>
      <c r="DH7" s="618">
        <v>0</v>
      </c>
      <c r="DI7" s="618">
        <v>0</v>
      </c>
      <c r="DJ7" s="618">
        <v>0</v>
      </c>
      <c r="DK7" s="1034">
        <f t="shared" si="30"/>
        <v>97</v>
      </c>
      <c r="DL7" s="543">
        <f t="shared" si="31"/>
        <v>0.16500000000000001</v>
      </c>
      <c r="DM7" s="542">
        <f t="shared" si="32"/>
        <v>102.10526315789474</v>
      </c>
      <c r="DN7" s="594">
        <f t="shared" si="33"/>
        <v>100</v>
      </c>
      <c r="DO7" s="540">
        <f t="shared" si="34"/>
        <v>0.16500000000000001</v>
      </c>
      <c r="DP7" s="597">
        <f>+IF(M7="M",DO7,0)</f>
        <v>0.16500000000000001</v>
      </c>
      <c r="DQ7" s="538">
        <f t="shared" si="35"/>
        <v>0.16500000000000001</v>
      </c>
      <c r="DR7" s="617">
        <f t="shared" si="36"/>
        <v>1</v>
      </c>
      <c r="DS7" s="616">
        <f t="shared" si="37"/>
        <v>0</v>
      </c>
      <c r="DT7" s="259">
        <v>3</v>
      </c>
      <c r="DU7" s="260" t="s">
        <v>303</v>
      </c>
      <c r="DV7" s="259"/>
      <c r="DW7" s="260" t="s">
        <v>242</v>
      </c>
      <c r="DX7" s="259"/>
      <c r="DY7" s="259"/>
      <c r="DZ7" s="259"/>
      <c r="EA7" s="987"/>
      <c r="EB7" s="1040" t="s">
        <v>2356</v>
      </c>
      <c r="EC7" s="802">
        <v>491000000</v>
      </c>
      <c r="EE7" s="1047"/>
    </row>
    <row r="8" spans="1:135" s="534" customFormat="1" ht="98.25" hidden="1" customHeight="1" x14ac:dyDescent="0.3">
      <c r="D8" s="783">
        <v>5</v>
      </c>
      <c r="E8" s="799">
        <v>14</v>
      </c>
      <c r="F8" s="787" t="s">
        <v>200</v>
      </c>
      <c r="G8" s="787" t="s">
        <v>10</v>
      </c>
      <c r="H8" s="788" t="s">
        <v>135</v>
      </c>
      <c r="I8" s="712" t="s">
        <v>330</v>
      </c>
      <c r="J8" s="573" t="s">
        <v>337</v>
      </c>
      <c r="K8" s="573" t="s">
        <v>338</v>
      </c>
      <c r="L8" s="702" t="s">
        <v>2283</v>
      </c>
      <c r="M8" s="570" t="s">
        <v>2017</v>
      </c>
      <c r="N8" s="570">
        <v>3.6</v>
      </c>
      <c r="O8" s="570">
        <f>+N8+P8</f>
        <v>4.5999999999999996</v>
      </c>
      <c r="P8" s="741">
        <v>1</v>
      </c>
      <c r="Q8" s="595">
        <v>0.16500000000000001</v>
      </c>
      <c r="R8" s="580">
        <f t="shared" si="0"/>
        <v>0</v>
      </c>
      <c r="S8" s="708">
        <v>0</v>
      </c>
      <c r="T8" s="625">
        <f t="shared" si="1"/>
        <v>0</v>
      </c>
      <c r="U8" s="992">
        <v>0</v>
      </c>
      <c r="V8" s="626">
        <f t="shared" si="2"/>
        <v>0</v>
      </c>
      <c r="W8" s="594">
        <f t="shared" si="3"/>
        <v>0</v>
      </c>
      <c r="X8" s="594">
        <f t="shared" si="4"/>
        <v>0</v>
      </c>
      <c r="Y8" s="594">
        <f t="shared" si="5"/>
        <v>0</v>
      </c>
      <c r="Z8" s="594">
        <f t="shared" si="6"/>
        <v>0</v>
      </c>
      <c r="AA8" s="546">
        <v>448000000</v>
      </c>
      <c r="AB8" s="546">
        <v>0</v>
      </c>
      <c r="AC8" s="546">
        <v>448000000</v>
      </c>
      <c r="AD8" s="546">
        <v>0</v>
      </c>
      <c r="AE8" s="546">
        <v>0</v>
      </c>
      <c r="AF8" s="546">
        <v>0</v>
      </c>
      <c r="AG8" s="546">
        <v>0</v>
      </c>
      <c r="AH8" s="546">
        <v>0</v>
      </c>
      <c r="AI8" s="546">
        <v>2553000</v>
      </c>
      <c r="AJ8" s="546">
        <v>2399000</v>
      </c>
      <c r="AK8" s="546">
        <v>154000</v>
      </c>
      <c r="AL8" s="546">
        <v>0</v>
      </c>
      <c r="AM8" s="546">
        <v>0</v>
      </c>
      <c r="AN8" s="546">
        <v>0</v>
      </c>
      <c r="AO8" s="546">
        <v>0</v>
      </c>
      <c r="AP8" s="546">
        <v>0</v>
      </c>
      <c r="AQ8" s="546">
        <v>0</v>
      </c>
      <c r="AR8" s="546">
        <v>0</v>
      </c>
      <c r="AS8" s="546" t="s">
        <v>2045</v>
      </c>
      <c r="AT8" s="570">
        <f t="shared" si="7"/>
        <v>3.3000000000000002E-2</v>
      </c>
      <c r="AU8" s="570">
        <v>0.2</v>
      </c>
      <c r="AV8" s="625">
        <f t="shared" si="8"/>
        <v>0.2</v>
      </c>
      <c r="AW8" s="1003">
        <v>0.2</v>
      </c>
      <c r="AX8" s="724">
        <f t="shared" si="9"/>
        <v>0.2</v>
      </c>
      <c r="AY8" s="724">
        <f t="shared" si="10"/>
        <v>100</v>
      </c>
      <c r="AZ8" s="724">
        <f t="shared" si="11"/>
        <v>100</v>
      </c>
      <c r="BA8" s="594">
        <f t="shared" si="12"/>
        <v>3.3000000000000002E-2</v>
      </c>
      <c r="BB8" s="594">
        <f t="shared" si="13"/>
        <v>100</v>
      </c>
      <c r="BC8" s="546">
        <v>893000000</v>
      </c>
      <c r="BD8" s="546">
        <v>498000000</v>
      </c>
      <c r="BE8" s="546">
        <v>395000000</v>
      </c>
      <c r="BF8" s="546">
        <v>0</v>
      </c>
      <c r="BG8" s="546">
        <v>0</v>
      </c>
      <c r="BH8" s="546">
        <v>0</v>
      </c>
      <c r="BI8" s="546">
        <v>0</v>
      </c>
      <c r="BJ8" s="546">
        <v>0</v>
      </c>
      <c r="BK8" s="723">
        <v>661251874</v>
      </c>
      <c r="BL8" s="722">
        <v>422551874</v>
      </c>
      <c r="BM8" s="722">
        <v>238700000</v>
      </c>
      <c r="BN8" s="722">
        <v>0</v>
      </c>
      <c r="BO8" s="722">
        <v>0</v>
      </c>
      <c r="BP8" s="722">
        <v>0</v>
      </c>
      <c r="BQ8" s="722">
        <v>0</v>
      </c>
      <c r="BR8" s="722">
        <v>0</v>
      </c>
      <c r="BS8" s="722">
        <v>0</v>
      </c>
      <c r="BT8" s="722">
        <v>0</v>
      </c>
      <c r="BU8" s="722">
        <v>0</v>
      </c>
      <c r="BV8" s="580">
        <f t="shared" si="14"/>
        <v>6.6000000000000003E-2</v>
      </c>
      <c r="BW8" s="588">
        <v>0.4</v>
      </c>
      <c r="BX8" s="623">
        <f t="shared" si="15"/>
        <v>0.4</v>
      </c>
      <c r="BY8" s="607">
        <v>4</v>
      </c>
      <c r="BZ8" s="629">
        <v>0.3</v>
      </c>
      <c r="CA8" s="1017">
        <v>0.3</v>
      </c>
      <c r="CB8" s="721">
        <f t="shared" si="16"/>
        <v>0.3</v>
      </c>
      <c r="CC8" s="721">
        <f t="shared" si="17"/>
        <v>75</v>
      </c>
      <c r="CD8" s="720">
        <f t="shared" si="18"/>
        <v>75</v>
      </c>
      <c r="CE8" s="618">
        <f t="shared" si="19"/>
        <v>4.9500000000000002E-2</v>
      </c>
      <c r="CF8" s="719">
        <f t="shared" si="20"/>
        <v>75</v>
      </c>
      <c r="CG8" s="618">
        <f t="shared" si="21"/>
        <v>4.9500000000000002E-2</v>
      </c>
      <c r="CH8" s="718">
        <f t="shared" si="22"/>
        <v>6.6000000000000003E-2</v>
      </c>
      <c r="CI8" s="658">
        <v>0.4</v>
      </c>
      <c r="CJ8" s="982">
        <f t="shared" si="23"/>
        <v>0.4</v>
      </c>
      <c r="CK8" s="986">
        <v>0.10000000149011612</v>
      </c>
      <c r="CL8" s="533">
        <f t="shared" si="24"/>
        <v>0.2999999985098839</v>
      </c>
      <c r="CM8" s="619">
        <f t="shared" si="25"/>
        <v>0.10000000149011612</v>
      </c>
      <c r="CN8" s="619">
        <f t="shared" si="26"/>
        <v>25.00000037252903</v>
      </c>
      <c r="CO8" s="549">
        <f t="shared" si="27"/>
        <v>25.00000037252903</v>
      </c>
      <c r="CP8" s="619">
        <f t="shared" si="28"/>
        <v>1.6500000245869159E-2</v>
      </c>
      <c r="CQ8" s="619">
        <f t="shared" si="29"/>
        <v>1.6500000245869159E-2</v>
      </c>
      <c r="CR8" s="546">
        <v>804000000</v>
      </c>
      <c r="CS8" s="546">
        <v>306000000</v>
      </c>
      <c r="CT8" s="546">
        <v>498000000</v>
      </c>
      <c r="CU8" s="546">
        <v>0</v>
      </c>
      <c r="CV8" s="546">
        <v>0</v>
      </c>
      <c r="CW8" s="546">
        <v>0</v>
      </c>
      <c r="CX8" s="546">
        <v>0</v>
      </c>
      <c r="CY8" s="546">
        <v>0</v>
      </c>
      <c r="CZ8" s="618">
        <v>0</v>
      </c>
      <c r="DA8" s="618">
        <v>0</v>
      </c>
      <c r="DB8" s="618">
        <v>0</v>
      </c>
      <c r="DC8" s="618">
        <v>0</v>
      </c>
      <c r="DD8" s="618">
        <v>0</v>
      </c>
      <c r="DE8" s="618">
        <v>0</v>
      </c>
      <c r="DF8" s="618">
        <v>0</v>
      </c>
      <c r="DG8" s="618">
        <v>0</v>
      </c>
      <c r="DH8" s="618">
        <v>0</v>
      </c>
      <c r="DI8" s="618">
        <v>0</v>
      </c>
      <c r="DJ8" s="618">
        <v>0</v>
      </c>
      <c r="DK8" s="1034">
        <f t="shared" si="30"/>
        <v>0.60000000149011612</v>
      </c>
      <c r="DL8" s="543">
        <f t="shared" si="31"/>
        <v>0.16500000000000001</v>
      </c>
      <c r="DM8" s="542">
        <f t="shared" si="32"/>
        <v>60.000000149011612</v>
      </c>
      <c r="DN8" s="594">
        <f t="shared" si="33"/>
        <v>60.000000149011612</v>
      </c>
      <c r="DO8" s="540">
        <f t="shared" si="34"/>
        <v>9.9000000245869163E-2</v>
      </c>
      <c r="DP8" s="597">
        <f>+IF(((DN8*Q8)/100)&lt;Q8, ((DN8*Q8)/100),Q8)</f>
        <v>9.9000000245869163E-2</v>
      </c>
      <c r="DQ8" s="538">
        <f t="shared" si="35"/>
        <v>9.9000000245869163E-2</v>
      </c>
      <c r="DR8" s="617">
        <f t="shared" si="36"/>
        <v>1</v>
      </c>
      <c r="DS8" s="616">
        <f t="shared" si="37"/>
        <v>0</v>
      </c>
      <c r="DT8" s="259">
        <v>3</v>
      </c>
      <c r="DU8" s="260" t="s">
        <v>303</v>
      </c>
      <c r="DV8" s="259"/>
      <c r="DW8" s="260" t="s">
        <v>242</v>
      </c>
      <c r="DX8" s="259"/>
      <c r="DY8" s="259"/>
      <c r="DZ8" s="259"/>
      <c r="EA8" s="987"/>
      <c r="EB8" s="1040" t="s">
        <v>2357</v>
      </c>
      <c r="EC8" s="802">
        <v>893000000</v>
      </c>
      <c r="EE8" s="1047"/>
    </row>
    <row r="9" spans="1:135" s="534" customFormat="1" ht="89.25" hidden="1" x14ac:dyDescent="0.3">
      <c r="D9" s="783">
        <v>6</v>
      </c>
      <c r="E9" s="799">
        <v>15</v>
      </c>
      <c r="F9" s="787" t="s">
        <v>200</v>
      </c>
      <c r="G9" s="787" t="s">
        <v>7</v>
      </c>
      <c r="H9" s="788" t="s">
        <v>135</v>
      </c>
      <c r="I9" s="712" t="s">
        <v>330</v>
      </c>
      <c r="J9" s="573" t="s">
        <v>339</v>
      </c>
      <c r="K9" s="573" t="s">
        <v>340</v>
      </c>
      <c r="L9" s="702" t="s">
        <v>2280</v>
      </c>
      <c r="M9" s="570" t="s">
        <v>2032</v>
      </c>
      <c r="N9" s="570">
        <v>3936</v>
      </c>
      <c r="O9" s="570">
        <f>+P9</f>
        <v>4000</v>
      </c>
      <c r="P9" s="569">
        <v>4000</v>
      </c>
      <c r="Q9" s="595">
        <v>0.16500000000000001</v>
      </c>
      <c r="R9" s="580">
        <f t="shared" si="0"/>
        <v>4.1250000000000002E-2</v>
      </c>
      <c r="S9" s="708">
        <v>4000</v>
      </c>
      <c r="T9" s="625">
        <f t="shared" si="1"/>
        <v>0.25</v>
      </c>
      <c r="U9" s="992">
        <v>0</v>
      </c>
      <c r="V9" s="626">
        <f t="shared" si="2"/>
        <v>0</v>
      </c>
      <c r="W9" s="594">
        <f t="shared" si="3"/>
        <v>0</v>
      </c>
      <c r="X9" s="594">
        <f t="shared" si="4"/>
        <v>0</v>
      </c>
      <c r="Y9" s="594">
        <f t="shared" si="5"/>
        <v>0</v>
      </c>
      <c r="Z9" s="594">
        <f t="shared" si="6"/>
        <v>0</v>
      </c>
      <c r="AA9" s="546">
        <v>1427000000</v>
      </c>
      <c r="AB9" s="546">
        <v>1427000000</v>
      </c>
      <c r="AC9" s="546">
        <v>0</v>
      </c>
      <c r="AD9" s="546">
        <v>0</v>
      </c>
      <c r="AE9" s="546">
        <v>0</v>
      </c>
      <c r="AF9" s="546">
        <v>0</v>
      </c>
      <c r="AG9" s="546">
        <v>0</v>
      </c>
      <c r="AH9" s="546">
        <v>0</v>
      </c>
      <c r="AI9" s="546">
        <v>373817000</v>
      </c>
      <c r="AJ9" s="546">
        <v>163117000</v>
      </c>
      <c r="AK9" s="546">
        <v>0</v>
      </c>
      <c r="AL9" s="546">
        <v>0</v>
      </c>
      <c r="AM9" s="546">
        <v>0</v>
      </c>
      <c r="AN9" s="546">
        <v>210700000</v>
      </c>
      <c r="AO9" s="546">
        <v>0</v>
      </c>
      <c r="AP9" s="546">
        <v>0</v>
      </c>
      <c r="AQ9" s="546">
        <v>0</v>
      </c>
      <c r="AR9" s="546">
        <v>134611000</v>
      </c>
      <c r="AS9" s="546" t="s">
        <v>2282</v>
      </c>
      <c r="AT9" s="570">
        <f t="shared" si="7"/>
        <v>4.1250000000000002E-2</v>
      </c>
      <c r="AU9" s="570">
        <v>4000</v>
      </c>
      <c r="AV9" s="625">
        <f t="shared" si="8"/>
        <v>0.25</v>
      </c>
      <c r="AW9" s="1003">
        <v>3200</v>
      </c>
      <c r="AX9" s="724">
        <f t="shared" si="9"/>
        <v>800</v>
      </c>
      <c r="AY9" s="724">
        <f t="shared" si="10"/>
        <v>80</v>
      </c>
      <c r="AZ9" s="724">
        <f t="shared" si="11"/>
        <v>80</v>
      </c>
      <c r="BA9" s="594">
        <f t="shared" si="12"/>
        <v>3.3000000000000002E-2</v>
      </c>
      <c r="BB9" s="594">
        <f t="shared" si="13"/>
        <v>80</v>
      </c>
      <c r="BC9" s="546">
        <v>1031000000</v>
      </c>
      <c r="BD9" s="546">
        <v>0</v>
      </c>
      <c r="BE9" s="546">
        <v>1031000000</v>
      </c>
      <c r="BF9" s="546">
        <v>0</v>
      </c>
      <c r="BG9" s="546">
        <v>0</v>
      </c>
      <c r="BH9" s="546">
        <v>0</v>
      </c>
      <c r="BI9" s="546">
        <v>0</v>
      </c>
      <c r="BJ9" s="546">
        <v>0</v>
      </c>
      <c r="BK9" s="723">
        <v>2740962756</v>
      </c>
      <c r="BL9" s="722">
        <v>812957816</v>
      </c>
      <c r="BM9" s="722">
        <v>0</v>
      </c>
      <c r="BN9" s="722">
        <v>0</v>
      </c>
      <c r="BO9" s="722">
        <v>0</v>
      </c>
      <c r="BP9" s="722">
        <v>1928004940</v>
      </c>
      <c r="BQ9" s="722">
        <v>0</v>
      </c>
      <c r="BR9" s="722">
        <v>0</v>
      </c>
      <c r="BS9" s="722">
        <v>0</v>
      </c>
      <c r="BT9" s="722">
        <v>0</v>
      </c>
      <c r="BU9" s="722">
        <v>0</v>
      </c>
      <c r="BV9" s="580">
        <f t="shared" si="14"/>
        <v>4.1250000000000002E-2</v>
      </c>
      <c r="BW9" s="588">
        <v>4000</v>
      </c>
      <c r="BX9" s="623">
        <f t="shared" si="15"/>
        <v>0.25</v>
      </c>
      <c r="BY9" s="607">
        <v>6500</v>
      </c>
      <c r="BZ9" s="629">
        <v>6500</v>
      </c>
      <c r="CA9" s="1017">
        <v>6500</v>
      </c>
      <c r="CB9" s="721">
        <f t="shared" si="16"/>
        <v>1625</v>
      </c>
      <c r="CC9" s="721">
        <f t="shared" si="17"/>
        <v>162.5</v>
      </c>
      <c r="CD9" s="720">
        <f t="shared" si="18"/>
        <v>100</v>
      </c>
      <c r="CE9" s="618">
        <f t="shared" si="19"/>
        <v>4.1250000000000002E-2</v>
      </c>
      <c r="CF9" s="719">
        <f t="shared" si="20"/>
        <v>100</v>
      </c>
      <c r="CG9" s="618">
        <f t="shared" si="21"/>
        <v>6.7031250000000001E-2</v>
      </c>
      <c r="CH9" s="718">
        <f t="shared" si="22"/>
        <v>4.1250000000000002E-2</v>
      </c>
      <c r="CI9" s="552">
        <v>4000</v>
      </c>
      <c r="CJ9" s="551">
        <f t="shared" si="23"/>
        <v>0.25</v>
      </c>
      <c r="CK9" s="974">
        <v>8696</v>
      </c>
      <c r="CL9" s="533">
        <f t="shared" si="24"/>
        <v>-4696</v>
      </c>
      <c r="CM9" s="619">
        <f t="shared" si="25"/>
        <v>2174</v>
      </c>
      <c r="CN9" s="619">
        <f t="shared" si="26"/>
        <v>217.4</v>
      </c>
      <c r="CO9" s="619">
        <f t="shared" si="27"/>
        <v>100</v>
      </c>
      <c r="CP9" s="619">
        <f t="shared" si="28"/>
        <v>4.1250000000000002E-2</v>
      </c>
      <c r="CQ9" s="619">
        <f t="shared" si="29"/>
        <v>8.9677500000000007E-2</v>
      </c>
      <c r="CR9" s="546">
        <v>2379000000</v>
      </c>
      <c r="CS9" s="546">
        <v>2379000000</v>
      </c>
      <c r="CT9" s="546">
        <v>0</v>
      </c>
      <c r="CU9" s="546">
        <v>0</v>
      </c>
      <c r="CV9" s="546">
        <v>0</v>
      </c>
      <c r="CW9" s="546">
        <v>0</v>
      </c>
      <c r="CX9" s="546">
        <v>0</v>
      </c>
      <c r="CY9" s="546">
        <v>0</v>
      </c>
      <c r="CZ9" s="618">
        <v>0</v>
      </c>
      <c r="DA9" s="618">
        <v>0</v>
      </c>
      <c r="DB9" s="618">
        <v>0</v>
      </c>
      <c r="DC9" s="618">
        <v>0</v>
      </c>
      <c r="DD9" s="618">
        <v>0</v>
      </c>
      <c r="DE9" s="618">
        <v>0</v>
      </c>
      <c r="DF9" s="618">
        <v>0</v>
      </c>
      <c r="DG9" s="618">
        <v>0</v>
      </c>
      <c r="DH9" s="618">
        <v>0</v>
      </c>
      <c r="DI9" s="618">
        <v>0</v>
      </c>
      <c r="DJ9" s="618">
        <v>0</v>
      </c>
      <c r="DK9" s="1034">
        <f t="shared" si="30"/>
        <v>4599</v>
      </c>
      <c r="DL9" s="543">
        <f t="shared" si="31"/>
        <v>0.16500000000000001</v>
      </c>
      <c r="DM9" s="542">
        <f t="shared" si="32"/>
        <v>114.97499999999999</v>
      </c>
      <c r="DN9" s="594">
        <f t="shared" si="33"/>
        <v>100</v>
      </c>
      <c r="DO9" s="540">
        <f t="shared" si="34"/>
        <v>0.16500000000000001</v>
      </c>
      <c r="DP9" s="597">
        <f>+IF(M9="M",DO9,0)</f>
        <v>0.16500000000000001</v>
      </c>
      <c r="DQ9" s="538">
        <f t="shared" si="35"/>
        <v>0.16500000000000001</v>
      </c>
      <c r="DR9" s="617">
        <f t="shared" si="36"/>
        <v>1</v>
      </c>
      <c r="DS9" s="616">
        <f t="shared" si="37"/>
        <v>0</v>
      </c>
      <c r="DT9" s="259">
        <v>7</v>
      </c>
      <c r="DU9" s="260" t="s">
        <v>300</v>
      </c>
      <c r="DV9" s="259">
        <v>8</v>
      </c>
      <c r="DW9" s="260" t="s">
        <v>299</v>
      </c>
      <c r="DX9" s="259"/>
      <c r="DY9" s="259"/>
      <c r="DZ9" s="259"/>
      <c r="EA9" s="987"/>
      <c r="EB9" s="1040" t="s">
        <v>2358</v>
      </c>
      <c r="EC9" s="802">
        <v>2379000000</v>
      </c>
      <c r="EE9" s="1047"/>
    </row>
    <row r="10" spans="1:135" s="534" customFormat="1" ht="84" hidden="1" x14ac:dyDescent="0.3">
      <c r="D10" s="783">
        <v>7</v>
      </c>
      <c r="E10" s="799">
        <v>16</v>
      </c>
      <c r="F10" s="787" t="s">
        <v>200</v>
      </c>
      <c r="G10" s="787" t="s">
        <v>7</v>
      </c>
      <c r="H10" s="788" t="s">
        <v>135</v>
      </c>
      <c r="I10" s="712" t="s">
        <v>330</v>
      </c>
      <c r="J10" s="573" t="s">
        <v>341</v>
      </c>
      <c r="K10" s="573" t="s">
        <v>342</v>
      </c>
      <c r="L10" s="702" t="s">
        <v>2280</v>
      </c>
      <c r="M10" s="570" t="s">
        <v>2032</v>
      </c>
      <c r="N10" s="570">
        <v>1532</v>
      </c>
      <c r="O10" s="570">
        <f>+P10</f>
        <v>2000</v>
      </c>
      <c r="P10" s="569">
        <v>2000</v>
      </c>
      <c r="Q10" s="595">
        <v>0.16500000000000001</v>
      </c>
      <c r="R10" s="580">
        <f t="shared" si="0"/>
        <v>4.1250000000000002E-2</v>
      </c>
      <c r="S10" s="708">
        <v>2000</v>
      </c>
      <c r="T10" s="625">
        <f t="shared" si="1"/>
        <v>0.25</v>
      </c>
      <c r="U10" s="992">
        <v>0</v>
      </c>
      <c r="V10" s="626">
        <f t="shared" si="2"/>
        <v>0</v>
      </c>
      <c r="W10" s="594">
        <f t="shared" si="3"/>
        <v>0</v>
      </c>
      <c r="X10" s="594">
        <f t="shared" si="4"/>
        <v>0</v>
      </c>
      <c r="Y10" s="594">
        <f t="shared" si="5"/>
        <v>0</v>
      </c>
      <c r="Z10" s="594">
        <f t="shared" si="6"/>
        <v>0</v>
      </c>
      <c r="AA10" s="546">
        <v>666000000</v>
      </c>
      <c r="AB10" s="546">
        <v>666000000</v>
      </c>
      <c r="AC10" s="546">
        <v>0</v>
      </c>
      <c r="AD10" s="546">
        <v>0</v>
      </c>
      <c r="AE10" s="546">
        <v>0</v>
      </c>
      <c r="AF10" s="546">
        <v>0</v>
      </c>
      <c r="AG10" s="546">
        <v>0</v>
      </c>
      <c r="AH10" s="546">
        <v>0</v>
      </c>
      <c r="AI10" s="546">
        <v>373817000</v>
      </c>
      <c r="AJ10" s="546">
        <v>163117000</v>
      </c>
      <c r="AK10" s="546">
        <v>0</v>
      </c>
      <c r="AL10" s="546">
        <v>0</v>
      </c>
      <c r="AM10" s="546">
        <v>0</v>
      </c>
      <c r="AN10" s="546">
        <v>210700000</v>
      </c>
      <c r="AO10" s="546">
        <v>0</v>
      </c>
      <c r="AP10" s="546">
        <v>0</v>
      </c>
      <c r="AQ10" s="546">
        <v>0</v>
      </c>
      <c r="AR10" s="546">
        <v>134611000</v>
      </c>
      <c r="AS10" s="546" t="s">
        <v>2281</v>
      </c>
      <c r="AT10" s="570">
        <f t="shared" si="7"/>
        <v>4.1250000000000002E-2</v>
      </c>
      <c r="AU10" s="570">
        <v>2000</v>
      </c>
      <c r="AV10" s="625">
        <f t="shared" si="8"/>
        <v>0.25</v>
      </c>
      <c r="AW10" s="1003">
        <v>1210</v>
      </c>
      <c r="AX10" s="724">
        <f t="shared" si="9"/>
        <v>302.5</v>
      </c>
      <c r="AY10" s="724">
        <f t="shared" si="10"/>
        <v>60.5</v>
      </c>
      <c r="AZ10" s="724">
        <f t="shared" si="11"/>
        <v>60.5</v>
      </c>
      <c r="BA10" s="594">
        <f t="shared" si="12"/>
        <v>2.4956249999999999E-2</v>
      </c>
      <c r="BB10" s="594">
        <f t="shared" si="13"/>
        <v>60.5</v>
      </c>
      <c r="BC10" s="546">
        <v>481000000</v>
      </c>
      <c r="BD10" s="546">
        <v>0</v>
      </c>
      <c r="BE10" s="546">
        <v>481000000</v>
      </c>
      <c r="BF10" s="546">
        <v>0</v>
      </c>
      <c r="BG10" s="546">
        <v>0</v>
      </c>
      <c r="BH10" s="546">
        <v>0</v>
      </c>
      <c r="BI10" s="546">
        <v>0</v>
      </c>
      <c r="BJ10" s="546">
        <v>0</v>
      </c>
      <c r="BK10" s="723">
        <v>1806739740</v>
      </c>
      <c r="BL10" s="722">
        <v>735544680</v>
      </c>
      <c r="BM10" s="722">
        <v>0</v>
      </c>
      <c r="BN10" s="722">
        <v>0</v>
      </c>
      <c r="BO10" s="722">
        <v>0</v>
      </c>
      <c r="BP10" s="722">
        <v>1071195060</v>
      </c>
      <c r="BQ10" s="722">
        <v>0</v>
      </c>
      <c r="BR10" s="722">
        <v>0</v>
      </c>
      <c r="BS10" s="722">
        <v>0</v>
      </c>
      <c r="BT10" s="722">
        <v>0</v>
      </c>
      <c r="BU10" s="722">
        <v>0</v>
      </c>
      <c r="BV10" s="580">
        <f t="shared" si="14"/>
        <v>4.1250000000000002E-2</v>
      </c>
      <c r="BW10" s="588">
        <v>2000</v>
      </c>
      <c r="BX10" s="623">
        <f t="shared" si="15"/>
        <v>0.25</v>
      </c>
      <c r="BY10" s="639">
        <v>3000</v>
      </c>
      <c r="BZ10" s="638">
        <v>3000</v>
      </c>
      <c r="CA10" s="1018">
        <v>2600</v>
      </c>
      <c r="CB10" s="721">
        <f t="shared" si="16"/>
        <v>650</v>
      </c>
      <c r="CC10" s="721">
        <f t="shared" si="17"/>
        <v>130</v>
      </c>
      <c r="CD10" s="720">
        <f t="shared" si="18"/>
        <v>100</v>
      </c>
      <c r="CE10" s="618">
        <f t="shared" si="19"/>
        <v>4.1250000000000002E-2</v>
      </c>
      <c r="CF10" s="719">
        <f t="shared" si="20"/>
        <v>100</v>
      </c>
      <c r="CG10" s="618">
        <f t="shared" si="21"/>
        <v>5.3624999999999999E-2</v>
      </c>
      <c r="CH10" s="718">
        <f t="shared" si="22"/>
        <v>4.1250000000000002E-2</v>
      </c>
      <c r="CI10" s="552">
        <v>2000</v>
      </c>
      <c r="CJ10" s="551">
        <f t="shared" si="23"/>
        <v>0.25</v>
      </c>
      <c r="CK10" s="871">
        <v>4000</v>
      </c>
      <c r="CL10" s="533">
        <f t="shared" si="24"/>
        <v>-2000</v>
      </c>
      <c r="CM10" s="619">
        <f t="shared" si="25"/>
        <v>1000</v>
      </c>
      <c r="CN10" s="619">
        <f t="shared" si="26"/>
        <v>200</v>
      </c>
      <c r="CO10" s="619">
        <f t="shared" si="27"/>
        <v>100</v>
      </c>
      <c r="CP10" s="619">
        <f t="shared" si="28"/>
        <v>4.1250000000000002E-2</v>
      </c>
      <c r="CQ10" s="619">
        <f t="shared" si="29"/>
        <v>8.2500000000000004E-2</v>
      </c>
      <c r="CR10" s="546">
        <v>1110000000</v>
      </c>
      <c r="CS10" s="546">
        <v>1110000000</v>
      </c>
      <c r="CT10" s="546">
        <v>0</v>
      </c>
      <c r="CU10" s="546">
        <v>0</v>
      </c>
      <c r="CV10" s="546">
        <v>0</v>
      </c>
      <c r="CW10" s="546">
        <v>0</v>
      </c>
      <c r="CX10" s="546">
        <v>0</v>
      </c>
      <c r="CY10" s="546">
        <v>0</v>
      </c>
      <c r="CZ10" s="618">
        <v>0</v>
      </c>
      <c r="DA10" s="618">
        <v>0</v>
      </c>
      <c r="DB10" s="618">
        <v>0</v>
      </c>
      <c r="DC10" s="618">
        <v>0</v>
      </c>
      <c r="DD10" s="618">
        <v>0</v>
      </c>
      <c r="DE10" s="618">
        <v>0</v>
      </c>
      <c r="DF10" s="618">
        <v>0</v>
      </c>
      <c r="DG10" s="618">
        <v>0</v>
      </c>
      <c r="DH10" s="618">
        <v>0</v>
      </c>
      <c r="DI10" s="618">
        <v>0</v>
      </c>
      <c r="DJ10" s="618">
        <v>0</v>
      </c>
      <c r="DK10" s="1034">
        <f t="shared" si="30"/>
        <v>1952.5</v>
      </c>
      <c r="DL10" s="543">
        <f t="shared" si="31"/>
        <v>0.16500000000000001</v>
      </c>
      <c r="DM10" s="542">
        <f t="shared" si="32"/>
        <v>97.625</v>
      </c>
      <c r="DN10" s="594">
        <f t="shared" si="33"/>
        <v>97.625</v>
      </c>
      <c r="DO10" s="540">
        <f t="shared" si="34"/>
        <v>0.16108125000000001</v>
      </c>
      <c r="DP10" s="597">
        <f>+IF(M10="M",DO10,0)</f>
        <v>0.16108125000000001</v>
      </c>
      <c r="DQ10" s="538">
        <f t="shared" si="35"/>
        <v>0.16108125000000001</v>
      </c>
      <c r="DR10" s="617">
        <f t="shared" si="36"/>
        <v>1</v>
      </c>
      <c r="DS10" s="616">
        <f t="shared" si="37"/>
        <v>0</v>
      </c>
      <c r="DT10" s="259">
        <v>7</v>
      </c>
      <c r="DU10" s="260" t="s">
        <v>300</v>
      </c>
      <c r="DV10" s="259">
        <v>8</v>
      </c>
      <c r="DW10" s="260" t="s">
        <v>299</v>
      </c>
      <c r="DX10" s="259"/>
      <c r="DY10" s="259"/>
      <c r="DZ10" s="259"/>
      <c r="EA10" s="987"/>
      <c r="EB10" s="1040" t="s">
        <v>2359</v>
      </c>
      <c r="EC10" s="802">
        <v>1110000000</v>
      </c>
      <c r="EE10" s="1047"/>
    </row>
    <row r="11" spans="1:135" s="534" customFormat="1" ht="63.75" hidden="1" x14ac:dyDescent="0.3">
      <c r="D11" s="783">
        <v>8</v>
      </c>
      <c r="E11" s="799">
        <v>17</v>
      </c>
      <c r="F11" s="787" t="s">
        <v>200</v>
      </c>
      <c r="G11" s="787" t="s">
        <v>9</v>
      </c>
      <c r="H11" s="788" t="s">
        <v>135</v>
      </c>
      <c r="I11" s="712" t="s">
        <v>330</v>
      </c>
      <c r="J11" s="573" t="s">
        <v>343</v>
      </c>
      <c r="K11" s="573" t="s">
        <v>344</v>
      </c>
      <c r="L11" s="702" t="s">
        <v>1593</v>
      </c>
      <c r="M11" s="570" t="s">
        <v>2032</v>
      </c>
      <c r="N11" s="570">
        <v>0</v>
      </c>
      <c r="O11" s="570">
        <f>+P11</f>
        <v>116</v>
      </c>
      <c r="P11" s="569">
        <v>116</v>
      </c>
      <c r="Q11" s="595">
        <v>0.16500000000000001</v>
      </c>
      <c r="R11" s="580">
        <f t="shared" si="0"/>
        <v>4.1250000000000002E-2</v>
      </c>
      <c r="S11" s="708">
        <v>116</v>
      </c>
      <c r="T11" s="625">
        <f t="shared" si="1"/>
        <v>0.25</v>
      </c>
      <c r="U11" s="992">
        <v>0</v>
      </c>
      <c r="V11" s="626">
        <f t="shared" si="2"/>
        <v>0</v>
      </c>
      <c r="W11" s="594">
        <f t="shared" si="3"/>
        <v>0</v>
      </c>
      <c r="X11" s="594">
        <f t="shared" si="4"/>
        <v>0</v>
      </c>
      <c r="Y11" s="594">
        <f t="shared" si="5"/>
        <v>0</v>
      </c>
      <c r="Z11" s="594">
        <f t="shared" si="6"/>
        <v>0</v>
      </c>
      <c r="AA11" s="546">
        <v>0</v>
      </c>
      <c r="AB11" s="546">
        <v>0</v>
      </c>
      <c r="AC11" s="546">
        <v>0</v>
      </c>
      <c r="AD11" s="546">
        <v>0</v>
      </c>
      <c r="AE11" s="546">
        <v>0</v>
      </c>
      <c r="AF11" s="546">
        <v>0</v>
      </c>
      <c r="AG11" s="546">
        <v>0</v>
      </c>
      <c r="AH11" s="546">
        <v>0</v>
      </c>
      <c r="AI11" s="546">
        <v>0</v>
      </c>
      <c r="AJ11" s="546">
        <v>0</v>
      </c>
      <c r="AK11" s="546">
        <v>0</v>
      </c>
      <c r="AL11" s="546">
        <v>0</v>
      </c>
      <c r="AM11" s="546">
        <v>0</v>
      </c>
      <c r="AN11" s="546">
        <v>0</v>
      </c>
      <c r="AO11" s="546">
        <v>0</v>
      </c>
      <c r="AP11" s="546">
        <v>0</v>
      </c>
      <c r="AQ11" s="546">
        <v>0</v>
      </c>
      <c r="AR11" s="546">
        <v>0</v>
      </c>
      <c r="AS11" s="546" t="s">
        <v>2045</v>
      </c>
      <c r="AT11" s="570">
        <f t="shared" si="7"/>
        <v>4.1250000000000002E-2</v>
      </c>
      <c r="AU11" s="570">
        <v>116</v>
      </c>
      <c r="AV11" s="625">
        <f t="shared" si="8"/>
        <v>0.25</v>
      </c>
      <c r="AW11" s="1003">
        <v>80</v>
      </c>
      <c r="AX11" s="724">
        <f t="shared" si="9"/>
        <v>20</v>
      </c>
      <c r="AY11" s="724">
        <f t="shared" si="10"/>
        <v>68.965517241379317</v>
      </c>
      <c r="AZ11" s="724">
        <f t="shared" si="11"/>
        <v>68.965517241379317</v>
      </c>
      <c r="BA11" s="594">
        <f t="shared" si="12"/>
        <v>2.8448275862068967E-2</v>
      </c>
      <c r="BB11" s="594">
        <f t="shared" si="13"/>
        <v>68.965517241379317</v>
      </c>
      <c r="BC11" s="546">
        <v>50000000</v>
      </c>
      <c r="BD11" s="546">
        <v>0</v>
      </c>
      <c r="BE11" s="546">
        <v>50000000</v>
      </c>
      <c r="BF11" s="546">
        <v>0</v>
      </c>
      <c r="BG11" s="546">
        <v>0</v>
      </c>
      <c r="BH11" s="546">
        <v>0</v>
      </c>
      <c r="BI11" s="546">
        <v>0</v>
      </c>
      <c r="BJ11" s="546">
        <v>0</v>
      </c>
      <c r="BK11" s="723">
        <v>0</v>
      </c>
      <c r="BL11" s="722">
        <v>0</v>
      </c>
      <c r="BM11" s="722">
        <v>0</v>
      </c>
      <c r="BN11" s="722">
        <v>0</v>
      </c>
      <c r="BO11" s="722">
        <v>0</v>
      </c>
      <c r="BP11" s="722">
        <v>0</v>
      </c>
      <c r="BQ11" s="722">
        <v>0</v>
      </c>
      <c r="BR11" s="722">
        <v>0</v>
      </c>
      <c r="BS11" s="722">
        <v>0</v>
      </c>
      <c r="BT11" s="722">
        <v>0</v>
      </c>
      <c r="BU11" s="722">
        <v>0</v>
      </c>
      <c r="BV11" s="580">
        <f t="shared" si="14"/>
        <v>4.1250000000000002E-2</v>
      </c>
      <c r="BW11" s="588">
        <v>116</v>
      </c>
      <c r="BX11" s="623">
        <f t="shared" si="15"/>
        <v>0.25</v>
      </c>
      <c r="BY11" s="607">
        <v>116</v>
      </c>
      <c r="BZ11" s="629">
        <v>116</v>
      </c>
      <c r="CA11" s="1017">
        <v>116</v>
      </c>
      <c r="CB11" s="721">
        <f t="shared" si="16"/>
        <v>29</v>
      </c>
      <c r="CC11" s="721">
        <f t="shared" si="17"/>
        <v>100</v>
      </c>
      <c r="CD11" s="720">
        <f t="shared" si="18"/>
        <v>100</v>
      </c>
      <c r="CE11" s="618">
        <f t="shared" si="19"/>
        <v>4.1250000000000002E-2</v>
      </c>
      <c r="CF11" s="719">
        <f t="shared" si="20"/>
        <v>100</v>
      </c>
      <c r="CG11" s="618">
        <f t="shared" si="21"/>
        <v>4.1250000000000002E-2</v>
      </c>
      <c r="CH11" s="718">
        <f t="shared" si="22"/>
        <v>4.1250000000000002E-2</v>
      </c>
      <c r="CI11" s="552">
        <v>0</v>
      </c>
      <c r="CJ11" s="551">
        <f t="shared" si="23"/>
        <v>0.25</v>
      </c>
      <c r="CK11" s="871">
        <v>116</v>
      </c>
      <c r="CL11" s="533">
        <f t="shared" si="24"/>
        <v>-116</v>
      </c>
      <c r="CM11" s="619">
        <f t="shared" si="25"/>
        <v>29</v>
      </c>
      <c r="CN11" s="619">
        <f t="shared" si="26"/>
        <v>0</v>
      </c>
      <c r="CO11" s="619">
        <f t="shared" si="27"/>
        <v>0</v>
      </c>
      <c r="CP11" s="619">
        <f t="shared" si="28"/>
        <v>0</v>
      </c>
      <c r="CQ11" s="619">
        <f t="shared" si="29"/>
        <v>0</v>
      </c>
      <c r="CR11" s="546">
        <v>0</v>
      </c>
      <c r="CS11" s="546">
        <v>0</v>
      </c>
      <c r="CT11" s="546">
        <v>0</v>
      </c>
      <c r="CU11" s="546">
        <v>0</v>
      </c>
      <c r="CV11" s="546">
        <v>0</v>
      </c>
      <c r="CW11" s="546">
        <v>0</v>
      </c>
      <c r="CX11" s="546">
        <v>0</v>
      </c>
      <c r="CY11" s="546">
        <v>0</v>
      </c>
      <c r="CZ11" s="618">
        <v>0</v>
      </c>
      <c r="DA11" s="618">
        <v>0</v>
      </c>
      <c r="DB11" s="618">
        <v>0</v>
      </c>
      <c r="DC11" s="618">
        <v>0</v>
      </c>
      <c r="DD11" s="618">
        <v>0</v>
      </c>
      <c r="DE11" s="618">
        <v>0</v>
      </c>
      <c r="DF11" s="618">
        <v>0</v>
      </c>
      <c r="DG11" s="618">
        <v>0</v>
      </c>
      <c r="DH11" s="618">
        <v>0</v>
      </c>
      <c r="DI11" s="618">
        <v>0</v>
      </c>
      <c r="DJ11" s="618">
        <v>0</v>
      </c>
      <c r="DK11" s="1034">
        <f t="shared" si="30"/>
        <v>78</v>
      </c>
      <c r="DL11" s="543">
        <f t="shared" si="31"/>
        <v>0.16500000000000001</v>
      </c>
      <c r="DM11" s="542">
        <f t="shared" si="32"/>
        <v>67.241379310344826</v>
      </c>
      <c r="DN11" s="594">
        <f t="shared" si="33"/>
        <v>67.241379310344826</v>
      </c>
      <c r="DO11" s="540">
        <f t="shared" si="34"/>
        <v>0.11094827586206897</v>
      </c>
      <c r="DP11" s="597">
        <f>+IF(M11="M",DO11,0)</f>
        <v>0.11094827586206897</v>
      </c>
      <c r="DQ11" s="538">
        <f t="shared" si="35"/>
        <v>0.11094827586206897</v>
      </c>
      <c r="DR11" s="617">
        <f t="shared" si="36"/>
        <v>1</v>
      </c>
      <c r="DS11" s="616">
        <f t="shared" si="37"/>
        <v>0</v>
      </c>
      <c r="DT11" s="259">
        <v>1</v>
      </c>
      <c r="DU11" s="260" t="s">
        <v>345</v>
      </c>
      <c r="DV11" s="259"/>
      <c r="DW11" s="260" t="s">
        <v>242</v>
      </c>
      <c r="DX11" s="259"/>
      <c r="DY11" s="259"/>
      <c r="DZ11" s="259"/>
      <c r="EA11" s="987"/>
      <c r="EB11" s="1040" t="s">
        <v>2360</v>
      </c>
      <c r="EC11" s="802">
        <v>0</v>
      </c>
      <c r="EE11" s="1047"/>
    </row>
    <row r="12" spans="1:135" s="534" customFormat="1" ht="144" hidden="1" x14ac:dyDescent="0.3">
      <c r="D12" s="783">
        <v>9</v>
      </c>
      <c r="E12" s="799">
        <v>18</v>
      </c>
      <c r="F12" s="787" t="s">
        <v>200</v>
      </c>
      <c r="G12" s="787" t="s">
        <v>8</v>
      </c>
      <c r="H12" s="788" t="s">
        <v>135</v>
      </c>
      <c r="I12" s="712" t="s">
        <v>346</v>
      </c>
      <c r="J12" s="573" t="s">
        <v>347</v>
      </c>
      <c r="K12" s="573" t="s">
        <v>348</v>
      </c>
      <c r="L12" s="702" t="s">
        <v>2280</v>
      </c>
      <c r="M12" s="570" t="s">
        <v>2017</v>
      </c>
      <c r="N12" s="570">
        <v>7646</v>
      </c>
      <c r="O12" s="570">
        <f t="shared" ref="O12:O17" si="38">+N12+P12</f>
        <v>15646</v>
      </c>
      <c r="P12" s="569">
        <v>8000</v>
      </c>
      <c r="Q12" s="595">
        <v>0.25</v>
      </c>
      <c r="R12" s="580">
        <f t="shared" si="0"/>
        <v>6.25E-2</v>
      </c>
      <c r="S12" s="708">
        <v>2000</v>
      </c>
      <c r="T12" s="625">
        <f t="shared" si="1"/>
        <v>0.25</v>
      </c>
      <c r="U12" s="992">
        <v>2004</v>
      </c>
      <c r="V12" s="626">
        <f t="shared" si="2"/>
        <v>2004</v>
      </c>
      <c r="W12" s="594">
        <f t="shared" si="3"/>
        <v>100.2</v>
      </c>
      <c r="X12" s="594">
        <f t="shared" si="4"/>
        <v>100</v>
      </c>
      <c r="Y12" s="594">
        <f t="shared" si="5"/>
        <v>6.25E-2</v>
      </c>
      <c r="Z12" s="594">
        <f t="shared" si="6"/>
        <v>100</v>
      </c>
      <c r="AA12" s="546">
        <v>3024000000</v>
      </c>
      <c r="AB12" s="546">
        <v>2000000000</v>
      </c>
      <c r="AC12" s="546">
        <v>0</v>
      </c>
      <c r="AD12" s="546">
        <v>0</v>
      </c>
      <c r="AE12" s="546">
        <v>0</v>
      </c>
      <c r="AF12" s="546">
        <v>0</v>
      </c>
      <c r="AG12" s="546">
        <v>0</v>
      </c>
      <c r="AH12" s="546">
        <v>1024000000</v>
      </c>
      <c r="AI12" s="546">
        <v>2364000000</v>
      </c>
      <c r="AJ12" s="546">
        <v>2000000000</v>
      </c>
      <c r="AK12" s="546">
        <v>0</v>
      </c>
      <c r="AL12" s="546">
        <v>364000000</v>
      </c>
      <c r="AM12" s="546">
        <v>0</v>
      </c>
      <c r="AN12" s="546">
        <v>0</v>
      </c>
      <c r="AO12" s="546">
        <v>0</v>
      </c>
      <c r="AP12" s="546">
        <v>0</v>
      </c>
      <c r="AQ12" s="546">
        <v>0</v>
      </c>
      <c r="AR12" s="546">
        <v>304420000</v>
      </c>
      <c r="AS12" s="546" t="s">
        <v>2279</v>
      </c>
      <c r="AT12" s="570">
        <f t="shared" si="7"/>
        <v>6.25E-2</v>
      </c>
      <c r="AU12" s="570">
        <v>2000</v>
      </c>
      <c r="AV12" s="625">
        <f t="shared" si="8"/>
        <v>0.25</v>
      </c>
      <c r="AW12" s="1003">
        <v>2100</v>
      </c>
      <c r="AX12" s="724">
        <f t="shared" si="9"/>
        <v>2100</v>
      </c>
      <c r="AY12" s="724">
        <f t="shared" si="10"/>
        <v>105</v>
      </c>
      <c r="AZ12" s="724">
        <f t="shared" si="11"/>
        <v>100</v>
      </c>
      <c r="BA12" s="594">
        <f t="shared" si="12"/>
        <v>6.25E-2</v>
      </c>
      <c r="BB12" s="594">
        <f t="shared" si="13"/>
        <v>100</v>
      </c>
      <c r="BC12" s="546">
        <v>1405000000</v>
      </c>
      <c r="BD12" s="546">
        <v>0</v>
      </c>
      <c r="BE12" s="546">
        <v>1405000000</v>
      </c>
      <c r="BF12" s="546">
        <v>0</v>
      </c>
      <c r="BG12" s="546">
        <v>0</v>
      </c>
      <c r="BH12" s="546">
        <v>0</v>
      </c>
      <c r="BI12" s="546">
        <v>0</v>
      </c>
      <c r="BJ12" s="546">
        <v>0</v>
      </c>
      <c r="BK12" s="723">
        <v>702500000</v>
      </c>
      <c r="BL12" s="722">
        <v>702500000</v>
      </c>
      <c r="BM12" s="722">
        <v>0</v>
      </c>
      <c r="BN12" s="722">
        <v>0</v>
      </c>
      <c r="BO12" s="722">
        <v>0</v>
      </c>
      <c r="BP12" s="722">
        <v>0</v>
      </c>
      <c r="BQ12" s="722">
        <v>0</v>
      </c>
      <c r="BR12" s="722">
        <v>0</v>
      </c>
      <c r="BS12" s="722">
        <v>0</v>
      </c>
      <c r="BT12" s="722">
        <v>567893472</v>
      </c>
      <c r="BU12" s="722" t="s">
        <v>2278</v>
      </c>
      <c r="BV12" s="580">
        <f t="shared" si="14"/>
        <v>6.25E-2</v>
      </c>
      <c r="BW12" s="588">
        <v>2000</v>
      </c>
      <c r="BX12" s="623">
        <f t="shared" si="15"/>
        <v>0.25</v>
      </c>
      <c r="BY12" s="607">
        <v>2160</v>
      </c>
      <c r="BZ12" s="629">
        <v>2160</v>
      </c>
      <c r="CA12" s="1017">
        <v>2160</v>
      </c>
      <c r="CB12" s="721">
        <f t="shared" si="16"/>
        <v>2160</v>
      </c>
      <c r="CC12" s="721">
        <f t="shared" si="17"/>
        <v>108</v>
      </c>
      <c r="CD12" s="720">
        <f t="shared" si="18"/>
        <v>100</v>
      </c>
      <c r="CE12" s="618">
        <f t="shared" si="19"/>
        <v>6.25E-2</v>
      </c>
      <c r="CF12" s="719">
        <f t="shared" si="20"/>
        <v>100</v>
      </c>
      <c r="CG12" s="618">
        <f t="shared" si="21"/>
        <v>6.7500000000000004E-2</v>
      </c>
      <c r="CH12" s="718">
        <f t="shared" si="22"/>
        <v>6.25E-2</v>
      </c>
      <c r="CI12" s="552">
        <v>2000</v>
      </c>
      <c r="CJ12" s="551">
        <f t="shared" si="23"/>
        <v>0.25</v>
      </c>
      <c r="CK12" s="874">
        <v>0</v>
      </c>
      <c r="CL12" s="533">
        <f t="shared" si="24"/>
        <v>2000</v>
      </c>
      <c r="CM12" s="619">
        <f t="shared" si="25"/>
        <v>0</v>
      </c>
      <c r="CN12" s="619">
        <f t="shared" si="26"/>
        <v>0</v>
      </c>
      <c r="CO12" s="549">
        <f t="shared" si="27"/>
        <v>0</v>
      </c>
      <c r="CP12" s="619">
        <f t="shared" si="28"/>
        <v>0</v>
      </c>
      <c r="CQ12" s="619">
        <f t="shared" si="29"/>
        <v>0</v>
      </c>
      <c r="CR12" s="546">
        <v>3242000000</v>
      </c>
      <c r="CS12" s="546">
        <v>3242000000</v>
      </c>
      <c r="CT12" s="546">
        <v>0</v>
      </c>
      <c r="CU12" s="546">
        <v>0</v>
      </c>
      <c r="CV12" s="546">
        <v>0</v>
      </c>
      <c r="CW12" s="546">
        <v>0</v>
      </c>
      <c r="CX12" s="546">
        <v>0</v>
      </c>
      <c r="CY12" s="546">
        <v>0</v>
      </c>
      <c r="CZ12" s="618">
        <v>0</v>
      </c>
      <c r="DA12" s="618">
        <v>0</v>
      </c>
      <c r="DB12" s="618">
        <v>0</v>
      </c>
      <c r="DC12" s="618">
        <v>0</v>
      </c>
      <c r="DD12" s="618">
        <v>0</v>
      </c>
      <c r="DE12" s="618">
        <v>0</v>
      </c>
      <c r="DF12" s="618">
        <v>0</v>
      </c>
      <c r="DG12" s="618">
        <v>0</v>
      </c>
      <c r="DH12" s="618">
        <v>0</v>
      </c>
      <c r="DI12" s="618">
        <v>0</v>
      </c>
      <c r="DJ12" s="618">
        <v>0</v>
      </c>
      <c r="DK12" s="1034">
        <f t="shared" si="30"/>
        <v>6264</v>
      </c>
      <c r="DL12" s="543">
        <f t="shared" si="31"/>
        <v>0.25</v>
      </c>
      <c r="DM12" s="542">
        <f t="shared" si="32"/>
        <v>78.3</v>
      </c>
      <c r="DN12" s="594">
        <f t="shared" si="33"/>
        <v>78.3</v>
      </c>
      <c r="DO12" s="540">
        <f t="shared" si="34"/>
        <v>0.19574999999999998</v>
      </c>
      <c r="DP12" s="597">
        <f t="shared" ref="DP12:DP17" si="39">+IF(((DN12*Q12)/100)&lt;Q12, ((DN12*Q12)/100),Q12)</f>
        <v>0.19574999999999998</v>
      </c>
      <c r="DQ12" s="538">
        <f t="shared" si="35"/>
        <v>0.19574999999999998</v>
      </c>
      <c r="DR12" s="617">
        <f t="shared" si="36"/>
        <v>1</v>
      </c>
      <c r="DS12" s="616">
        <f t="shared" si="37"/>
        <v>0</v>
      </c>
      <c r="DT12" s="259">
        <v>35</v>
      </c>
      <c r="DU12" s="260" t="s">
        <v>295</v>
      </c>
      <c r="DV12" s="259">
        <v>77</v>
      </c>
      <c r="DW12" s="260" t="s">
        <v>288</v>
      </c>
      <c r="DX12" s="259"/>
      <c r="DY12" s="259"/>
      <c r="DZ12" s="259"/>
      <c r="EA12" s="987"/>
      <c r="EB12" s="1040" t="s">
        <v>2361</v>
      </c>
      <c r="EC12" s="802">
        <v>3242000000</v>
      </c>
      <c r="EE12" s="1047"/>
    </row>
    <row r="13" spans="1:135" s="534" customFormat="1" ht="144" hidden="1" x14ac:dyDescent="0.3">
      <c r="D13" s="783">
        <v>10</v>
      </c>
      <c r="E13" s="799">
        <v>19</v>
      </c>
      <c r="F13" s="574" t="s">
        <v>200</v>
      </c>
      <c r="G13" s="574" t="s">
        <v>8</v>
      </c>
      <c r="H13" s="574" t="s">
        <v>135</v>
      </c>
      <c r="I13" s="574" t="s">
        <v>346</v>
      </c>
      <c r="J13" s="573" t="s">
        <v>1419</v>
      </c>
      <c r="K13" s="573" t="s">
        <v>349</v>
      </c>
      <c r="L13" s="702" t="s">
        <v>1682</v>
      </c>
      <c r="M13" s="570" t="s">
        <v>2017</v>
      </c>
      <c r="N13" s="570">
        <v>0</v>
      </c>
      <c r="O13" s="570">
        <f t="shared" si="38"/>
        <v>1800</v>
      </c>
      <c r="P13" s="569">
        <v>1800</v>
      </c>
      <c r="Q13" s="738">
        <v>0.25</v>
      </c>
      <c r="R13" s="580">
        <f t="shared" si="0"/>
        <v>0.1111111111111111</v>
      </c>
      <c r="S13" s="708">
        <v>800</v>
      </c>
      <c r="T13" s="695">
        <f t="shared" si="1"/>
        <v>0.44444444444444442</v>
      </c>
      <c r="U13" s="993">
        <v>834</v>
      </c>
      <c r="V13" s="626">
        <f t="shared" si="2"/>
        <v>834</v>
      </c>
      <c r="W13" s="594">
        <f t="shared" si="3"/>
        <v>104.25</v>
      </c>
      <c r="X13" s="594">
        <f t="shared" si="4"/>
        <v>100</v>
      </c>
      <c r="Y13" s="594">
        <f t="shared" si="5"/>
        <v>0.1111111111111111</v>
      </c>
      <c r="Z13" s="594">
        <f t="shared" si="6"/>
        <v>100</v>
      </c>
      <c r="AA13" s="546">
        <v>0</v>
      </c>
      <c r="AB13" s="546">
        <v>0</v>
      </c>
      <c r="AC13" s="546">
        <v>0</v>
      </c>
      <c r="AD13" s="546">
        <v>0</v>
      </c>
      <c r="AE13" s="546">
        <v>0</v>
      </c>
      <c r="AF13" s="546">
        <v>0</v>
      </c>
      <c r="AG13" s="546">
        <v>0</v>
      </c>
      <c r="AH13" s="546">
        <v>0</v>
      </c>
      <c r="AI13" s="546">
        <v>0</v>
      </c>
      <c r="AJ13" s="546">
        <v>0</v>
      </c>
      <c r="AK13" s="546">
        <v>0</v>
      </c>
      <c r="AL13" s="546">
        <v>0</v>
      </c>
      <c r="AM13" s="546">
        <v>0</v>
      </c>
      <c r="AN13" s="546">
        <v>0</v>
      </c>
      <c r="AO13" s="546">
        <v>0</v>
      </c>
      <c r="AP13" s="546">
        <v>0</v>
      </c>
      <c r="AQ13" s="546">
        <v>0</v>
      </c>
      <c r="AR13" s="546">
        <v>0</v>
      </c>
      <c r="AS13" s="546">
        <v>0</v>
      </c>
      <c r="AT13" s="630">
        <f t="shared" si="7"/>
        <v>8.3333333333333329E-2</v>
      </c>
      <c r="AU13" s="570">
        <v>600</v>
      </c>
      <c r="AV13" s="695">
        <f t="shared" si="8"/>
        <v>0.33333333333333331</v>
      </c>
      <c r="AW13" s="1003">
        <v>625</v>
      </c>
      <c r="AX13" s="724">
        <f t="shared" si="9"/>
        <v>625</v>
      </c>
      <c r="AY13" s="724">
        <f t="shared" si="10"/>
        <v>104.16666666666667</v>
      </c>
      <c r="AZ13" s="724">
        <f t="shared" si="11"/>
        <v>100</v>
      </c>
      <c r="BA13" s="594">
        <f t="shared" si="12"/>
        <v>8.3333333333333315E-2</v>
      </c>
      <c r="BB13" s="594">
        <f t="shared" si="13"/>
        <v>100</v>
      </c>
      <c r="BC13" s="546">
        <v>180000000</v>
      </c>
      <c r="BD13" s="546">
        <v>0</v>
      </c>
      <c r="BE13" s="546">
        <v>0</v>
      </c>
      <c r="BF13" s="546">
        <v>0</v>
      </c>
      <c r="BG13" s="546">
        <v>0</v>
      </c>
      <c r="BH13" s="546">
        <v>0</v>
      </c>
      <c r="BI13" s="546">
        <v>0</v>
      </c>
      <c r="BJ13" s="546">
        <v>180000000</v>
      </c>
      <c r="BK13" s="723">
        <v>150000000</v>
      </c>
      <c r="BL13" s="722">
        <v>150000000</v>
      </c>
      <c r="BM13" s="722">
        <v>0</v>
      </c>
      <c r="BN13" s="722">
        <v>0</v>
      </c>
      <c r="BO13" s="722">
        <v>0</v>
      </c>
      <c r="BP13" s="722">
        <v>0</v>
      </c>
      <c r="BQ13" s="722">
        <v>0</v>
      </c>
      <c r="BR13" s="722">
        <v>0</v>
      </c>
      <c r="BS13" s="722">
        <v>0</v>
      </c>
      <c r="BT13" s="722">
        <v>1359799996</v>
      </c>
      <c r="BU13" s="722" t="s">
        <v>1784</v>
      </c>
      <c r="BV13" s="580">
        <f t="shared" si="14"/>
        <v>4.8611111111111112E-2</v>
      </c>
      <c r="BW13" s="588">
        <v>350</v>
      </c>
      <c r="BX13" s="623">
        <f t="shared" si="15"/>
        <v>0.19444444444444445</v>
      </c>
      <c r="BY13" s="607">
        <v>91</v>
      </c>
      <c r="BZ13" s="629">
        <v>91</v>
      </c>
      <c r="CA13" s="1017">
        <v>462</v>
      </c>
      <c r="CB13" s="721">
        <f t="shared" si="16"/>
        <v>462</v>
      </c>
      <c r="CC13" s="721">
        <f t="shared" si="17"/>
        <v>132</v>
      </c>
      <c r="CD13" s="720">
        <f t="shared" si="18"/>
        <v>100</v>
      </c>
      <c r="CE13" s="618">
        <f t="shared" si="19"/>
        <v>4.8611111111111119E-2</v>
      </c>
      <c r="CF13" s="719">
        <f t="shared" si="20"/>
        <v>100</v>
      </c>
      <c r="CG13" s="618">
        <f t="shared" si="21"/>
        <v>6.4166666666666664E-2</v>
      </c>
      <c r="CH13" s="718">
        <f t="shared" si="22"/>
        <v>6.9444444444444441E-3</v>
      </c>
      <c r="CI13" s="552">
        <v>50</v>
      </c>
      <c r="CJ13" s="551">
        <f t="shared" si="23"/>
        <v>2.7777777777777776E-2</v>
      </c>
      <c r="CK13" s="874">
        <v>0</v>
      </c>
      <c r="CL13" s="533">
        <f t="shared" si="24"/>
        <v>50</v>
      </c>
      <c r="CM13" s="619">
        <f t="shared" si="25"/>
        <v>0</v>
      </c>
      <c r="CN13" s="619">
        <f t="shared" si="26"/>
        <v>0</v>
      </c>
      <c r="CO13" s="549">
        <f t="shared" si="27"/>
        <v>0</v>
      </c>
      <c r="CP13" s="619">
        <f t="shared" si="28"/>
        <v>0</v>
      </c>
      <c r="CQ13" s="619">
        <f t="shared" si="29"/>
        <v>0</v>
      </c>
      <c r="CR13" s="546">
        <v>0</v>
      </c>
      <c r="CS13" s="546">
        <v>0</v>
      </c>
      <c r="CT13" s="546">
        <v>0</v>
      </c>
      <c r="CU13" s="546">
        <v>0</v>
      </c>
      <c r="CV13" s="546">
        <v>0</v>
      </c>
      <c r="CW13" s="546">
        <v>0</v>
      </c>
      <c r="CX13" s="546">
        <v>0</v>
      </c>
      <c r="CY13" s="546">
        <v>0</v>
      </c>
      <c r="CZ13" s="618">
        <v>0</v>
      </c>
      <c r="DA13" s="618">
        <v>0</v>
      </c>
      <c r="DB13" s="618">
        <v>0</v>
      </c>
      <c r="DC13" s="618">
        <v>0</v>
      </c>
      <c r="DD13" s="618">
        <v>0</v>
      </c>
      <c r="DE13" s="618">
        <v>0</v>
      </c>
      <c r="DF13" s="618">
        <v>0</v>
      </c>
      <c r="DG13" s="618">
        <v>0</v>
      </c>
      <c r="DH13" s="618">
        <v>0</v>
      </c>
      <c r="DI13" s="618">
        <v>0</v>
      </c>
      <c r="DJ13" s="618">
        <v>0</v>
      </c>
      <c r="DK13" s="1034">
        <f t="shared" si="30"/>
        <v>1921</v>
      </c>
      <c r="DL13" s="543">
        <f t="shared" si="31"/>
        <v>0.24999999999999997</v>
      </c>
      <c r="DM13" s="542">
        <f t="shared" si="32"/>
        <v>106.72222222222223</v>
      </c>
      <c r="DN13" s="594">
        <f t="shared" si="33"/>
        <v>100</v>
      </c>
      <c r="DO13" s="540">
        <f t="shared" si="34"/>
        <v>0.25</v>
      </c>
      <c r="DP13" s="597">
        <f t="shared" si="39"/>
        <v>0.25</v>
      </c>
      <c r="DQ13" s="538">
        <f t="shared" si="35"/>
        <v>0.25</v>
      </c>
      <c r="DR13" s="617">
        <f t="shared" si="36"/>
        <v>0.99999999999999989</v>
      </c>
      <c r="DS13" s="616">
        <f t="shared" si="37"/>
        <v>1.0408340855860843E-17</v>
      </c>
      <c r="DT13" s="259">
        <v>35</v>
      </c>
      <c r="DU13" s="260" t="s">
        <v>295</v>
      </c>
      <c r="DV13" s="259">
        <v>77</v>
      </c>
      <c r="DW13" s="260" t="s">
        <v>288</v>
      </c>
      <c r="DX13" s="259"/>
      <c r="DY13" s="259"/>
      <c r="DZ13" s="259"/>
      <c r="EA13" s="987"/>
      <c r="EB13" s="1040" t="s">
        <v>2362</v>
      </c>
      <c r="EC13" s="802">
        <v>180000000</v>
      </c>
      <c r="EE13" s="1047"/>
    </row>
    <row r="14" spans="1:135" s="534" customFormat="1" ht="76.5" hidden="1" x14ac:dyDescent="0.3">
      <c r="D14" s="783">
        <v>11</v>
      </c>
      <c r="E14" s="799">
        <v>20</v>
      </c>
      <c r="F14" s="787" t="s">
        <v>200</v>
      </c>
      <c r="G14" s="787" t="s">
        <v>7</v>
      </c>
      <c r="H14" s="788" t="s">
        <v>135</v>
      </c>
      <c r="I14" s="712" t="s">
        <v>346</v>
      </c>
      <c r="J14" s="573" t="s">
        <v>350</v>
      </c>
      <c r="K14" s="573" t="s">
        <v>351</v>
      </c>
      <c r="L14" s="702" t="s">
        <v>2242</v>
      </c>
      <c r="M14" s="570" t="s">
        <v>2017</v>
      </c>
      <c r="N14" s="570">
        <v>132</v>
      </c>
      <c r="O14" s="570">
        <f t="shared" si="38"/>
        <v>292</v>
      </c>
      <c r="P14" s="569">
        <v>160</v>
      </c>
      <c r="Q14" s="595">
        <v>0.16500000000000001</v>
      </c>
      <c r="R14" s="580">
        <f t="shared" si="0"/>
        <v>0</v>
      </c>
      <c r="S14" s="708">
        <v>0</v>
      </c>
      <c r="T14" s="625">
        <f t="shared" si="1"/>
        <v>0</v>
      </c>
      <c r="U14" s="992">
        <v>0</v>
      </c>
      <c r="V14" s="626">
        <f t="shared" si="2"/>
        <v>0</v>
      </c>
      <c r="W14" s="594">
        <f t="shared" si="3"/>
        <v>0</v>
      </c>
      <c r="X14" s="594">
        <f t="shared" si="4"/>
        <v>0</v>
      </c>
      <c r="Y14" s="594">
        <f t="shared" si="5"/>
        <v>0</v>
      </c>
      <c r="Z14" s="594">
        <f t="shared" si="6"/>
        <v>0</v>
      </c>
      <c r="AA14" s="546">
        <v>189000000</v>
      </c>
      <c r="AB14" s="546">
        <v>89000000</v>
      </c>
      <c r="AC14" s="546">
        <v>0</v>
      </c>
      <c r="AD14" s="546">
        <v>0</v>
      </c>
      <c r="AE14" s="546">
        <v>0</v>
      </c>
      <c r="AF14" s="546">
        <v>0</v>
      </c>
      <c r="AG14" s="546">
        <v>0</v>
      </c>
      <c r="AH14" s="546">
        <v>100000000</v>
      </c>
      <c r="AI14" s="546">
        <v>18000000</v>
      </c>
      <c r="AJ14" s="546">
        <v>18000000</v>
      </c>
      <c r="AK14" s="546">
        <v>0</v>
      </c>
      <c r="AL14" s="546">
        <v>0</v>
      </c>
      <c r="AM14" s="546">
        <v>0</v>
      </c>
      <c r="AN14" s="546">
        <v>0</v>
      </c>
      <c r="AO14" s="546">
        <v>0</v>
      </c>
      <c r="AP14" s="546">
        <v>0</v>
      </c>
      <c r="AQ14" s="546">
        <v>0</v>
      </c>
      <c r="AR14" s="546">
        <v>0</v>
      </c>
      <c r="AS14" s="546">
        <v>0</v>
      </c>
      <c r="AT14" s="570">
        <f t="shared" si="7"/>
        <v>5.2593750000000002E-2</v>
      </c>
      <c r="AU14" s="570">
        <v>51</v>
      </c>
      <c r="AV14" s="625">
        <f t="shared" si="8"/>
        <v>0.31874999999999998</v>
      </c>
      <c r="AW14" s="1009">
        <v>70</v>
      </c>
      <c r="AX14" s="724">
        <f t="shared" si="9"/>
        <v>70</v>
      </c>
      <c r="AY14" s="724">
        <f t="shared" si="10"/>
        <v>137.25490196078431</v>
      </c>
      <c r="AZ14" s="724">
        <f t="shared" si="11"/>
        <v>100</v>
      </c>
      <c r="BA14" s="594">
        <f t="shared" si="12"/>
        <v>5.2593750000000002E-2</v>
      </c>
      <c r="BB14" s="594">
        <f t="shared" si="13"/>
        <v>100</v>
      </c>
      <c r="BC14" s="546">
        <v>328000000</v>
      </c>
      <c r="BD14" s="546">
        <v>0</v>
      </c>
      <c r="BE14" s="546">
        <v>208000000</v>
      </c>
      <c r="BF14" s="546">
        <v>0</v>
      </c>
      <c r="BG14" s="546">
        <v>0</v>
      </c>
      <c r="BH14" s="546">
        <v>0</v>
      </c>
      <c r="BI14" s="546">
        <v>0</v>
      </c>
      <c r="BJ14" s="546">
        <v>120000000</v>
      </c>
      <c r="BK14" s="723">
        <v>40000000</v>
      </c>
      <c r="BL14" s="722">
        <v>40000000</v>
      </c>
      <c r="BM14" s="722">
        <v>0</v>
      </c>
      <c r="BN14" s="722">
        <v>0</v>
      </c>
      <c r="BO14" s="722">
        <v>0</v>
      </c>
      <c r="BP14" s="722">
        <v>0</v>
      </c>
      <c r="BQ14" s="722">
        <v>0</v>
      </c>
      <c r="BR14" s="722">
        <v>0</v>
      </c>
      <c r="BS14" s="722">
        <v>0</v>
      </c>
      <c r="BT14" s="722">
        <v>0</v>
      </c>
      <c r="BU14" s="722">
        <v>0</v>
      </c>
      <c r="BV14" s="580">
        <f t="shared" si="14"/>
        <v>5.9812499999999998E-2</v>
      </c>
      <c r="BW14" s="588">
        <v>58</v>
      </c>
      <c r="BX14" s="623">
        <f t="shared" si="15"/>
        <v>0.36249999999999999</v>
      </c>
      <c r="BY14" s="639">
        <v>0</v>
      </c>
      <c r="BZ14" s="638">
        <v>0</v>
      </c>
      <c r="CA14" s="1018">
        <v>0</v>
      </c>
      <c r="CB14" s="721">
        <f t="shared" si="16"/>
        <v>0</v>
      </c>
      <c r="CC14" s="721">
        <f t="shared" si="17"/>
        <v>0</v>
      </c>
      <c r="CD14" s="720">
        <f t="shared" si="18"/>
        <v>0</v>
      </c>
      <c r="CE14" s="618">
        <f t="shared" si="19"/>
        <v>0</v>
      </c>
      <c r="CF14" s="719">
        <f t="shared" si="20"/>
        <v>0</v>
      </c>
      <c r="CG14" s="618">
        <f t="shared" si="21"/>
        <v>0</v>
      </c>
      <c r="CH14" s="718">
        <f t="shared" si="22"/>
        <v>5.2593750000000002E-2</v>
      </c>
      <c r="CI14" s="552">
        <v>51</v>
      </c>
      <c r="CJ14" s="551">
        <f t="shared" si="23"/>
        <v>0.31874999999999998</v>
      </c>
      <c r="CK14" s="874">
        <v>0</v>
      </c>
      <c r="CL14" s="533">
        <f t="shared" si="24"/>
        <v>51</v>
      </c>
      <c r="CM14" s="619">
        <f t="shared" si="25"/>
        <v>0</v>
      </c>
      <c r="CN14" s="619">
        <f t="shared" si="26"/>
        <v>0</v>
      </c>
      <c r="CO14" s="549">
        <f t="shared" si="27"/>
        <v>0</v>
      </c>
      <c r="CP14" s="619">
        <f t="shared" si="28"/>
        <v>0</v>
      </c>
      <c r="CQ14" s="619">
        <f t="shared" si="29"/>
        <v>0</v>
      </c>
      <c r="CR14" s="546">
        <v>600000000</v>
      </c>
      <c r="CS14" s="546">
        <v>480000000</v>
      </c>
      <c r="CT14" s="546">
        <v>0</v>
      </c>
      <c r="CU14" s="546">
        <v>0</v>
      </c>
      <c r="CV14" s="546">
        <v>0</v>
      </c>
      <c r="CW14" s="546">
        <v>0</v>
      </c>
      <c r="CX14" s="546">
        <v>0</v>
      </c>
      <c r="CY14" s="546">
        <v>120000000</v>
      </c>
      <c r="CZ14" s="618">
        <v>0</v>
      </c>
      <c r="DA14" s="618">
        <v>0</v>
      </c>
      <c r="DB14" s="618">
        <v>0</v>
      </c>
      <c r="DC14" s="618">
        <v>0</v>
      </c>
      <c r="DD14" s="618">
        <v>0</v>
      </c>
      <c r="DE14" s="618">
        <v>0</v>
      </c>
      <c r="DF14" s="618">
        <v>0</v>
      </c>
      <c r="DG14" s="618">
        <v>0</v>
      </c>
      <c r="DH14" s="618">
        <v>0</v>
      </c>
      <c r="DI14" s="618">
        <v>0</v>
      </c>
      <c r="DJ14" s="618">
        <v>0</v>
      </c>
      <c r="DK14" s="1034">
        <f t="shared" si="30"/>
        <v>70</v>
      </c>
      <c r="DL14" s="543">
        <f t="shared" si="31"/>
        <v>0.16500000000000001</v>
      </c>
      <c r="DM14" s="542">
        <f t="shared" si="32"/>
        <v>43.75</v>
      </c>
      <c r="DN14" s="594">
        <f t="shared" si="33"/>
        <v>43.75</v>
      </c>
      <c r="DO14" s="540">
        <f t="shared" si="34"/>
        <v>7.2187500000000002E-2</v>
      </c>
      <c r="DP14" s="597">
        <f t="shared" si="39"/>
        <v>7.2187500000000002E-2</v>
      </c>
      <c r="DQ14" s="538">
        <f t="shared" si="35"/>
        <v>7.2187500000000002E-2</v>
      </c>
      <c r="DR14" s="617">
        <f t="shared" si="36"/>
        <v>0.99999999999999989</v>
      </c>
      <c r="DS14" s="616">
        <f t="shared" si="37"/>
        <v>0</v>
      </c>
      <c r="DT14" s="259">
        <v>9</v>
      </c>
      <c r="DU14" s="260" t="s">
        <v>352</v>
      </c>
      <c r="DV14" s="259"/>
      <c r="DW14" s="260" t="s">
        <v>242</v>
      </c>
      <c r="DX14" s="259"/>
      <c r="DY14" s="259"/>
      <c r="DZ14" s="259"/>
      <c r="EA14" s="987"/>
      <c r="EB14" s="1040" t="s">
        <v>2363</v>
      </c>
      <c r="EC14" s="802">
        <v>600000000</v>
      </c>
      <c r="EE14" s="1047"/>
    </row>
    <row r="15" spans="1:135" s="534" customFormat="1" ht="89.25" hidden="1" x14ac:dyDescent="0.3">
      <c r="D15" s="783">
        <v>12</v>
      </c>
      <c r="E15" s="799">
        <v>21</v>
      </c>
      <c r="F15" s="787" t="s">
        <v>200</v>
      </c>
      <c r="G15" s="787" t="s">
        <v>3</v>
      </c>
      <c r="H15" s="788" t="s">
        <v>135</v>
      </c>
      <c r="I15" s="712" t="s">
        <v>346</v>
      </c>
      <c r="J15" s="573" t="s">
        <v>353</v>
      </c>
      <c r="K15" s="573" t="s">
        <v>354</v>
      </c>
      <c r="L15" s="702" t="s">
        <v>1682</v>
      </c>
      <c r="M15" s="570" t="s">
        <v>2017</v>
      </c>
      <c r="N15" s="570">
        <v>0</v>
      </c>
      <c r="O15" s="570">
        <f t="shared" si="38"/>
        <v>35000</v>
      </c>
      <c r="P15" s="569">
        <v>35000</v>
      </c>
      <c r="Q15" s="595">
        <v>0.16500000000000001</v>
      </c>
      <c r="R15" s="580">
        <f t="shared" si="0"/>
        <v>0</v>
      </c>
      <c r="S15" s="708">
        <v>0</v>
      </c>
      <c r="T15" s="625">
        <f t="shared" si="1"/>
        <v>0</v>
      </c>
      <c r="U15" s="992">
        <v>0</v>
      </c>
      <c r="V15" s="626">
        <f t="shared" si="2"/>
        <v>0</v>
      </c>
      <c r="W15" s="594">
        <f t="shared" si="3"/>
        <v>0</v>
      </c>
      <c r="X15" s="594">
        <f t="shared" si="4"/>
        <v>0</v>
      </c>
      <c r="Y15" s="594">
        <f t="shared" si="5"/>
        <v>0</v>
      </c>
      <c r="Z15" s="594">
        <f t="shared" si="6"/>
        <v>0</v>
      </c>
      <c r="AA15" s="546">
        <v>0</v>
      </c>
      <c r="AB15" s="546">
        <v>0</v>
      </c>
      <c r="AC15" s="546">
        <v>0</v>
      </c>
      <c r="AD15" s="546">
        <v>0</v>
      </c>
      <c r="AE15" s="546">
        <v>0</v>
      </c>
      <c r="AF15" s="546">
        <v>0</v>
      </c>
      <c r="AG15" s="546">
        <v>0</v>
      </c>
      <c r="AH15" s="546">
        <v>0</v>
      </c>
      <c r="AI15" s="546">
        <v>0</v>
      </c>
      <c r="AJ15" s="546">
        <v>0</v>
      </c>
      <c r="AK15" s="546">
        <v>0</v>
      </c>
      <c r="AL15" s="546">
        <v>0</v>
      </c>
      <c r="AM15" s="546">
        <v>0</v>
      </c>
      <c r="AN15" s="546">
        <v>0</v>
      </c>
      <c r="AO15" s="546">
        <v>0</v>
      </c>
      <c r="AP15" s="546">
        <v>0</v>
      </c>
      <c r="AQ15" s="546">
        <v>0</v>
      </c>
      <c r="AR15" s="546">
        <v>0</v>
      </c>
      <c r="AS15" s="546">
        <v>0</v>
      </c>
      <c r="AT15" s="570">
        <f t="shared" si="7"/>
        <v>5.4996857142857146E-2</v>
      </c>
      <c r="AU15" s="570">
        <v>11666</v>
      </c>
      <c r="AV15" s="625">
        <f t="shared" si="8"/>
        <v>0.33331428571428573</v>
      </c>
      <c r="AW15" s="1003">
        <v>10144</v>
      </c>
      <c r="AX15" s="724">
        <f t="shared" si="9"/>
        <v>10144</v>
      </c>
      <c r="AY15" s="724">
        <f t="shared" si="10"/>
        <v>86.953540202297276</v>
      </c>
      <c r="AZ15" s="724">
        <f t="shared" si="11"/>
        <v>86.953540202297276</v>
      </c>
      <c r="BA15" s="594">
        <f t="shared" si="12"/>
        <v>4.7821714285714287E-2</v>
      </c>
      <c r="BB15" s="594">
        <f t="shared" si="13"/>
        <v>86.953540202297276</v>
      </c>
      <c r="BC15" s="546">
        <v>152000000</v>
      </c>
      <c r="BD15" s="546">
        <v>0</v>
      </c>
      <c r="BE15" s="546">
        <v>152000000</v>
      </c>
      <c r="BF15" s="546">
        <v>0</v>
      </c>
      <c r="BG15" s="546">
        <v>0</v>
      </c>
      <c r="BH15" s="546">
        <v>0</v>
      </c>
      <c r="BI15" s="546">
        <v>0</v>
      </c>
      <c r="BJ15" s="546">
        <v>0</v>
      </c>
      <c r="BK15" s="723">
        <v>250090688</v>
      </c>
      <c r="BL15" s="722">
        <v>250090688</v>
      </c>
      <c r="BM15" s="722">
        <v>0</v>
      </c>
      <c r="BN15" s="722">
        <v>0</v>
      </c>
      <c r="BO15" s="722">
        <v>0</v>
      </c>
      <c r="BP15" s="722">
        <v>0</v>
      </c>
      <c r="BQ15" s="722">
        <v>0</v>
      </c>
      <c r="BR15" s="722">
        <v>0</v>
      </c>
      <c r="BS15" s="722">
        <v>0</v>
      </c>
      <c r="BT15" s="722">
        <v>0</v>
      </c>
      <c r="BU15" s="722">
        <v>0</v>
      </c>
      <c r="BV15" s="580">
        <f t="shared" si="14"/>
        <v>5.5001571428571434E-2</v>
      </c>
      <c r="BW15" s="588">
        <v>11667</v>
      </c>
      <c r="BX15" s="623">
        <f t="shared" si="15"/>
        <v>0.33334285714285716</v>
      </c>
      <c r="BY15" s="607">
        <v>6301</v>
      </c>
      <c r="BZ15" s="629">
        <v>6301</v>
      </c>
      <c r="CA15" s="1017">
        <v>11762</v>
      </c>
      <c r="CB15" s="721">
        <f t="shared" si="16"/>
        <v>11762</v>
      </c>
      <c r="CC15" s="721">
        <f t="shared" si="17"/>
        <v>100.81426244964429</v>
      </c>
      <c r="CD15" s="720">
        <f t="shared" si="18"/>
        <v>100</v>
      </c>
      <c r="CE15" s="618">
        <f t="shared" si="19"/>
        <v>5.5001571428571434E-2</v>
      </c>
      <c r="CF15" s="719">
        <f t="shared" si="20"/>
        <v>100</v>
      </c>
      <c r="CG15" s="618">
        <f t="shared" si="21"/>
        <v>5.5449428571428566E-2</v>
      </c>
      <c r="CH15" s="718">
        <f t="shared" si="22"/>
        <v>5.5001571428571434E-2</v>
      </c>
      <c r="CI15" s="552">
        <v>11667</v>
      </c>
      <c r="CJ15" s="551">
        <f t="shared" si="23"/>
        <v>0.33334285714285716</v>
      </c>
      <c r="CK15" s="874">
        <v>7814</v>
      </c>
      <c r="CL15" s="533">
        <f t="shared" si="24"/>
        <v>3853</v>
      </c>
      <c r="CM15" s="619">
        <f t="shared" si="25"/>
        <v>7814</v>
      </c>
      <c r="CN15" s="619">
        <f t="shared" si="26"/>
        <v>66.975229279163457</v>
      </c>
      <c r="CO15" s="549">
        <f t="shared" si="27"/>
        <v>66.975229279163457</v>
      </c>
      <c r="CP15" s="619">
        <f t="shared" si="28"/>
        <v>3.6837428571428577E-2</v>
      </c>
      <c r="CQ15" s="619">
        <f t="shared" si="29"/>
        <v>3.6837428571428577E-2</v>
      </c>
      <c r="CR15" s="546">
        <v>152000000</v>
      </c>
      <c r="CS15" s="546">
        <v>152000000</v>
      </c>
      <c r="CT15" s="546">
        <v>0</v>
      </c>
      <c r="CU15" s="546">
        <v>0</v>
      </c>
      <c r="CV15" s="546">
        <v>0</v>
      </c>
      <c r="CW15" s="546">
        <v>0</v>
      </c>
      <c r="CX15" s="546">
        <v>0</v>
      </c>
      <c r="CY15" s="546">
        <v>0</v>
      </c>
      <c r="CZ15" s="618">
        <v>0</v>
      </c>
      <c r="DA15" s="618">
        <v>0</v>
      </c>
      <c r="DB15" s="618">
        <v>0</v>
      </c>
      <c r="DC15" s="618">
        <v>0</v>
      </c>
      <c r="DD15" s="618">
        <v>0</v>
      </c>
      <c r="DE15" s="618">
        <v>0</v>
      </c>
      <c r="DF15" s="618">
        <v>0</v>
      </c>
      <c r="DG15" s="618">
        <v>0</v>
      </c>
      <c r="DH15" s="618">
        <v>0</v>
      </c>
      <c r="DI15" s="618">
        <v>0</v>
      </c>
      <c r="DJ15" s="618">
        <v>0</v>
      </c>
      <c r="DK15" s="1034">
        <f t="shared" si="30"/>
        <v>29720</v>
      </c>
      <c r="DL15" s="543">
        <f t="shared" si="31"/>
        <v>0.16500000000000001</v>
      </c>
      <c r="DM15" s="542">
        <f t="shared" si="32"/>
        <v>84.914285714285711</v>
      </c>
      <c r="DN15" s="594">
        <f t="shared" si="33"/>
        <v>84.914285714285711</v>
      </c>
      <c r="DO15" s="540">
        <f t="shared" si="34"/>
        <v>0.14010857142857142</v>
      </c>
      <c r="DP15" s="597">
        <f t="shared" si="39"/>
        <v>0.14010857142857142</v>
      </c>
      <c r="DQ15" s="538">
        <f t="shared" si="35"/>
        <v>0.14010857142857142</v>
      </c>
      <c r="DR15" s="617">
        <f t="shared" si="36"/>
        <v>1</v>
      </c>
      <c r="DS15" s="616">
        <f t="shared" si="37"/>
        <v>0</v>
      </c>
      <c r="DT15" s="259">
        <v>9</v>
      </c>
      <c r="DU15" s="260" t="s">
        <v>352</v>
      </c>
      <c r="DV15" s="259"/>
      <c r="DW15" s="260" t="s">
        <v>242</v>
      </c>
      <c r="DX15" s="259"/>
      <c r="DY15" s="259"/>
      <c r="DZ15" s="259"/>
      <c r="EA15" s="987"/>
      <c r="EB15" s="1040" t="s">
        <v>2364</v>
      </c>
      <c r="EC15" s="802">
        <v>152000000</v>
      </c>
      <c r="EE15" s="1047"/>
    </row>
    <row r="16" spans="1:135" s="534" customFormat="1" ht="51" hidden="1" x14ac:dyDescent="0.3">
      <c r="D16" s="783">
        <v>13</v>
      </c>
      <c r="E16" s="799">
        <v>22</v>
      </c>
      <c r="F16" s="574" t="s">
        <v>200</v>
      </c>
      <c r="G16" s="574" t="s">
        <v>3</v>
      </c>
      <c r="H16" s="574" t="s">
        <v>135</v>
      </c>
      <c r="I16" s="574" t="s">
        <v>346</v>
      </c>
      <c r="J16" s="573" t="s">
        <v>1420</v>
      </c>
      <c r="K16" s="573" t="s">
        <v>355</v>
      </c>
      <c r="L16" s="702" t="s">
        <v>2225</v>
      </c>
      <c r="M16" s="570" t="s">
        <v>2017</v>
      </c>
      <c r="N16" s="570">
        <v>37</v>
      </c>
      <c r="O16" s="570">
        <f t="shared" si="38"/>
        <v>287</v>
      </c>
      <c r="P16" s="569">
        <v>250</v>
      </c>
      <c r="Q16" s="738">
        <v>0.16500000000000001</v>
      </c>
      <c r="R16" s="580">
        <f t="shared" si="0"/>
        <v>6.6E-4</v>
      </c>
      <c r="S16" s="740">
        <v>1</v>
      </c>
      <c r="T16" s="625">
        <f t="shared" si="1"/>
        <v>4.0000000000000001E-3</v>
      </c>
      <c r="U16" s="992">
        <v>1</v>
      </c>
      <c r="V16" s="626">
        <f t="shared" si="2"/>
        <v>1</v>
      </c>
      <c r="W16" s="594">
        <f t="shared" si="3"/>
        <v>100</v>
      </c>
      <c r="X16" s="594">
        <f t="shared" si="4"/>
        <v>100</v>
      </c>
      <c r="Y16" s="594">
        <f t="shared" si="5"/>
        <v>6.6E-4</v>
      </c>
      <c r="Z16" s="594">
        <f t="shared" si="6"/>
        <v>100</v>
      </c>
      <c r="AA16" s="546">
        <v>166000000</v>
      </c>
      <c r="AB16" s="546">
        <v>166000000</v>
      </c>
      <c r="AC16" s="546">
        <v>0</v>
      </c>
      <c r="AD16" s="546">
        <v>0</v>
      </c>
      <c r="AE16" s="546">
        <v>0</v>
      </c>
      <c r="AF16" s="546">
        <v>0</v>
      </c>
      <c r="AG16" s="546">
        <v>0</v>
      </c>
      <c r="AH16" s="546">
        <v>0</v>
      </c>
      <c r="AI16" s="546">
        <v>90161000</v>
      </c>
      <c r="AJ16" s="546">
        <v>90161000</v>
      </c>
      <c r="AK16" s="546">
        <v>0</v>
      </c>
      <c r="AL16" s="546">
        <v>0</v>
      </c>
      <c r="AM16" s="546">
        <v>0</v>
      </c>
      <c r="AN16" s="546">
        <v>0</v>
      </c>
      <c r="AO16" s="546">
        <v>0</v>
      </c>
      <c r="AP16" s="546">
        <v>0</v>
      </c>
      <c r="AQ16" s="546">
        <v>0</v>
      </c>
      <c r="AR16" s="546">
        <v>0</v>
      </c>
      <c r="AS16" s="546">
        <v>0</v>
      </c>
      <c r="AT16" s="630">
        <f t="shared" si="7"/>
        <v>0.12870000000000001</v>
      </c>
      <c r="AU16" s="570">
        <v>195</v>
      </c>
      <c r="AV16" s="625">
        <f t="shared" si="8"/>
        <v>0.78</v>
      </c>
      <c r="AW16" s="1003">
        <v>195</v>
      </c>
      <c r="AX16" s="724">
        <f t="shared" si="9"/>
        <v>195</v>
      </c>
      <c r="AY16" s="724">
        <f t="shared" si="10"/>
        <v>100</v>
      </c>
      <c r="AZ16" s="724">
        <f t="shared" si="11"/>
        <v>100</v>
      </c>
      <c r="BA16" s="594">
        <f t="shared" si="12"/>
        <v>0.12870000000000001</v>
      </c>
      <c r="BB16" s="594">
        <f t="shared" si="13"/>
        <v>100</v>
      </c>
      <c r="BC16" s="546">
        <v>229000000</v>
      </c>
      <c r="BD16" s="546">
        <v>0</v>
      </c>
      <c r="BE16" s="546">
        <v>229000000</v>
      </c>
      <c r="BF16" s="546">
        <v>0</v>
      </c>
      <c r="BG16" s="546">
        <v>0</v>
      </c>
      <c r="BH16" s="546">
        <v>0</v>
      </c>
      <c r="BI16" s="546">
        <v>0</v>
      </c>
      <c r="BJ16" s="546">
        <v>0</v>
      </c>
      <c r="BK16" s="723">
        <v>494750000</v>
      </c>
      <c r="BL16" s="722">
        <v>494750000</v>
      </c>
      <c r="BM16" s="722">
        <v>0</v>
      </c>
      <c r="BN16" s="722">
        <v>0</v>
      </c>
      <c r="BO16" s="722">
        <v>0</v>
      </c>
      <c r="BP16" s="722">
        <v>0</v>
      </c>
      <c r="BQ16" s="722">
        <v>0</v>
      </c>
      <c r="BR16" s="722">
        <v>0</v>
      </c>
      <c r="BS16" s="722">
        <v>0</v>
      </c>
      <c r="BT16" s="722">
        <v>0</v>
      </c>
      <c r="BU16" s="722">
        <v>0</v>
      </c>
      <c r="BV16" s="580">
        <f t="shared" si="14"/>
        <v>0</v>
      </c>
      <c r="BW16" s="588">
        <v>0</v>
      </c>
      <c r="BX16" s="623">
        <f t="shared" si="15"/>
        <v>0</v>
      </c>
      <c r="BY16" s="717">
        <v>0</v>
      </c>
      <c r="BZ16" s="716">
        <v>0</v>
      </c>
      <c r="CA16" s="1019">
        <v>0</v>
      </c>
      <c r="CB16" s="721">
        <f t="shared" si="16"/>
        <v>0</v>
      </c>
      <c r="CC16" s="721">
        <f t="shared" si="17"/>
        <v>0</v>
      </c>
      <c r="CD16" s="720">
        <f t="shared" si="18"/>
        <v>0</v>
      </c>
      <c r="CE16" s="618">
        <f t="shared" si="19"/>
        <v>0</v>
      </c>
      <c r="CF16" s="719">
        <f t="shared" si="20"/>
        <v>0</v>
      </c>
      <c r="CG16" s="618">
        <f t="shared" si="21"/>
        <v>0</v>
      </c>
      <c r="CH16" s="718">
        <f t="shared" si="22"/>
        <v>3.5639999999999998E-2</v>
      </c>
      <c r="CI16" s="552">
        <v>54</v>
      </c>
      <c r="CJ16" s="551">
        <f t="shared" si="23"/>
        <v>0.216</v>
      </c>
      <c r="CK16" s="874">
        <v>0</v>
      </c>
      <c r="CL16" s="533">
        <f t="shared" si="24"/>
        <v>54</v>
      </c>
      <c r="CM16" s="619">
        <f t="shared" si="25"/>
        <v>0</v>
      </c>
      <c r="CN16" s="619">
        <f t="shared" si="26"/>
        <v>0</v>
      </c>
      <c r="CO16" s="549">
        <f t="shared" si="27"/>
        <v>0</v>
      </c>
      <c r="CP16" s="619">
        <f t="shared" si="28"/>
        <v>0</v>
      </c>
      <c r="CQ16" s="619">
        <f t="shared" si="29"/>
        <v>0</v>
      </c>
      <c r="CR16" s="546">
        <v>229000000</v>
      </c>
      <c r="CS16" s="546">
        <v>229000000</v>
      </c>
      <c r="CT16" s="546">
        <v>0</v>
      </c>
      <c r="CU16" s="546">
        <v>0</v>
      </c>
      <c r="CV16" s="546">
        <v>0</v>
      </c>
      <c r="CW16" s="546">
        <v>0</v>
      </c>
      <c r="CX16" s="546">
        <v>0</v>
      </c>
      <c r="CY16" s="546">
        <v>0</v>
      </c>
      <c r="CZ16" s="618">
        <v>0</v>
      </c>
      <c r="DA16" s="618">
        <v>0</v>
      </c>
      <c r="DB16" s="618">
        <v>0</v>
      </c>
      <c r="DC16" s="618">
        <v>0</v>
      </c>
      <c r="DD16" s="618">
        <v>0</v>
      </c>
      <c r="DE16" s="618">
        <v>0</v>
      </c>
      <c r="DF16" s="618">
        <v>0</v>
      </c>
      <c r="DG16" s="618">
        <v>0</v>
      </c>
      <c r="DH16" s="618">
        <v>0</v>
      </c>
      <c r="DI16" s="618">
        <v>0</v>
      </c>
      <c r="DJ16" s="618">
        <v>0</v>
      </c>
      <c r="DK16" s="1034">
        <f t="shared" si="30"/>
        <v>196</v>
      </c>
      <c r="DL16" s="543">
        <f t="shared" si="31"/>
        <v>0.16500000000000001</v>
      </c>
      <c r="DM16" s="542">
        <f t="shared" si="32"/>
        <v>78.400000000000006</v>
      </c>
      <c r="DN16" s="594">
        <f t="shared" si="33"/>
        <v>78.400000000000006</v>
      </c>
      <c r="DO16" s="540">
        <f t="shared" si="34"/>
        <v>0.12936000000000003</v>
      </c>
      <c r="DP16" s="597">
        <f t="shared" si="39"/>
        <v>0.12936000000000003</v>
      </c>
      <c r="DQ16" s="538">
        <f t="shared" si="35"/>
        <v>0.12936000000000003</v>
      </c>
      <c r="DR16" s="617">
        <f t="shared" si="36"/>
        <v>1</v>
      </c>
      <c r="DS16" s="616">
        <f t="shared" si="37"/>
        <v>0</v>
      </c>
      <c r="DT16" s="259">
        <v>9</v>
      </c>
      <c r="DU16" s="260" t="s">
        <v>352</v>
      </c>
      <c r="DV16" s="259"/>
      <c r="DW16" s="260" t="s">
        <v>242</v>
      </c>
      <c r="DX16" s="259"/>
      <c r="DY16" s="259"/>
      <c r="DZ16" s="259"/>
      <c r="EA16" s="987"/>
      <c r="EB16" s="1040" t="s">
        <v>2365</v>
      </c>
      <c r="EC16" s="802">
        <v>229000000</v>
      </c>
      <c r="EE16" s="1047"/>
    </row>
    <row r="17" spans="4:135" s="534" customFormat="1" ht="76.5" hidden="1" x14ac:dyDescent="0.3">
      <c r="D17" s="783">
        <v>14</v>
      </c>
      <c r="E17" s="799">
        <v>23</v>
      </c>
      <c r="F17" s="787" t="s">
        <v>200</v>
      </c>
      <c r="G17" s="787" t="s">
        <v>3</v>
      </c>
      <c r="H17" s="788" t="s">
        <v>135</v>
      </c>
      <c r="I17" s="712" t="s">
        <v>346</v>
      </c>
      <c r="J17" s="573" t="s">
        <v>356</v>
      </c>
      <c r="K17" s="573" t="s">
        <v>357</v>
      </c>
      <c r="L17" s="702" t="s">
        <v>1682</v>
      </c>
      <c r="M17" s="570" t="s">
        <v>2017</v>
      </c>
      <c r="N17" s="570">
        <v>0</v>
      </c>
      <c r="O17" s="570">
        <f t="shared" si="38"/>
        <v>12800</v>
      </c>
      <c r="P17" s="569">
        <v>12800</v>
      </c>
      <c r="Q17" s="595">
        <v>0.16500000000000001</v>
      </c>
      <c r="R17" s="580">
        <f t="shared" si="0"/>
        <v>0</v>
      </c>
      <c r="S17" s="708">
        <v>0</v>
      </c>
      <c r="T17" s="625">
        <f t="shared" si="1"/>
        <v>0</v>
      </c>
      <c r="U17" s="992">
        <v>0</v>
      </c>
      <c r="V17" s="626">
        <f t="shared" si="2"/>
        <v>0</v>
      </c>
      <c r="W17" s="594">
        <f t="shared" si="3"/>
        <v>0</v>
      </c>
      <c r="X17" s="594">
        <f t="shared" si="4"/>
        <v>0</v>
      </c>
      <c r="Y17" s="594">
        <v>0</v>
      </c>
      <c r="Z17" s="594">
        <f t="shared" si="6"/>
        <v>0</v>
      </c>
      <c r="AA17" s="546">
        <v>0</v>
      </c>
      <c r="AB17" s="546">
        <v>0</v>
      </c>
      <c r="AC17" s="546">
        <v>0</v>
      </c>
      <c r="AD17" s="546">
        <v>0</v>
      </c>
      <c r="AE17" s="546">
        <v>0</v>
      </c>
      <c r="AF17" s="546">
        <v>0</v>
      </c>
      <c r="AG17" s="546">
        <v>0</v>
      </c>
      <c r="AH17" s="546">
        <v>0</v>
      </c>
      <c r="AI17" s="546">
        <v>0</v>
      </c>
      <c r="AJ17" s="546">
        <v>0</v>
      </c>
      <c r="AK17" s="546">
        <v>0</v>
      </c>
      <c r="AL17" s="546">
        <v>0</v>
      </c>
      <c r="AM17" s="546">
        <v>0</v>
      </c>
      <c r="AN17" s="546">
        <v>0</v>
      </c>
      <c r="AO17" s="546">
        <v>0</v>
      </c>
      <c r="AP17" s="546">
        <v>0</v>
      </c>
      <c r="AQ17" s="546">
        <v>0</v>
      </c>
      <c r="AR17" s="546">
        <v>0</v>
      </c>
      <c r="AS17" s="546">
        <v>0</v>
      </c>
      <c r="AT17" s="570">
        <f t="shared" si="7"/>
        <v>5.4991406249999999E-2</v>
      </c>
      <c r="AU17" s="570">
        <v>4266</v>
      </c>
      <c r="AV17" s="625">
        <f t="shared" si="8"/>
        <v>0.33328124999999997</v>
      </c>
      <c r="AW17" s="1003">
        <v>4513</v>
      </c>
      <c r="AX17" s="724">
        <f t="shared" si="9"/>
        <v>4513</v>
      </c>
      <c r="AY17" s="724">
        <f t="shared" si="10"/>
        <v>105.78996718237225</v>
      </c>
      <c r="AZ17" s="724">
        <f t="shared" si="11"/>
        <v>100</v>
      </c>
      <c r="BA17" s="594">
        <f t="shared" si="12"/>
        <v>5.4991406249999999E-2</v>
      </c>
      <c r="BB17" s="594">
        <f t="shared" si="13"/>
        <v>100</v>
      </c>
      <c r="BC17" s="546">
        <v>122000000</v>
      </c>
      <c r="BD17" s="546">
        <v>0</v>
      </c>
      <c r="BE17" s="546">
        <v>122000000</v>
      </c>
      <c r="BF17" s="546">
        <v>0</v>
      </c>
      <c r="BG17" s="546">
        <v>0</v>
      </c>
      <c r="BH17" s="546">
        <v>0</v>
      </c>
      <c r="BI17" s="546">
        <v>0</v>
      </c>
      <c r="BJ17" s="546">
        <v>0</v>
      </c>
      <c r="BK17" s="723">
        <v>47091248</v>
      </c>
      <c r="BL17" s="722">
        <v>47091248</v>
      </c>
      <c r="BM17" s="722">
        <v>0</v>
      </c>
      <c r="BN17" s="722">
        <v>0</v>
      </c>
      <c r="BO17" s="722">
        <v>0</v>
      </c>
      <c r="BP17" s="722">
        <v>0</v>
      </c>
      <c r="BQ17" s="722">
        <v>0</v>
      </c>
      <c r="BR17" s="722">
        <v>0</v>
      </c>
      <c r="BS17" s="722">
        <v>0</v>
      </c>
      <c r="BT17" s="722">
        <v>0</v>
      </c>
      <c r="BU17" s="722">
        <v>0</v>
      </c>
      <c r="BV17" s="580">
        <f t="shared" si="14"/>
        <v>5.5004296875000004E-2</v>
      </c>
      <c r="BW17" s="588">
        <v>4267</v>
      </c>
      <c r="BX17" s="623">
        <f t="shared" si="15"/>
        <v>0.33335937500000001</v>
      </c>
      <c r="BY17" s="607">
        <v>7640</v>
      </c>
      <c r="BZ17" s="629">
        <v>7640</v>
      </c>
      <c r="CA17" s="1017">
        <v>7640</v>
      </c>
      <c r="CB17" s="721">
        <f t="shared" si="16"/>
        <v>7640</v>
      </c>
      <c r="CC17" s="721">
        <f t="shared" si="17"/>
        <v>179.0485118350129</v>
      </c>
      <c r="CD17" s="720">
        <f t="shared" si="18"/>
        <v>100</v>
      </c>
      <c r="CE17" s="618">
        <f t="shared" si="19"/>
        <v>5.5004296875000004E-2</v>
      </c>
      <c r="CF17" s="719">
        <f t="shared" si="20"/>
        <v>100</v>
      </c>
      <c r="CG17" s="618">
        <f t="shared" si="21"/>
        <v>9.8484375000000013E-2</v>
      </c>
      <c r="CH17" s="718">
        <f t="shared" si="22"/>
        <v>5.5004296875000004E-2</v>
      </c>
      <c r="CI17" s="552">
        <v>4267</v>
      </c>
      <c r="CJ17" s="551">
        <f t="shared" si="23"/>
        <v>0.33335937500000001</v>
      </c>
      <c r="CK17" s="874">
        <v>4592</v>
      </c>
      <c r="CL17" s="533">
        <f t="shared" si="24"/>
        <v>-325</v>
      </c>
      <c r="CM17" s="619">
        <f t="shared" si="25"/>
        <v>4592</v>
      </c>
      <c r="CN17" s="619">
        <f t="shared" si="26"/>
        <v>107.61659245371456</v>
      </c>
      <c r="CO17" s="549">
        <f t="shared" si="27"/>
        <v>100</v>
      </c>
      <c r="CP17" s="619">
        <f t="shared" si="28"/>
        <v>5.5004296875000004E-2</v>
      </c>
      <c r="CQ17" s="619">
        <f t="shared" si="29"/>
        <v>5.9193750000000003E-2</v>
      </c>
      <c r="CR17" s="546">
        <v>122000000</v>
      </c>
      <c r="CS17" s="546">
        <v>122000000</v>
      </c>
      <c r="CT17" s="546">
        <v>0</v>
      </c>
      <c r="CU17" s="546">
        <v>0</v>
      </c>
      <c r="CV17" s="546">
        <v>0</v>
      </c>
      <c r="CW17" s="546">
        <v>0</v>
      </c>
      <c r="CX17" s="546">
        <v>0</v>
      </c>
      <c r="CY17" s="546">
        <v>0</v>
      </c>
      <c r="CZ17" s="618">
        <v>0</v>
      </c>
      <c r="DA17" s="618">
        <v>0</v>
      </c>
      <c r="DB17" s="618">
        <v>0</v>
      </c>
      <c r="DC17" s="618">
        <v>0</v>
      </c>
      <c r="DD17" s="618">
        <v>0</v>
      </c>
      <c r="DE17" s="618">
        <v>0</v>
      </c>
      <c r="DF17" s="618">
        <v>0</v>
      </c>
      <c r="DG17" s="618">
        <v>0</v>
      </c>
      <c r="DH17" s="618">
        <v>0</v>
      </c>
      <c r="DI17" s="618">
        <v>0</v>
      </c>
      <c r="DJ17" s="618">
        <v>0</v>
      </c>
      <c r="DK17" s="1034">
        <f t="shared" si="30"/>
        <v>16745</v>
      </c>
      <c r="DL17" s="543">
        <f t="shared" si="31"/>
        <v>0.16500000000000001</v>
      </c>
      <c r="DM17" s="542">
        <f t="shared" si="32"/>
        <v>130.8203125</v>
      </c>
      <c r="DN17" s="594">
        <f t="shared" si="33"/>
        <v>100</v>
      </c>
      <c r="DO17" s="540">
        <f t="shared" si="34"/>
        <v>0.16500000000000001</v>
      </c>
      <c r="DP17" s="597">
        <f t="shared" si="39"/>
        <v>0.16500000000000001</v>
      </c>
      <c r="DQ17" s="538">
        <f t="shared" si="35"/>
        <v>0.16500000000000001</v>
      </c>
      <c r="DR17" s="617">
        <f t="shared" si="36"/>
        <v>1</v>
      </c>
      <c r="DS17" s="616">
        <f t="shared" si="37"/>
        <v>0</v>
      </c>
      <c r="DT17" s="259">
        <v>9</v>
      </c>
      <c r="DU17" s="260" t="s">
        <v>352</v>
      </c>
      <c r="DV17" s="259"/>
      <c r="DW17" s="260" t="s">
        <v>242</v>
      </c>
      <c r="DX17" s="259"/>
      <c r="DY17" s="259"/>
      <c r="DZ17" s="259"/>
      <c r="EA17" s="987"/>
      <c r="EB17" s="1040" t="s">
        <v>2366</v>
      </c>
      <c r="EC17" s="802">
        <v>122000000</v>
      </c>
      <c r="EE17" s="1047"/>
    </row>
    <row r="18" spans="4:135" s="534" customFormat="1" ht="51" hidden="1" x14ac:dyDescent="0.3">
      <c r="D18" s="783">
        <v>15</v>
      </c>
      <c r="E18" s="799">
        <v>24</v>
      </c>
      <c r="F18" s="787" t="s">
        <v>200</v>
      </c>
      <c r="G18" s="787" t="s">
        <v>239</v>
      </c>
      <c r="H18" s="788" t="s">
        <v>135</v>
      </c>
      <c r="I18" s="712" t="s">
        <v>346</v>
      </c>
      <c r="J18" s="573" t="s">
        <v>358</v>
      </c>
      <c r="K18" s="573" t="s">
        <v>359</v>
      </c>
      <c r="L18" s="702" t="s">
        <v>1593</v>
      </c>
      <c r="M18" s="570" t="s">
        <v>2032</v>
      </c>
      <c r="N18" s="570">
        <v>0</v>
      </c>
      <c r="O18" s="570">
        <f>+P18</f>
        <v>12</v>
      </c>
      <c r="P18" s="569">
        <v>12</v>
      </c>
      <c r="Q18" s="595">
        <v>0.16500000000000001</v>
      </c>
      <c r="R18" s="580">
        <f t="shared" si="0"/>
        <v>4.1250000000000002E-2</v>
      </c>
      <c r="S18" s="708">
        <v>12</v>
      </c>
      <c r="T18" s="625">
        <f t="shared" si="1"/>
        <v>0.25</v>
      </c>
      <c r="U18" s="992">
        <v>20</v>
      </c>
      <c r="V18" s="626">
        <f t="shared" si="2"/>
        <v>5</v>
      </c>
      <c r="W18" s="594">
        <f t="shared" si="3"/>
        <v>166.66666666666666</v>
      </c>
      <c r="X18" s="594">
        <f t="shared" si="4"/>
        <v>100</v>
      </c>
      <c r="Y18" s="594">
        <f t="shared" ref="Y18:Y81" si="40">+(X18*R18)/100</f>
        <v>4.1250000000000002E-2</v>
      </c>
      <c r="Z18" s="594">
        <f t="shared" si="6"/>
        <v>100</v>
      </c>
      <c r="AA18" s="546">
        <v>120000000</v>
      </c>
      <c r="AB18" s="546">
        <v>120000000</v>
      </c>
      <c r="AC18" s="546">
        <v>0</v>
      </c>
      <c r="AD18" s="546">
        <v>0</v>
      </c>
      <c r="AE18" s="546">
        <v>0</v>
      </c>
      <c r="AF18" s="546">
        <v>0</v>
      </c>
      <c r="AG18" s="546">
        <v>0</v>
      </c>
      <c r="AH18" s="546">
        <v>0</v>
      </c>
      <c r="AI18" s="546">
        <v>116279000</v>
      </c>
      <c r="AJ18" s="546">
        <v>116279000</v>
      </c>
      <c r="AK18" s="546">
        <v>0</v>
      </c>
      <c r="AL18" s="546">
        <v>0</v>
      </c>
      <c r="AM18" s="546">
        <v>0</v>
      </c>
      <c r="AN18" s="546">
        <v>0</v>
      </c>
      <c r="AO18" s="546">
        <v>0</v>
      </c>
      <c r="AP18" s="546">
        <v>0</v>
      </c>
      <c r="AQ18" s="546">
        <v>0</v>
      </c>
      <c r="AR18" s="546">
        <v>0</v>
      </c>
      <c r="AS18" s="546">
        <v>0</v>
      </c>
      <c r="AT18" s="570">
        <f t="shared" si="7"/>
        <v>4.1250000000000002E-2</v>
      </c>
      <c r="AU18" s="570">
        <v>12</v>
      </c>
      <c r="AV18" s="625">
        <f t="shared" si="8"/>
        <v>0.25</v>
      </c>
      <c r="AW18" s="1003">
        <v>40</v>
      </c>
      <c r="AX18" s="724">
        <f t="shared" si="9"/>
        <v>10</v>
      </c>
      <c r="AY18" s="724">
        <f t="shared" si="10"/>
        <v>333.33333333333331</v>
      </c>
      <c r="AZ18" s="724">
        <f t="shared" si="11"/>
        <v>100</v>
      </c>
      <c r="BA18" s="594">
        <f t="shared" si="12"/>
        <v>4.1250000000000002E-2</v>
      </c>
      <c r="BB18" s="594">
        <f t="shared" si="13"/>
        <v>100</v>
      </c>
      <c r="BC18" s="546">
        <v>372000000</v>
      </c>
      <c r="BD18" s="546">
        <v>0</v>
      </c>
      <c r="BE18" s="546">
        <v>72000000</v>
      </c>
      <c r="BF18" s="546">
        <v>0</v>
      </c>
      <c r="BG18" s="546">
        <v>0</v>
      </c>
      <c r="BH18" s="546">
        <v>0</v>
      </c>
      <c r="BI18" s="546">
        <v>0</v>
      </c>
      <c r="BJ18" s="546">
        <v>300000000</v>
      </c>
      <c r="BK18" s="723">
        <v>149900000</v>
      </c>
      <c r="BL18" s="722">
        <v>149900000</v>
      </c>
      <c r="BM18" s="722">
        <v>0</v>
      </c>
      <c r="BN18" s="722">
        <v>0</v>
      </c>
      <c r="BO18" s="722">
        <v>0</v>
      </c>
      <c r="BP18" s="722">
        <v>0</v>
      </c>
      <c r="BQ18" s="722">
        <v>0</v>
      </c>
      <c r="BR18" s="722">
        <v>0</v>
      </c>
      <c r="BS18" s="722">
        <v>0</v>
      </c>
      <c r="BT18" s="722">
        <v>0</v>
      </c>
      <c r="BU18" s="722">
        <v>0</v>
      </c>
      <c r="BV18" s="580">
        <f t="shared" si="14"/>
        <v>4.1250000000000002E-2</v>
      </c>
      <c r="BW18" s="588">
        <v>12</v>
      </c>
      <c r="BX18" s="623">
        <f t="shared" si="15"/>
        <v>0.25</v>
      </c>
      <c r="BY18" s="607">
        <v>7</v>
      </c>
      <c r="BZ18" s="629">
        <v>7</v>
      </c>
      <c r="CA18" s="1017">
        <v>12</v>
      </c>
      <c r="CB18" s="721">
        <f t="shared" si="16"/>
        <v>3</v>
      </c>
      <c r="CC18" s="721">
        <f t="shared" si="17"/>
        <v>100</v>
      </c>
      <c r="CD18" s="720">
        <f t="shared" si="18"/>
        <v>100</v>
      </c>
      <c r="CE18" s="618">
        <f t="shared" si="19"/>
        <v>4.1250000000000002E-2</v>
      </c>
      <c r="CF18" s="719">
        <f t="shared" si="20"/>
        <v>100</v>
      </c>
      <c r="CG18" s="618">
        <f t="shared" si="21"/>
        <v>4.1250000000000002E-2</v>
      </c>
      <c r="CH18" s="718">
        <f t="shared" si="22"/>
        <v>4.1250000000000002E-2</v>
      </c>
      <c r="CI18" s="552">
        <v>12</v>
      </c>
      <c r="CJ18" s="551">
        <f t="shared" si="23"/>
        <v>0.25</v>
      </c>
      <c r="CK18" s="874">
        <v>0</v>
      </c>
      <c r="CL18" s="533">
        <f t="shared" si="24"/>
        <v>12</v>
      </c>
      <c r="CM18" s="619">
        <f t="shared" si="25"/>
        <v>0</v>
      </c>
      <c r="CN18" s="619">
        <f t="shared" si="26"/>
        <v>0</v>
      </c>
      <c r="CO18" s="619">
        <f t="shared" si="27"/>
        <v>0</v>
      </c>
      <c r="CP18" s="619">
        <f t="shared" si="28"/>
        <v>0</v>
      </c>
      <c r="CQ18" s="619">
        <f t="shared" si="29"/>
        <v>0</v>
      </c>
      <c r="CR18" s="546">
        <v>420000000</v>
      </c>
      <c r="CS18" s="546">
        <v>120000000</v>
      </c>
      <c r="CT18" s="546">
        <v>0</v>
      </c>
      <c r="CU18" s="546">
        <v>0</v>
      </c>
      <c r="CV18" s="546">
        <v>0</v>
      </c>
      <c r="CW18" s="546">
        <v>0</v>
      </c>
      <c r="CX18" s="546">
        <v>0</v>
      </c>
      <c r="CY18" s="546">
        <v>300000000</v>
      </c>
      <c r="CZ18" s="618">
        <v>0</v>
      </c>
      <c r="DA18" s="618">
        <v>0</v>
      </c>
      <c r="DB18" s="618">
        <v>0</v>
      </c>
      <c r="DC18" s="618">
        <v>0</v>
      </c>
      <c r="DD18" s="618">
        <v>0</v>
      </c>
      <c r="DE18" s="618">
        <v>0</v>
      </c>
      <c r="DF18" s="618">
        <v>0</v>
      </c>
      <c r="DG18" s="618">
        <v>0</v>
      </c>
      <c r="DH18" s="618">
        <v>0</v>
      </c>
      <c r="DI18" s="618">
        <v>0</v>
      </c>
      <c r="DJ18" s="618">
        <v>0</v>
      </c>
      <c r="DK18" s="1034">
        <f t="shared" si="30"/>
        <v>18</v>
      </c>
      <c r="DL18" s="543">
        <f t="shared" si="31"/>
        <v>0.16500000000000001</v>
      </c>
      <c r="DM18" s="542">
        <f t="shared" si="32"/>
        <v>150</v>
      </c>
      <c r="DN18" s="594">
        <f t="shared" si="33"/>
        <v>100</v>
      </c>
      <c r="DO18" s="540">
        <f t="shared" si="34"/>
        <v>0.16500000000000001</v>
      </c>
      <c r="DP18" s="597">
        <f>+IF(M18="M",DO18,0)</f>
        <v>0.16500000000000001</v>
      </c>
      <c r="DQ18" s="538">
        <f t="shared" si="35"/>
        <v>0.16500000000000001</v>
      </c>
      <c r="DR18" s="617">
        <f t="shared" si="36"/>
        <v>1</v>
      </c>
      <c r="DS18" s="616">
        <f t="shared" si="37"/>
        <v>0</v>
      </c>
      <c r="DT18" s="259">
        <v>9</v>
      </c>
      <c r="DU18" s="260" t="s">
        <v>352</v>
      </c>
      <c r="DV18" s="259"/>
      <c r="DW18" s="260" t="s">
        <v>242</v>
      </c>
      <c r="DX18" s="259"/>
      <c r="DY18" s="259"/>
      <c r="DZ18" s="259"/>
      <c r="EA18" s="987"/>
      <c r="EB18" s="1040" t="s">
        <v>2367</v>
      </c>
      <c r="EC18" s="802">
        <v>372000000</v>
      </c>
      <c r="EE18" s="1047"/>
    </row>
    <row r="19" spans="4:135" s="534" customFormat="1" ht="114.75" hidden="1" x14ac:dyDescent="0.3">
      <c r="D19" s="783">
        <v>16</v>
      </c>
      <c r="E19" s="799">
        <v>25</v>
      </c>
      <c r="F19" s="787" t="s">
        <v>200</v>
      </c>
      <c r="G19" s="787" t="s">
        <v>239</v>
      </c>
      <c r="H19" s="788" t="s">
        <v>135</v>
      </c>
      <c r="I19" s="712" t="s">
        <v>346</v>
      </c>
      <c r="J19" s="573" t="s">
        <v>360</v>
      </c>
      <c r="K19" s="573" t="s">
        <v>361</v>
      </c>
      <c r="L19" s="702" t="s">
        <v>2241</v>
      </c>
      <c r="M19" s="570" t="s">
        <v>2017</v>
      </c>
      <c r="N19" s="570">
        <v>0</v>
      </c>
      <c r="O19" s="570">
        <f>+N19+P19</f>
        <v>80</v>
      </c>
      <c r="P19" s="569">
        <v>80</v>
      </c>
      <c r="Q19" s="595">
        <v>0.16500000000000001</v>
      </c>
      <c r="R19" s="580">
        <f t="shared" si="0"/>
        <v>4.1250000000000002E-2</v>
      </c>
      <c r="S19" s="708">
        <v>20</v>
      </c>
      <c r="T19" s="625">
        <f t="shared" si="1"/>
        <v>0.25</v>
      </c>
      <c r="U19" s="992">
        <v>131</v>
      </c>
      <c r="V19" s="626">
        <f t="shared" si="2"/>
        <v>131</v>
      </c>
      <c r="W19" s="594">
        <f t="shared" si="3"/>
        <v>655</v>
      </c>
      <c r="X19" s="594">
        <f t="shared" si="4"/>
        <v>100</v>
      </c>
      <c r="Y19" s="594">
        <f t="shared" si="40"/>
        <v>4.1250000000000002E-2</v>
      </c>
      <c r="Z19" s="594">
        <f t="shared" si="6"/>
        <v>100</v>
      </c>
      <c r="AA19" s="546">
        <v>107000000</v>
      </c>
      <c r="AB19" s="546">
        <v>19000000</v>
      </c>
      <c r="AC19" s="546">
        <v>0</v>
      </c>
      <c r="AD19" s="546">
        <v>88000000</v>
      </c>
      <c r="AE19" s="546">
        <v>0</v>
      </c>
      <c r="AF19" s="546">
        <v>0</v>
      </c>
      <c r="AG19" s="546">
        <v>0</v>
      </c>
      <c r="AH19" s="546">
        <v>0</v>
      </c>
      <c r="AI19" s="546">
        <v>0</v>
      </c>
      <c r="AJ19" s="546">
        <v>0</v>
      </c>
      <c r="AK19" s="546">
        <v>0</v>
      </c>
      <c r="AL19" s="546">
        <v>0</v>
      </c>
      <c r="AM19" s="546">
        <v>0</v>
      </c>
      <c r="AN19" s="546">
        <v>0</v>
      </c>
      <c r="AO19" s="546">
        <v>0</v>
      </c>
      <c r="AP19" s="546">
        <v>0</v>
      </c>
      <c r="AQ19" s="546">
        <v>0</v>
      </c>
      <c r="AR19" s="546">
        <v>88073000</v>
      </c>
      <c r="AS19" s="546" t="s">
        <v>2240</v>
      </c>
      <c r="AT19" s="570">
        <f t="shared" si="7"/>
        <v>4.1250000000000002E-2</v>
      </c>
      <c r="AU19" s="570">
        <v>20</v>
      </c>
      <c r="AV19" s="625">
        <f t="shared" si="8"/>
        <v>0.25</v>
      </c>
      <c r="AW19" s="1003">
        <v>134</v>
      </c>
      <c r="AX19" s="724">
        <f t="shared" si="9"/>
        <v>134</v>
      </c>
      <c r="AY19" s="724">
        <f t="shared" si="10"/>
        <v>670</v>
      </c>
      <c r="AZ19" s="724">
        <f t="shared" si="11"/>
        <v>100</v>
      </c>
      <c r="BA19" s="594">
        <f t="shared" si="12"/>
        <v>4.1250000000000002E-2</v>
      </c>
      <c r="BB19" s="594">
        <f t="shared" si="13"/>
        <v>100</v>
      </c>
      <c r="BC19" s="546">
        <v>280000000</v>
      </c>
      <c r="BD19" s="546">
        <v>0</v>
      </c>
      <c r="BE19" s="546">
        <v>80000000</v>
      </c>
      <c r="BF19" s="546">
        <v>0</v>
      </c>
      <c r="BG19" s="546">
        <v>0</v>
      </c>
      <c r="BH19" s="546">
        <v>0</v>
      </c>
      <c r="BI19" s="546">
        <v>0</v>
      </c>
      <c r="BJ19" s="546">
        <v>200000000</v>
      </c>
      <c r="BK19" s="723">
        <v>61800000</v>
      </c>
      <c r="BL19" s="722">
        <v>61800000</v>
      </c>
      <c r="BM19" s="722">
        <v>0</v>
      </c>
      <c r="BN19" s="722">
        <v>0</v>
      </c>
      <c r="BO19" s="722">
        <v>0</v>
      </c>
      <c r="BP19" s="722">
        <v>0</v>
      </c>
      <c r="BQ19" s="722">
        <v>0</v>
      </c>
      <c r="BR19" s="722">
        <v>0</v>
      </c>
      <c r="BS19" s="722">
        <v>0</v>
      </c>
      <c r="BT19" s="722">
        <v>0</v>
      </c>
      <c r="BU19" s="722">
        <v>0</v>
      </c>
      <c r="BV19" s="580">
        <f t="shared" si="14"/>
        <v>4.1250000000000002E-2</v>
      </c>
      <c r="BW19" s="588">
        <v>20</v>
      </c>
      <c r="BX19" s="623">
        <f t="shared" si="15"/>
        <v>0.25</v>
      </c>
      <c r="BY19" s="607">
        <v>100</v>
      </c>
      <c r="BZ19" s="629">
        <v>100</v>
      </c>
      <c r="CA19" s="1017">
        <v>134</v>
      </c>
      <c r="CB19" s="721">
        <f t="shared" si="16"/>
        <v>134</v>
      </c>
      <c r="CC19" s="721">
        <f t="shared" si="17"/>
        <v>670</v>
      </c>
      <c r="CD19" s="720">
        <f t="shared" si="18"/>
        <v>100</v>
      </c>
      <c r="CE19" s="618">
        <f t="shared" si="19"/>
        <v>4.1250000000000002E-2</v>
      </c>
      <c r="CF19" s="719">
        <f t="shared" si="20"/>
        <v>100</v>
      </c>
      <c r="CG19" s="618">
        <f t="shared" si="21"/>
        <v>0.27637500000000004</v>
      </c>
      <c r="CH19" s="718">
        <f t="shared" si="22"/>
        <v>4.1250000000000002E-2</v>
      </c>
      <c r="CI19" s="552">
        <v>20</v>
      </c>
      <c r="CJ19" s="551">
        <f t="shared" si="23"/>
        <v>0.25</v>
      </c>
      <c r="CK19" s="874">
        <v>110</v>
      </c>
      <c r="CL19" s="533">
        <f t="shared" si="24"/>
        <v>-90</v>
      </c>
      <c r="CM19" s="619">
        <f t="shared" si="25"/>
        <v>110</v>
      </c>
      <c r="CN19" s="619">
        <f t="shared" si="26"/>
        <v>550</v>
      </c>
      <c r="CO19" s="549">
        <f t="shared" si="27"/>
        <v>100</v>
      </c>
      <c r="CP19" s="619">
        <f t="shared" si="28"/>
        <v>4.1250000000000002E-2</v>
      </c>
      <c r="CQ19" s="619">
        <f t="shared" si="29"/>
        <v>0.22687499999999999</v>
      </c>
      <c r="CR19" s="546">
        <v>280000000</v>
      </c>
      <c r="CS19" s="546">
        <v>80000000</v>
      </c>
      <c r="CT19" s="546">
        <v>0</v>
      </c>
      <c r="CU19" s="546">
        <v>0</v>
      </c>
      <c r="CV19" s="546">
        <v>0</v>
      </c>
      <c r="CW19" s="546">
        <v>0</v>
      </c>
      <c r="CX19" s="546">
        <v>0</v>
      </c>
      <c r="CY19" s="546">
        <v>200000000</v>
      </c>
      <c r="CZ19" s="618">
        <v>0</v>
      </c>
      <c r="DA19" s="618">
        <v>0</v>
      </c>
      <c r="DB19" s="618">
        <v>0</v>
      </c>
      <c r="DC19" s="618">
        <v>0</v>
      </c>
      <c r="DD19" s="618">
        <v>0</v>
      </c>
      <c r="DE19" s="618">
        <v>0</v>
      </c>
      <c r="DF19" s="618">
        <v>0</v>
      </c>
      <c r="DG19" s="618">
        <v>0</v>
      </c>
      <c r="DH19" s="618">
        <v>0</v>
      </c>
      <c r="DI19" s="618">
        <v>0</v>
      </c>
      <c r="DJ19" s="618">
        <v>0</v>
      </c>
      <c r="DK19" s="1034">
        <f t="shared" si="30"/>
        <v>509</v>
      </c>
      <c r="DL19" s="543">
        <f t="shared" si="31"/>
        <v>0.16500000000000001</v>
      </c>
      <c r="DM19" s="542">
        <f t="shared" si="32"/>
        <v>636.25</v>
      </c>
      <c r="DN19" s="594">
        <f t="shared" si="33"/>
        <v>100</v>
      </c>
      <c r="DO19" s="540">
        <f t="shared" si="34"/>
        <v>0.16500000000000001</v>
      </c>
      <c r="DP19" s="597">
        <f>+IF(((DN19*Q19)/100)&lt;Q19, ((DN19*Q19)/100),Q19)</f>
        <v>0.16500000000000001</v>
      </c>
      <c r="DQ19" s="538">
        <f t="shared" si="35"/>
        <v>0.16500000000000001</v>
      </c>
      <c r="DR19" s="617">
        <f t="shared" si="36"/>
        <v>1</v>
      </c>
      <c r="DS19" s="616">
        <f t="shared" si="37"/>
        <v>0</v>
      </c>
      <c r="DT19" s="259">
        <v>9</v>
      </c>
      <c r="DU19" s="260" t="s">
        <v>352</v>
      </c>
      <c r="DV19" s="259"/>
      <c r="DW19" s="260" t="s">
        <v>242</v>
      </c>
      <c r="DX19" s="259"/>
      <c r="DY19" s="259"/>
      <c r="DZ19" s="259"/>
      <c r="EA19" s="987"/>
      <c r="EB19" s="1040" t="s">
        <v>2368</v>
      </c>
      <c r="EC19" s="802">
        <v>280000000</v>
      </c>
      <c r="EE19" s="1047"/>
    </row>
    <row r="20" spans="4:135" s="534" customFormat="1" ht="51" hidden="1" x14ac:dyDescent="0.3">
      <c r="D20" s="783">
        <v>17</v>
      </c>
      <c r="E20" s="799">
        <v>26</v>
      </c>
      <c r="F20" s="787" t="s">
        <v>200</v>
      </c>
      <c r="G20" s="787" t="s">
        <v>239</v>
      </c>
      <c r="H20" s="788" t="s">
        <v>135</v>
      </c>
      <c r="I20" s="712" t="s">
        <v>346</v>
      </c>
      <c r="J20" s="573" t="s">
        <v>362</v>
      </c>
      <c r="K20" s="573" t="s">
        <v>363</v>
      </c>
      <c r="L20" s="702" t="s">
        <v>2277</v>
      </c>
      <c r="M20" s="570" t="s">
        <v>2017</v>
      </c>
      <c r="N20" s="570">
        <v>0</v>
      </c>
      <c r="O20" s="570">
        <f>+N20+P20</f>
        <v>12</v>
      </c>
      <c r="P20" s="569">
        <v>12</v>
      </c>
      <c r="Q20" s="595">
        <v>0.16500000000000001</v>
      </c>
      <c r="R20" s="580">
        <f t="shared" si="0"/>
        <v>0</v>
      </c>
      <c r="S20" s="708">
        <v>0</v>
      </c>
      <c r="T20" s="625">
        <f t="shared" si="1"/>
        <v>0</v>
      </c>
      <c r="U20" s="992">
        <v>0</v>
      </c>
      <c r="V20" s="626">
        <f t="shared" si="2"/>
        <v>0</v>
      </c>
      <c r="W20" s="594">
        <f t="shared" si="3"/>
        <v>0</v>
      </c>
      <c r="X20" s="594">
        <f t="shared" si="4"/>
        <v>0</v>
      </c>
      <c r="Y20" s="594">
        <f t="shared" si="40"/>
        <v>0</v>
      </c>
      <c r="Z20" s="594">
        <f t="shared" si="6"/>
        <v>0</v>
      </c>
      <c r="AA20" s="546">
        <v>0</v>
      </c>
      <c r="AB20" s="546">
        <v>0</v>
      </c>
      <c r="AC20" s="546">
        <v>0</v>
      </c>
      <c r="AD20" s="546">
        <v>0</v>
      </c>
      <c r="AE20" s="546">
        <v>0</v>
      </c>
      <c r="AF20" s="546">
        <v>0</v>
      </c>
      <c r="AG20" s="546">
        <v>0</v>
      </c>
      <c r="AH20" s="546">
        <v>0</v>
      </c>
      <c r="AI20" s="546">
        <v>0</v>
      </c>
      <c r="AJ20" s="546">
        <v>0</v>
      </c>
      <c r="AK20" s="546">
        <v>0</v>
      </c>
      <c r="AL20" s="546">
        <v>0</v>
      </c>
      <c r="AM20" s="546">
        <v>0</v>
      </c>
      <c r="AN20" s="546">
        <v>0</v>
      </c>
      <c r="AO20" s="546">
        <v>0</v>
      </c>
      <c r="AP20" s="546">
        <v>0</v>
      </c>
      <c r="AQ20" s="546">
        <v>0</v>
      </c>
      <c r="AR20" s="546">
        <v>0</v>
      </c>
      <c r="AS20" s="546" t="s">
        <v>2045</v>
      </c>
      <c r="AT20" s="570">
        <f t="shared" si="7"/>
        <v>5.5E-2</v>
      </c>
      <c r="AU20" s="570">
        <v>4</v>
      </c>
      <c r="AV20" s="625">
        <f t="shared" si="8"/>
        <v>0.33333333333333331</v>
      </c>
      <c r="AW20" s="1003">
        <v>9</v>
      </c>
      <c r="AX20" s="724">
        <f t="shared" si="9"/>
        <v>9</v>
      </c>
      <c r="AY20" s="724">
        <f t="shared" si="10"/>
        <v>225</v>
      </c>
      <c r="AZ20" s="724">
        <f t="shared" si="11"/>
        <v>100</v>
      </c>
      <c r="BA20" s="594">
        <f t="shared" si="12"/>
        <v>5.5E-2</v>
      </c>
      <c r="BB20" s="594">
        <f t="shared" si="13"/>
        <v>100</v>
      </c>
      <c r="BC20" s="546">
        <v>360000000</v>
      </c>
      <c r="BD20" s="546">
        <v>0</v>
      </c>
      <c r="BE20" s="546">
        <v>40000000</v>
      </c>
      <c r="BF20" s="546">
        <v>0</v>
      </c>
      <c r="BG20" s="546">
        <v>0</v>
      </c>
      <c r="BH20" s="546">
        <v>0</v>
      </c>
      <c r="BI20" s="546">
        <v>0</v>
      </c>
      <c r="BJ20" s="546">
        <v>320000000</v>
      </c>
      <c r="BK20" s="723">
        <v>81000000</v>
      </c>
      <c r="BL20" s="722">
        <v>81000000</v>
      </c>
      <c r="BM20" s="722">
        <v>0</v>
      </c>
      <c r="BN20" s="722">
        <v>0</v>
      </c>
      <c r="BO20" s="722">
        <v>0</v>
      </c>
      <c r="BP20" s="722">
        <v>0</v>
      </c>
      <c r="BQ20" s="722">
        <v>0</v>
      </c>
      <c r="BR20" s="722">
        <v>0</v>
      </c>
      <c r="BS20" s="722">
        <v>0</v>
      </c>
      <c r="BT20" s="722">
        <v>0</v>
      </c>
      <c r="BU20" s="722">
        <v>0</v>
      </c>
      <c r="BV20" s="580">
        <f t="shared" si="14"/>
        <v>6.8750000000000006E-2</v>
      </c>
      <c r="BW20" s="588">
        <v>5</v>
      </c>
      <c r="BX20" s="623">
        <f t="shared" si="15"/>
        <v>0.41666666666666669</v>
      </c>
      <c r="BY20" s="607">
        <v>0</v>
      </c>
      <c r="BZ20" s="629">
        <v>0</v>
      </c>
      <c r="CA20" s="1017">
        <v>7</v>
      </c>
      <c r="CB20" s="721">
        <f t="shared" si="16"/>
        <v>7</v>
      </c>
      <c r="CC20" s="721">
        <f t="shared" si="17"/>
        <v>140</v>
      </c>
      <c r="CD20" s="720">
        <f t="shared" si="18"/>
        <v>100</v>
      </c>
      <c r="CE20" s="618">
        <f t="shared" si="19"/>
        <v>6.8750000000000006E-2</v>
      </c>
      <c r="CF20" s="719">
        <f t="shared" si="20"/>
        <v>100</v>
      </c>
      <c r="CG20" s="618">
        <f t="shared" si="21"/>
        <v>9.6250000000000002E-2</v>
      </c>
      <c r="CH20" s="718">
        <f t="shared" si="22"/>
        <v>4.1250000000000002E-2</v>
      </c>
      <c r="CI20" s="552">
        <v>3</v>
      </c>
      <c r="CJ20" s="551">
        <f t="shared" si="23"/>
        <v>0.25</v>
      </c>
      <c r="CK20" s="874">
        <v>0</v>
      </c>
      <c r="CL20" s="533">
        <f t="shared" si="24"/>
        <v>3</v>
      </c>
      <c r="CM20" s="619">
        <f t="shared" si="25"/>
        <v>0</v>
      </c>
      <c r="CN20" s="619">
        <f t="shared" si="26"/>
        <v>0</v>
      </c>
      <c r="CO20" s="549">
        <f t="shared" si="27"/>
        <v>0</v>
      </c>
      <c r="CP20" s="619">
        <f t="shared" si="28"/>
        <v>0</v>
      </c>
      <c r="CQ20" s="619">
        <f t="shared" si="29"/>
        <v>0</v>
      </c>
      <c r="CR20" s="546">
        <v>330000000</v>
      </c>
      <c r="CS20" s="546">
        <v>90000000</v>
      </c>
      <c r="CT20" s="546">
        <v>0</v>
      </c>
      <c r="CU20" s="546">
        <v>0</v>
      </c>
      <c r="CV20" s="546">
        <v>0</v>
      </c>
      <c r="CW20" s="546">
        <v>0</v>
      </c>
      <c r="CX20" s="546">
        <v>0</v>
      </c>
      <c r="CY20" s="546">
        <v>240000000</v>
      </c>
      <c r="CZ20" s="618">
        <v>0</v>
      </c>
      <c r="DA20" s="618">
        <v>0</v>
      </c>
      <c r="DB20" s="618">
        <v>0</v>
      </c>
      <c r="DC20" s="618">
        <v>0</v>
      </c>
      <c r="DD20" s="618">
        <v>0</v>
      </c>
      <c r="DE20" s="618">
        <v>0</v>
      </c>
      <c r="DF20" s="618">
        <v>0</v>
      </c>
      <c r="DG20" s="618">
        <v>0</v>
      </c>
      <c r="DH20" s="618">
        <v>0</v>
      </c>
      <c r="DI20" s="618">
        <v>0</v>
      </c>
      <c r="DJ20" s="618">
        <v>0</v>
      </c>
      <c r="DK20" s="1034">
        <f t="shared" si="30"/>
        <v>16</v>
      </c>
      <c r="DL20" s="543">
        <f t="shared" si="31"/>
        <v>0.16500000000000001</v>
      </c>
      <c r="DM20" s="542">
        <f t="shared" si="32"/>
        <v>133.33333333333334</v>
      </c>
      <c r="DN20" s="594">
        <f t="shared" si="33"/>
        <v>100</v>
      </c>
      <c r="DO20" s="540">
        <f t="shared" si="34"/>
        <v>0.16500000000000001</v>
      </c>
      <c r="DP20" s="597">
        <f>+IF(((DN20*Q20)/100)&lt;Q20, ((DN20*Q20)/100),Q20)</f>
        <v>0.16500000000000001</v>
      </c>
      <c r="DQ20" s="538">
        <f t="shared" si="35"/>
        <v>0.16500000000000001</v>
      </c>
      <c r="DR20" s="617">
        <f t="shared" si="36"/>
        <v>1</v>
      </c>
      <c r="DS20" s="616">
        <f t="shared" si="37"/>
        <v>0</v>
      </c>
      <c r="DT20" s="259">
        <v>9</v>
      </c>
      <c r="DU20" s="260" t="s">
        <v>352</v>
      </c>
      <c r="DV20" s="259"/>
      <c r="DW20" s="260" t="s">
        <v>242</v>
      </c>
      <c r="DX20" s="259"/>
      <c r="DY20" s="259"/>
      <c r="DZ20" s="259"/>
      <c r="EA20" s="987"/>
      <c r="EB20" s="1040" t="s">
        <v>2369</v>
      </c>
      <c r="EC20" s="802">
        <v>400000000</v>
      </c>
      <c r="EE20" s="1047"/>
    </row>
    <row r="21" spans="4:135" s="534" customFormat="1" ht="51" hidden="1" x14ac:dyDescent="0.3">
      <c r="D21" s="783">
        <v>18</v>
      </c>
      <c r="E21" s="799">
        <v>27</v>
      </c>
      <c r="F21" s="787" t="s">
        <v>200</v>
      </c>
      <c r="G21" s="787" t="s">
        <v>8</v>
      </c>
      <c r="H21" s="788" t="s">
        <v>135</v>
      </c>
      <c r="I21" s="712" t="s">
        <v>346</v>
      </c>
      <c r="J21" s="573" t="s">
        <v>364</v>
      </c>
      <c r="K21" s="573" t="s">
        <v>365</v>
      </c>
      <c r="L21" s="702" t="s">
        <v>2208</v>
      </c>
      <c r="M21" s="570" t="s">
        <v>2017</v>
      </c>
      <c r="N21" s="570">
        <v>0</v>
      </c>
      <c r="O21" s="570">
        <f>+N21+P21</f>
        <v>1</v>
      </c>
      <c r="P21" s="569">
        <v>1</v>
      </c>
      <c r="Q21" s="595">
        <v>8.8999999999999996E-2</v>
      </c>
      <c r="R21" s="580">
        <f t="shared" si="0"/>
        <v>0</v>
      </c>
      <c r="S21" s="708">
        <v>0</v>
      </c>
      <c r="T21" s="625">
        <f t="shared" si="1"/>
        <v>0</v>
      </c>
      <c r="U21" s="992">
        <v>0</v>
      </c>
      <c r="V21" s="626">
        <f t="shared" si="2"/>
        <v>0</v>
      </c>
      <c r="W21" s="594">
        <f t="shared" si="3"/>
        <v>0</v>
      </c>
      <c r="X21" s="594">
        <f t="shared" si="4"/>
        <v>0</v>
      </c>
      <c r="Y21" s="594">
        <f t="shared" si="40"/>
        <v>0</v>
      </c>
      <c r="Z21" s="594">
        <f t="shared" si="6"/>
        <v>0</v>
      </c>
      <c r="AA21" s="546">
        <v>0</v>
      </c>
      <c r="AB21" s="546">
        <v>0</v>
      </c>
      <c r="AC21" s="546">
        <v>0</v>
      </c>
      <c r="AD21" s="546">
        <v>0</v>
      </c>
      <c r="AE21" s="546">
        <v>0</v>
      </c>
      <c r="AF21" s="546">
        <v>0</v>
      </c>
      <c r="AG21" s="546">
        <v>0</v>
      </c>
      <c r="AH21" s="546">
        <v>0</v>
      </c>
      <c r="AI21" s="546">
        <v>0</v>
      </c>
      <c r="AJ21" s="546">
        <v>0</v>
      </c>
      <c r="AK21" s="546">
        <v>0</v>
      </c>
      <c r="AL21" s="546">
        <v>0</v>
      </c>
      <c r="AM21" s="546">
        <v>0</v>
      </c>
      <c r="AN21" s="546">
        <v>0</v>
      </c>
      <c r="AO21" s="546">
        <v>0</v>
      </c>
      <c r="AP21" s="546">
        <v>0</v>
      </c>
      <c r="AQ21" s="546">
        <v>0</v>
      </c>
      <c r="AR21" s="546">
        <v>0</v>
      </c>
      <c r="AS21" s="546" t="s">
        <v>2045</v>
      </c>
      <c r="AT21" s="570">
        <f t="shared" si="7"/>
        <v>4.4499999999999998E-2</v>
      </c>
      <c r="AU21" s="570">
        <v>0.5</v>
      </c>
      <c r="AV21" s="625">
        <f t="shared" si="8"/>
        <v>0.5</v>
      </c>
      <c r="AW21" s="1003">
        <v>0.5</v>
      </c>
      <c r="AX21" s="724">
        <f t="shared" si="9"/>
        <v>0.5</v>
      </c>
      <c r="AY21" s="724">
        <f t="shared" si="10"/>
        <v>100</v>
      </c>
      <c r="AZ21" s="724">
        <f t="shared" si="11"/>
        <v>100</v>
      </c>
      <c r="BA21" s="594">
        <f t="shared" si="12"/>
        <v>4.4500000000000005E-2</v>
      </c>
      <c r="BB21" s="594">
        <f t="shared" si="13"/>
        <v>100</v>
      </c>
      <c r="BC21" s="546">
        <v>0</v>
      </c>
      <c r="BD21" s="546">
        <v>0</v>
      </c>
      <c r="BE21" s="546">
        <v>0</v>
      </c>
      <c r="BF21" s="546">
        <v>0</v>
      </c>
      <c r="BG21" s="546">
        <v>0</v>
      </c>
      <c r="BH21" s="546">
        <v>0</v>
      </c>
      <c r="BI21" s="546">
        <v>0</v>
      </c>
      <c r="BJ21" s="546">
        <v>0</v>
      </c>
      <c r="BK21" s="723">
        <v>0</v>
      </c>
      <c r="BL21" s="722">
        <v>0</v>
      </c>
      <c r="BM21" s="722">
        <v>0</v>
      </c>
      <c r="BN21" s="722">
        <v>0</v>
      </c>
      <c r="BO21" s="722">
        <v>0</v>
      </c>
      <c r="BP21" s="722">
        <v>0</v>
      </c>
      <c r="BQ21" s="722">
        <v>0</v>
      </c>
      <c r="BR21" s="722">
        <v>0</v>
      </c>
      <c r="BS21" s="722">
        <v>0</v>
      </c>
      <c r="BT21" s="722">
        <v>0</v>
      </c>
      <c r="BU21" s="722">
        <v>0</v>
      </c>
      <c r="BV21" s="580">
        <f t="shared" si="14"/>
        <v>2.2249999999999999E-2</v>
      </c>
      <c r="BW21" s="588">
        <v>0.25</v>
      </c>
      <c r="BX21" s="623">
        <f t="shared" si="15"/>
        <v>0.25</v>
      </c>
      <c r="BY21" s="607">
        <v>1</v>
      </c>
      <c r="BZ21" s="629">
        <v>0.5</v>
      </c>
      <c r="CA21" s="1017">
        <v>0.25</v>
      </c>
      <c r="CB21" s="728">
        <f t="shared" si="16"/>
        <v>0.25</v>
      </c>
      <c r="CC21" s="721">
        <f t="shared" si="17"/>
        <v>100</v>
      </c>
      <c r="CD21" s="720">
        <f t="shared" si="18"/>
        <v>100</v>
      </c>
      <c r="CE21" s="618">
        <f t="shared" si="19"/>
        <v>2.2250000000000002E-2</v>
      </c>
      <c r="CF21" s="719">
        <f t="shared" si="20"/>
        <v>100</v>
      </c>
      <c r="CG21" s="618">
        <f t="shared" si="21"/>
        <v>2.2250000000000002E-2</v>
      </c>
      <c r="CH21" s="718">
        <f t="shared" si="22"/>
        <v>2.2249999999999999E-2</v>
      </c>
      <c r="CI21" s="658">
        <v>0.25</v>
      </c>
      <c r="CJ21" s="551">
        <f t="shared" si="23"/>
        <v>0.25</v>
      </c>
      <c r="CK21" s="874">
        <v>0</v>
      </c>
      <c r="CL21" s="533">
        <f t="shared" si="24"/>
        <v>0.25</v>
      </c>
      <c r="CM21" s="619">
        <f t="shared" si="25"/>
        <v>0</v>
      </c>
      <c r="CN21" s="619">
        <f t="shared" si="26"/>
        <v>0</v>
      </c>
      <c r="CO21" s="549">
        <f t="shared" si="27"/>
        <v>0</v>
      </c>
      <c r="CP21" s="619">
        <f t="shared" si="28"/>
        <v>0</v>
      </c>
      <c r="CQ21" s="619">
        <f t="shared" si="29"/>
        <v>0</v>
      </c>
      <c r="CR21" s="546">
        <v>0</v>
      </c>
      <c r="CS21" s="546">
        <v>0</v>
      </c>
      <c r="CT21" s="546">
        <v>0</v>
      </c>
      <c r="CU21" s="546">
        <v>0</v>
      </c>
      <c r="CV21" s="546">
        <v>0</v>
      </c>
      <c r="CW21" s="546">
        <v>0</v>
      </c>
      <c r="CX21" s="546">
        <v>0</v>
      </c>
      <c r="CY21" s="546">
        <v>0</v>
      </c>
      <c r="CZ21" s="618">
        <v>0</v>
      </c>
      <c r="DA21" s="618">
        <v>0</v>
      </c>
      <c r="DB21" s="618">
        <v>0</v>
      </c>
      <c r="DC21" s="618">
        <v>0</v>
      </c>
      <c r="DD21" s="618">
        <v>0</v>
      </c>
      <c r="DE21" s="618">
        <v>0</v>
      </c>
      <c r="DF21" s="618">
        <v>0</v>
      </c>
      <c r="DG21" s="618">
        <v>0</v>
      </c>
      <c r="DH21" s="618">
        <v>0</v>
      </c>
      <c r="DI21" s="618">
        <v>0</v>
      </c>
      <c r="DJ21" s="618">
        <v>0</v>
      </c>
      <c r="DK21" s="1034">
        <f t="shared" si="30"/>
        <v>0.75</v>
      </c>
      <c r="DL21" s="543">
        <f t="shared" si="31"/>
        <v>8.8999999999999996E-2</v>
      </c>
      <c r="DM21" s="542">
        <f t="shared" si="32"/>
        <v>75</v>
      </c>
      <c r="DN21" s="594">
        <f t="shared" si="33"/>
        <v>75</v>
      </c>
      <c r="DO21" s="540">
        <f t="shared" si="34"/>
        <v>6.6750000000000004E-2</v>
      </c>
      <c r="DP21" s="597">
        <f>+IF(((DN21*Q21)/100)&lt;Q21, ((DN21*Q21)/100),Q21)</f>
        <v>6.6750000000000004E-2</v>
      </c>
      <c r="DQ21" s="538">
        <f t="shared" si="35"/>
        <v>6.6750000000000004E-2</v>
      </c>
      <c r="DR21" s="617">
        <f t="shared" si="36"/>
        <v>1</v>
      </c>
      <c r="DS21" s="616">
        <f t="shared" si="37"/>
        <v>0</v>
      </c>
      <c r="DT21" s="259">
        <v>9</v>
      </c>
      <c r="DU21" s="260" t="s">
        <v>352</v>
      </c>
      <c r="DV21" s="259"/>
      <c r="DW21" s="260" t="s">
        <v>242</v>
      </c>
      <c r="DX21" s="259"/>
      <c r="DY21" s="259"/>
      <c r="DZ21" s="259"/>
      <c r="EA21" s="987"/>
      <c r="EB21" s="1040" t="s">
        <v>2370</v>
      </c>
      <c r="EC21" s="802">
        <v>0</v>
      </c>
      <c r="EE21" s="1047"/>
    </row>
    <row r="22" spans="4:135" s="534" customFormat="1" ht="156" hidden="1" x14ac:dyDescent="0.3">
      <c r="D22" s="783">
        <v>19</v>
      </c>
      <c r="E22" s="799">
        <v>28</v>
      </c>
      <c r="F22" s="787" t="s">
        <v>200</v>
      </c>
      <c r="G22" s="787" t="s">
        <v>7</v>
      </c>
      <c r="H22" s="788" t="s">
        <v>135</v>
      </c>
      <c r="I22" s="712" t="s">
        <v>366</v>
      </c>
      <c r="J22" s="573" t="s">
        <v>367</v>
      </c>
      <c r="K22" s="573" t="s">
        <v>368</v>
      </c>
      <c r="L22" s="702" t="s">
        <v>1593</v>
      </c>
      <c r="M22" s="570" t="s">
        <v>2032</v>
      </c>
      <c r="N22" s="570">
        <v>0</v>
      </c>
      <c r="O22" s="570">
        <f>+P22</f>
        <v>116</v>
      </c>
      <c r="P22" s="569">
        <v>116</v>
      </c>
      <c r="Q22" s="595">
        <v>0.16500000000000001</v>
      </c>
      <c r="R22" s="580">
        <f t="shared" si="0"/>
        <v>4.1250000000000002E-2</v>
      </c>
      <c r="S22" s="708">
        <v>116</v>
      </c>
      <c r="T22" s="625">
        <f t="shared" si="1"/>
        <v>0.25</v>
      </c>
      <c r="U22" s="992">
        <v>92</v>
      </c>
      <c r="V22" s="626">
        <f t="shared" si="2"/>
        <v>23</v>
      </c>
      <c r="W22" s="594">
        <f t="shared" si="3"/>
        <v>79.310344827586206</v>
      </c>
      <c r="X22" s="594">
        <f t="shared" si="4"/>
        <v>79.310344827586206</v>
      </c>
      <c r="Y22" s="594">
        <f t="shared" si="40"/>
        <v>3.2715517241379312E-2</v>
      </c>
      <c r="Z22" s="594">
        <f t="shared" si="6"/>
        <v>79.310344827586206</v>
      </c>
      <c r="AA22" s="546">
        <v>11000000</v>
      </c>
      <c r="AB22" s="546">
        <v>11000000</v>
      </c>
      <c r="AC22" s="546">
        <v>0</v>
      </c>
      <c r="AD22" s="546">
        <v>0</v>
      </c>
      <c r="AE22" s="546">
        <v>0</v>
      </c>
      <c r="AF22" s="546">
        <v>0</v>
      </c>
      <c r="AG22" s="546">
        <v>0</v>
      </c>
      <c r="AH22" s="546">
        <v>0</v>
      </c>
      <c r="AI22" s="546">
        <v>23000000</v>
      </c>
      <c r="AJ22" s="546">
        <v>23000000</v>
      </c>
      <c r="AK22" s="546">
        <v>0</v>
      </c>
      <c r="AL22" s="546">
        <v>0</v>
      </c>
      <c r="AM22" s="546">
        <v>0</v>
      </c>
      <c r="AN22" s="546">
        <v>0</v>
      </c>
      <c r="AO22" s="546">
        <v>0</v>
      </c>
      <c r="AP22" s="546">
        <v>0</v>
      </c>
      <c r="AQ22" s="546">
        <v>0</v>
      </c>
      <c r="AR22" s="546">
        <v>0</v>
      </c>
      <c r="AS22" s="546" t="s">
        <v>2045</v>
      </c>
      <c r="AT22" s="570">
        <f t="shared" si="7"/>
        <v>4.1250000000000002E-2</v>
      </c>
      <c r="AU22" s="570">
        <v>116</v>
      </c>
      <c r="AV22" s="625">
        <f t="shared" si="8"/>
        <v>0.25</v>
      </c>
      <c r="AW22" s="1003">
        <v>53</v>
      </c>
      <c r="AX22" s="724">
        <f t="shared" si="9"/>
        <v>13.25</v>
      </c>
      <c r="AY22" s="724">
        <f t="shared" si="10"/>
        <v>45.689655172413794</v>
      </c>
      <c r="AZ22" s="724">
        <f t="shared" si="11"/>
        <v>45.689655172413794</v>
      </c>
      <c r="BA22" s="594">
        <f t="shared" si="12"/>
        <v>1.8846982758620692E-2</v>
      </c>
      <c r="BB22" s="594">
        <f t="shared" si="13"/>
        <v>45.689655172413794</v>
      </c>
      <c r="BC22" s="546">
        <v>8000000</v>
      </c>
      <c r="BD22" s="546">
        <v>0</v>
      </c>
      <c r="BE22" s="546">
        <v>8000000</v>
      </c>
      <c r="BF22" s="546">
        <v>0</v>
      </c>
      <c r="BG22" s="546">
        <v>0</v>
      </c>
      <c r="BH22" s="546">
        <v>0</v>
      </c>
      <c r="BI22" s="546">
        <v>0</v>
      </c>
      <c r="BJ22" s="546">
        <v>0</v>
      </c>
      <c r="BK22" s="723">
        <v>28000000</v>
      </c>
      <c r="BL22" s="722">
        <v>28000000</v>
      </c>
      <c r="BM22" s="722">
        <v>0</v>
      </c>
      <c r="BN22" s="722">
        <v>0</v>
      </c>
      <c r="BO22" s="722">
        <v>0</v>
      </c>
      <c r="BP22" s="722">
        <v>0</v>
      </c>
      <c r="BQ22" s="722">
        <v>0</v>
      </c>
      <c r="BR22" s="722">
        <v>0</v>
      </c>
      <c r="BS22" s="722">
        <v>0</v>
      </c>
      <c r="BT22" s="722">
        <v>0</v>
      </c>
      <c r="BU22" s="722">
        <v>0</v>
      </c>
      <c r="BV22" s="580">
        <f t="shared" si="14"/>
        <v>4.1250000000000002E-2</v>
      </c>
      <c r="BW22" s="588">
        <v>116</v>
      </c>
      <c r="BX22" s="623">
        <f t="shared" si="15"/>
        <v>0.25</v>
      </c>
      <c r="BY22" s="639">
        <v>0</v>
      </c>
      <c r="BZ22" s="638">
        <v>116</v>
      </c>
      <c r="CA22" s="1018">
        <v>116</v>
      </c>
      <c r="CB22" s="721">
        <f t="shared" si="16"/>
        <v>29</v>
      </c>
      <c r="CC22" s="721">
        <f t="shared" si="17"/>
        <v>100</v>
      </c>
      <c r="CD22" s="720">
        <f t="shared" si="18"/>
        <v>100</v>
      </c>
      <c r="CE22" s="618">
        <f t="shared" si="19"/>
        <v>4.1250000000000002E-2</v>
      </c>
      <c r="CF22" s="719">
        <f t="shared" si="20"/>
        <v>100</v>
      </c>
      <c r="CG22" s="618">
        <f t="shared" si="21"/>
        <v>4.1250000000000002E-2</v>
      </c>
      <c r="CH22" s="718">
        <f t="shared" si="22"/>
        <v>4.1250000000000002E-2</v>
      </c>
      <c r="CI22" s="552">
        <v>116</v>
      </c>
      <c r="CJ22" s="551">
        <f t="shared" si="23"/>
        <v>0.25</v>
      </c>
      <c r="CK22" s="874">
        <v>0.20000000298023224</v>
      </c>
      <c r="CL22" s="533">
        <f t="shared" si="24"/>
        <v>115.79999999701977</v>
      </c>
      <c r="CM22" s="619">
        <f t="shared" si="25"/>
        <v>5.000000074505806E-2</v>
      </c>
      <c r="CN22" s="619">
        <f t="shared" si="26"/>
        <v>0.172413795672614</v>
      </c>
      <c r="CO22" s="619">
        <f t="shared" si="27"/>
        <v>0.172413795672614</v>
      </c>
      <c r="CP22" s="619">
        <f t="shared" si="28"/>
        <v>7.1120690714953288E-5</v>
      </c>
      <c r="CQ22" s="619">
        <f t="shared" si="29"/>
        <v>7.1120690714953288E-5</v>
      </c>
      <c r="CR22" s="546">
        <v>18000000</v>
      </c>
      <c r="CS22" s="546">
        <v>18000000</v>
      </c>
      <c r="CT22" s="546">
        <v>0</v>
      </c>
      <c r="CU22" s="546">
        <v>0</v>
      </c>
      <c r="CV22" s="546">
        <v>0</v>
      </c>
      <c r="CW22" s="546">
        <v>0</v>
      </c>
      <c r="CX22" s="546">
        <v>0</v>
      </c>
      <c r="CY22" s="546">
        <v>0</v>
      </c>
      <c r="CZ22" s="618">
        <v>0</v>
      </c>
      <c r="DA22" s="618">
        <v>0</v>
      </c>
      <c r="DB22" s="618">
        <v>0</v>
      </c>
      <c r="DC22" s="618">
        <v>0</v>
      </c>
      <c r="DD22" s="618">
        <v>0</v>
      </c>
      <c r="DE22" s="618">
        <v>0</v>
      </c>
      <c r="DF22" s="618">
        <v>0</v>
      </c>
      <c r="DG22" s="618">
        <v>0</v>
      </c>
      <c r="DH22" s="618">
        <v>0</v>
      </c>
      <c r="DI22" s="618">
        <v>0</v>
      </c>
      <c r="DJ22" s="618">
        <v>0</v>
      </c>
      <c r="DK22" s="1034">
        <f t="shared" si="30"/>
        <v>65.300000000745058</v>
      </c>
      <c r="DL22" s="543">
        <f t="shared" si="31"/>
        <v>0.16500000000000001</v>
      </c>
      <c r="DM22" s="542">
        <f t="shared" si="32"/>
        <v>56.293103448918153</v>
      </c>
      <c r="DN22" s="594">
        <f t="shared" si="33"/>
        <v>56.293103448918153</v>
      </c>
      <c r="DO22" s="540">
        <f t="shared" si="34"/>
        <v>9.2883620690714958E-2</v>
      </c>
      <c r="DP22" s="597">
        <f>+IF(M22="M",DO22,0)</f>
        <v>9.2883620690714958E-2</v>
      </c>
      <c r="DQ22" s="538">
        <f t="shared" si="35"/>
        <v>9.2883620690714958E-2</v>
      </c>
      <c r="DR22" s="617">
        <f t="shared" si="36"/>
        <v>1</v>
      </c>
      <c r="DS22" s="616">
        <f t="shared" si="37"/>
        <v>0</v>
      </c>
      <c r="DT22" s="259">
        <v>9</v>
      </c>
      <c r="DU22" s="260" t="s">
        <v>352</v>
      </c>
      <c r="DV22" s="259">
        <v>10</v>
      </c>
      <c r="DW22" s="260" t="s">
        <v>298</v>
      </c>
      <c r="DX22" s="259">
        <v>39</v>
      </c>
      <c r="DY22" s="259">
        <v>40</v>
      </c>
      <c r="DZ22" s="259"/>
      <c r="EA22" s="987"/>
      <c r="EB22" s="1040" t="s">
        <v>2371</v>
      </c>
      <c r="EC22" s="802">
        <v>18000000</v>
      </c>
      <c r="EE22" s="1047"/>
    </row>
    <row r="23" spans="4:135" s="534" customFormat="1" ht="76.5" hidden="1" x14ac:dyDescent="0.3">
      <c r="D23" s="783">
        <v>20</v>
      </c>
      <c r="E23" s="799">
        <v>31</v>
      </c>
      <c r="F23" s="787" t="s">
        <v>200</v>
      </c>
      <c r="G23" s="787" t="s">
        <v>7</v>
      </c>
      <c r="H23" s="788" t="s">
        <v>135</v>
      </c>
      <c r="I23" s="712" t="s">
        <v>369</v>
      </c>
      <c r="J23" s="573" t="s">
        <v>370</v>
      </c>
      <c r="K23" s="573" t="s">
        <v>371</v>
      </c>
      <c r="L23" s="702" t="s">
        <v>2208</v>
      </c>
      <c r="M23" s="570" t="s">
        <v>2017</v>
      </c>
      <c r="N23" s="570">
        <v>0</v>
      </c>
      <c r="O23" s="570">
        <f>+N23+P23</f>
        <v>4</v>
      </c>
      <c r="P23" s="569">
        <v>4</v>
      </c>
      <c r="Q23" s="595">
        <v>0.16500000000000001</v>
      </c>
      <c r="R23" s="580">
        <f t="shared" si="0"/>
        <v>4.1250000000000002E-2</v>
      </c>
      <c r="S23" s="708">
        <v>1</v>
      </c>
      <c r="T23" s="625">
        <f t="shared" si="1"/>
        <v>0.25</v>
      </c>
      <c r="U23" s="992">
        <v>0</v>
      </c>
      <c r="V23" s="626">
        <f t="shared" si="2"/>
        <v>0</v>
      </c>
      <c r="W23" s="594">
        <f t="shared" si="3"/>
        <v>0</v>
      </c>
      <c r="X23" s="594">
        <f t="shared" si="4"/>
        <v>0</v>
      </c>
      <c r="Y23" s="594">
        <f t="shared" si="40"/>
        <v>0</v>
      </c>
      <c r="Z23" s="594">
        <f t="shared" si="6"/>
        <v>0</v>
      </c>
      <c r="AA23" s="546">
        <v>27000000</v>
      </c>
      <c r="AB23" s="546">
        <v>27000000</v>
      </c>
      <c r="AC23" s="546">
        <v>0</v>
      </c>
      <c r="AD23" s="546">
        <v>0</v>
      </c>
      <c r="AE23" s="546">
        <v>0</v>
      </c>
      <c r="AF23" s="546">
        <v>0</v>
      </c>
      <c r="AG23" s="546">
        <v>0</v>
      </c>
      <c r="AH23" s="546">
        <v>0</v>
      </c>
      <c r="AI23" s="546">
        <v>0</v>
      </c>
      <c r="AJ23" s="546">
        <v>0</v>
      </c>
      <c r="AK23" s="546">
        <v>0</v>
      </c>
      <c r="AL23" s="546">
        <v>0</v>
      </c>
      <c r="AM23" s="546">
        <v>0</v>
      </c>
      <c r="AN23" s="546">
        <v>0</v>
      </c>
      <c r="AO23" s="546">
        <v>0</v>
      </c>
      <c r="AP23" s="546">
        <v>0</v>
      </c>
      <c r="AQ23" s="546">
        <v>0</v>
      </c>
      <c r="AR23" s="546">
        <v>0</v>
      </c>
      <c r="AS23" s="546" t="s">
        <v>2045</v>
      </c>
      <c r="AT23" s="570">
        <f t="shared" si="7"/>
        <v>4.1250000000000002E-2</v>
      </c>
      <c r="AU23" s="570">
        <v>1</v>
      </c>
      <c r="AV23" s="625">
        <f t="shared" si="8"/>
        <v>0.25</v>
      </c>
      <c r="AW23" s="1003">
        <v>2</v>
      </c>
      <c r="AX23" s="724">
        <f t="shared" si="9"/>
        <v>2</v>
      </c>
      <c r="AY23" s="724">
        <f t="shared" si="10"/>
        <v>200</v>
      </c>
      <c r="AZ23" s="724">
        <f t="shared" si="11"/>
        <v>100</v>
      </c>
      <c r="BA23" s="594">
        <f t="shared" si="12"/>
        <v>4.1250000000000002E-2</v>
      </c>
      <c r="BB23" s="594">
        <f t="shared" si="13"/>
        <v>100</v>
      </c>
      <c r="BC23" s="546">
        <v>20000000</v>
      </c>
      <c r="BD23" s="546">
        <v>0</v>
      </c>
      <c r="BE23" s="546">
        <v>20000000</v>
      </c>
      <c r="BF23" s="546">
        <v>0</v>
      </c>
      <c r="BG23" s="546">
        <v>0</v>
      </c>
      <c r="BH23" s="546">
        <v>0</v>
      </c>
      <c r="BI23" s="546">
        <v>0</v>
      </c>
      <c r="BJ23" s="546">
        <v>0</v>
      </c>
      <c r="BK23" s="723">
        <v>30000000</v>
      </c>
      <c r="BL23" s="722">
        <v>30000000</v>
      </c>
      <c r="BM23" s="722">
        <v>0</v>
      </c>
      <c r="BN23" s="722">
        <v>0</v>
      </c>
      <c r="BO23" s="722">
        <v>0</v>
      </c>
      <c r="BP23" s="722">
        <v>0</v>
      </c>
      <c r="BQ23" s="722">
        <v>0</v>
      </c>
      <c r="BR23" s="722">
        <v>0</v>
      </c>
      <c r="BS23" s="722">
        <v>0</v>
      </c>
      <c r="BT23" s="722">
        <v>0</v>
      </c>
      <c r="BU23" s="722">
        <v>0</v>
      </c>
      <c r="BV23" s="580">
        <f t="shared" si="14"/>
        <v>4.1250000000000002E-2</v>
      </c>
      <c r="BW23" s="588">
        <v>1</v>
      </c>
      <c r="BX23" s="623">
        <f t="shared" si="15"/>
        <v>0.25</v>
      </c>
      <c r="BY23" s="639">
        <v>0</v>
      </c>
      <c r="BZ23" s="638">
        <v>1</v>
      </c>
      <c r="CA23" s="1018">
        <v>1</v>
      </c>
      <c r="CB23" s="721">
        <f t="shared" si="16"/>
        <v>1</v>
      </c>
      <c r="CC23" s="721">
        <f t="shared" si="17"/>
        <v>100</v>
      </c>
      <c r="CD23" s="720">
        <f t="shared" si="18"/>
        <v>100</v>
      </c>
      <c r="CE23" s="618">
        <f t="shared" si="19"/>
        <v>4.1250000000000002E-2</v>
      </c>
      <c r="CF23" s="719">
        <f t="shared" si="20"/>
        <v>100</v>
      </c>
      <c r="CG23" s="618">
        <f t="shared" si="21"/>
        <v>4.1250000000000002E-2</v>
      </c>
      <c r="CH23" s="718">
        <f t="shared" si="22"/>
        <v>4.1250000000000002E-2</v>
      </c>
      <c r="CI23" s="552">
        <v>1</v>
      </c>
      <c r="CJ23" s="551">
        <f t="shared" si="23"/>
        <v>0.25</v>
      </c>
      <c r="CK23" s="874">
        <v>0.20000000298023224</v>
      </c>
      <c r="CL23" s="533">
        <f t="shared" si="24"/>
        <v>0.79999999701976776</v>
      </c>
      <c r="CM23" s="619">
        <f t="shared" si="25"/>
        <v>0.20000000298023224</v>
      </c>
      <c r="CN23" s="619">
        <f t="shared" si="26"/>
        <v>20.000000298023224</v>
      </c>
      <c r="CO23" s="549">
        <f t="shared" si="27"/>
        <v>20.000000298023224</v>
      </c>
      <c r="CP23" s="619">
        <f t="shared" si="28"/>
        <v>8.2500001229345796E-3</v>
      </c>
      <c r="CQ23" s="619">
        <f t="shared" si="29"/>
        <v>8.2500001229345796E-3</v>
      </c>
      <c r="CR23" s="546">
        <v>45000000</v>
      </c>
      <c r="CS23" s="546">
        <v>45000000</v>
      </c>
      <c r="CT23" s="546">
        <v>0</v>
      </c>
      <c r="CU23" s="546">
        <v>0</v>
      </c>
      <c r="CV23" s="546">
        <v>0</v>
      </c>
      <c r="CW23" s="546">
        <v>0</v>
      </c>
      <c r="CX23" s="546">
        <v>0</v>
      </c>
      <c r="CY23" s="546">
        <v>0</v>
      </c>
      <c r="CZ23" s="618">
        <v>0</v>
      </c>
      <c r="DA23" s="618">
        <v>0</v>
      </c>
      <c r="DB23" s="618">
        <v>0</v>
      </c>
      <c r="DC23" s="618">
        <v>0</v>
      </c>
      <c r="DD23" s="618">
        <v>0</v>
      </c>
      <c r="DE23" s="618">
        <v>0</v>
      </c>
      <c r="DF23" s="618">
        <v>0</v>
      </c>
      <c r="DG23" s="618">
        <v>0</v>
      </c>
      <c r="DH23" s="618">
        <v>0</v>
      </c>
      <c r="DI23" s="618">
        <v>0</v>
      </c>
      <c r="DJ23" s="618">
        <v>0</v>
      </c>
      <c r="DK23" s="1034">
        <f t="shared" si="30"/>
        <v>3.2000000029802322</v>
      </c>
      <c r="DL23" s="543">
        <f t="shared" si="31"/>
        <v>0.16500000000000001</v>
      </c>
      <c r="DM23" s="542">
        <f t="shared" si="32"/>
        <v>80.000000074505806</v>
      </c>
      <c r="DN23" s="594">
        <f t="shared" si="33"/>
        <v>80.000000074505806</v>
      </c>
      <c r="DO23" s="540">
        <f t="shared" si="34"/>
        <v>0.13200000012293459</v>
      </c>
      <c r="DP23" s="597">
        <f>+IF(((DN23*Q23)/100)&lt;Q23, ((DN23*Q23)/100),Q23)</f>
        <v>0.13200000012293459</v>
      </c>
      <c r="DQ23" s="538">
        <f t="shared" si="35"/>
        <v>0.13200000012293459</v>
      </c>
      <c r="DR23" s="617">
        <f t="shared" si="36"/>
        <v>1</v>
      </c>
      <c r="DS23" s="616">
        <f t="shared" si="37"/>
        <v>0</v>
      </c>
      <c r="DT23" s="259">
        <v>1</v>
      </c>
      <c r="DU23" s="260" t="s">
        <v>345</v>
      </c>
      <c r="DV23" s="259"/>
      <c r="DW23" s="260" t="s">
        <v>242</v>
      </c>
      <c r="DX23" s="259"/>
      <c r="DY23" s="259"/>
      <c r="DZ23" s="259"/>
      <c r="EA23" s="987"/>
      <c r="EB23" s="1040" t="s">
        <v>2372</v>
      </c>
      <c r="EC23" s="802">
        <v>45000000</v>
      </c>
      <c r="EE23" s="1047"/>
    </row>
    <row r="24" spans="4:135" s="534" customFormat="1" ht="63.75" hidden="1" x14ac:dyDescent="0.3">
      <c r="D24" s="783">
        <v>21</v>
      </c>
      <c r="E24" s="799">
        <v>32</v>
      </c>
      <c r="F24" s="787" t="s">
        <v>200</v>
      </c>
      <c r="G24" s="787" t="s">
        <v>9</v>
      </c>
      <c r="H24" s="788" t="s">
        <v>135</v>
      </c>
      <c r="I24" s="712" t="s">
        <v>369</v>
      </c>
      <c r="J24" s="573" t="s">
        <v>372</v>
      </c>
      <c r="K24" s="573" t="s">
        <v>373</v>
      </c>
      <c r="L24" s="701" t="s">
        <v>2201</v>
      </c>
      <c r="M24" s="570" t="s">
        <v>2032</v>
      </c>
      <c r="N24" s="570">
        <v>100</v>
      </c>
      <c r="O24" s="570">
        <f>+P24</f>
        <v>100</v>
      </c>
      <c r="P24" s="569">
        <v>100</v>
      </c>
      <c r="Q24" s="595">
        <v>0.16500000000000001</v>
      </c>
      <c r="R24" s="580">
        <f t="shared" si="0"/>
        <v>4.1250000000000002E-2</v>
      </c>
      <c r="S24" s="708">
        <v>100</v>
      </c>
      <c r="T24" s="625">
        <f t="shared" si="1"/>
        <v>0.25</v>
      </c>
      <c r="U24" s="992">
        <v>100</v>
      </c>
      <c r="V24" s="626">
        <f t="shared" si="2"/>
        <v>25</v>
      </c>
      <c r="W24" s="594">
        <f t="shared" si="3"/>
        <v>100</v>
      </c>
      <c r="X24" s="594">
        <f t="shared" si="4"/>
        <v>100</v>
      </c>
      <c r="Y24" s="594">
        <f t="shared" si="40"/>
        <v>4.1250000000000002E-2</v>
      </c>
      <c r="Z24" s="594">
        <f t="shared" si="6"/>
        <v>100</v>
      </c>
      <c r="AA24" s="546">
        <v>0</v>
      </c>
      <c r="AB24" s="546">
        <v>0</v>
      </c>
      <c r="AC24" s="546">
        <v>0</v>
      </c>
      <c r="AD24" s="546">
        <v>0</v>
      </c>
      <c r="AE24" s="546">
        <v>0</v>
      </c>
      <c r="AF24" s="546">
        <v>0</v>
      </c>
      <c r="AG24" s="546">
        <v>0</v>
      </c>
      <c r="AH24" s="546">
        <v>0</v>
      </c>
      <c r="AI24" s="546">
        <v>0</v>
      </c>
      <c r="AJ24" s="546">
        <v>0</v>
      </c>
      <c r="AK24" s="546">
        <v>0</v>
      </c>
      <c r="AL24" s="546">
        <v>0</v>
      </c>
      <c r="AM24" s="546">
        <v>0</v>
      </c>
      <c r="AN24" s="546">
        <v>0</v>
      </c>
      <c r="AO24" s="546">
        <v>0</v>
      </c>
      <c r="AP24" s="546">
        <v>0</v>
      </c>
      <c r="AQ24" s="546">
        <v>0</v>
      </c>
      <c r="AR24" s="546">
        <v>0</v>
      </c>
      <c r="AS24" s="546" t="s">
        <v>2045</v>
      </c>
      <c r="AT24" s="570">
        <f t="shared" si="7"/>
        <v>4.1250000000000002E-2</v>
      </c>
      <c r="AU24" s="570">
        <v>100</v>
      </c>
      <c r="AV24" s="625">
        <f t="shared" si="8"/>
        <v>0.25</v>
      </c>
      <c r="AW24" s="1003">
        <v>5</v>
      </c>
      <c r="AX24" s="724">
        <f t="shared" si="9"/>
        <v>1.25</v>
      </c>
      <c r="AY24" s="724">
        <f t="shared" si="10"/>
        <v>5</v>
      </c>
      <c r="AZ24" s="724">
        <f t="shared" si="11"/>
        <v>5</v>
      </c>
      <c r="BA24" s="594">
        <f t="shared" si="12"/>
        <v>2.0625000000000001E-3</v>
      </c>
      <c r="BB24" s="594">
        <f t="shared" si="13"/>
        <v>5</v>
      </c>
      <c r="BC24" s="546">
        <v>20000000</v>
      </c>
      <c r="BD24" s="546">
        <v>0</v>
      </c>
      <c r="BE24" s="546">
        <v>20000000</v>
      </c>
      <c r="BF24" s="546">
        <v>0</v>
      </c>
      <c r="BG24" s="546">
        <v>0</v>
      </c>
      <c r="BH24" s="546">
        <v>0</v>
      </c>
      <c r="BI24" s="546">
        <v>0</v>
      </c>
      <c r="BJ24" s="546">
        <v>0</v>
      </c>
      <c r="BK24" s="723">
        <v>20000000</v>
      </c>
      <c r="BL24" s="722">
        <v>20000000</v>
      </c>
      <c r="BM24" s="722">
        <v>0</v>
      </c>
      <c r="BN24" s="722">
        <v>0</v>
      </c>
      <c r="BO24" s="722">
        <v>0</v>
      </c>
      <c r="BP24" s="722">
        <v>0</v>
      </c>
      <c r="BQ24" s="722">
        <v>0</v>
      </c>
      <c r="BR24" s="722">
        <v>0</v>
      </c>
      <c r="BS24" s="722">
        <v>0</v>
      </c>
      <c r="BT24" s="722">
        <v>0</v>
      </c>
      <c r="BU24" s="722">
        <v>0</v>
      </c>
      <c r="BV24" s="580">
        <f t="shared" si="14"/>
        <v>4.1250000000000002E-2</v>
      </c>
      <c r="BW24" s="588">
        <v>100</v>
      </c>
      <c r="BX24" s="623">
        <f t="shared" si="15"/>
        <v>0.25</v>
      </c>
      <c r="BY24" s="607">
        <v>100</v>
      </c>
      <c r="BZ24" s="629">
        <v>100</v>
      </c>
      <c r="CA24" s="1017">
        <v>100</v>
      </c>
      <c r="CB24" s="721">
        <f t="shared" si="16"/>
        <v>25</v>
      </c>
      <c r="CC24" s="721">
        <f t="shared" si="17"/>
        <v>100</v>
      </c>
      <c r="CD24" s="720">
        <f t="shared" si="18"/>
        <v>100</v>
      </c>
      <c r="CE24" s="618">
        <f t="shared" si="19"/>
        <v>4.1250000000000002E-2</v>
      </c>
      <c r="CF24" s="719">
        <f t="shared" si="20"/>
        <v>100</v>
      </c>
      <c r="CG24" s="618">
        <f t="shared" si="21"/>
        <v>4.1250000000000002E-2</v>
      </c>
      <c r="CH24" s="718">
        <f t="shared" si="22"/>
        <v>4.1250000000000002E-2</v>
      </c>
      <c r="CI24" s="552">
        <v>100</v>
      </c>
      <c r="CJ24" s="551">
        <f t="shared" si="23"/>
        <v>0.25</v>
      </c>
      <c r="CK24" s="874">
        <v>100</v>
      </c>
      <c r="CL24" s="533">
        <f t="shared" si="24"/>
        <v>0</v>
      </c>
      <c r="CM24" s="619">
        <f t="shared" si="25"/>
        <v>25</v>
      </c>
      <c r="CN24" s="619">
        <f t="shared" si="26"/>
        <v>100</v>
      </c>
      <c r="CO24" s="619">
        <f t="shared" si="27"/>
        <v>100</v>
      </c>
      <c r="CP24" s="619">
        <f t="shared" si="28"/>
        <v>4.1250000000000002E-2</v>
      </c>
      <c r="CQ24" s="619">
        <f t="shared" si="29"/>
        <v>4.1250000000000002E-2</v>
      </c>
      <c r="CR24" s="546">
        <v>0</v>
      </c>
      <c r="CS24" s="546">
        <v>0</v>
      </c>
      <c r="CT24" s="546">
        <v>0</v>
      </c>
      <c r="CU24" s="546">
        <v>0</v>
      </c>
      <c r="CV24" s="546">
        <v>0</v>
      </c>
      <c r="CW24" s="546">
        <v>0</v>
      </c>
      <c r="CX24" s="546">
        <v>0</v>
      </c>
      <c r="CY24" s="546">
        <v>0</v>
      </c>
      <c r="CZ24" s="618">
        <v>0</v>
      </c>
      <c r="DA24" s="618">
        <v>0</v>
      </c>
      <c r="DB24" s="618">
        <v>0</v>
      </c>
      <c r="DC24" s="618">
        <v>0</v>
      </c>
      <c r="DD24" s="618">
        <v>0</v>
      </c>
      <c r="DE24" s="618">
        <v>0</v>
      </c>
      <c r="DF24" s="618">
        <v>0</v>
      </c>
      <c r="DG24" s="618">
        <v>0</v>
      </c>
      <c r="DH24" s="618">
        <v>0</v>
      </c>
      <c r="DI24" s="618">
        <v>0</v>
      </c>
      <c r="DJ24" s="618">
        <v>0</v>
      </c>
      <c r="DK24" s="1034">
        <f t="shared" si="30"/>
        <v>76.25</v>
      </c>
      <c r="DL24" s="543">
        <f t="shared" si="31"/>
        <v>0.16500000000000001</v>
      </c>
      <c r="DM24" s="542">
        <f t="shared" si="32"/>
        <v>76.25</v>
      </c>
      <c r="DN24" s="594">
        <f t="shared" si="33"/>
        <v>76.25</v>
      </c>
      <c r="DO24" s="540">
        <f t="shared" si="34"/>
        <v>0.12581249999999999</v>
      </c>
      <c r="DP24" s="597">
        <f>+IF(M24="M",DO24,0)</f>
        <v>0.12581249999999999</v>
      </c>
      <c r="DQ24" s="538">
        <f t="shared" si="35"/>
        <v>0.12581249999999999</v>
      </c>
      <c r="DR24" s="617">
        <f t="shared" si="36"/>
        <v>1</v>
      </c>
      <c r="DS24" s="616">
        <f t="shared" si="37"/>
        <v>0</v>
      </c>
      <c r="DT24" s="259">
        <v>1</v>
      </c>
      <c r="DU24" s="260" t="s">
        <v>345</v>
      </c>
      <c r="DV24" s="259"/>
      <c r="DW24" s="260" t="s">
        <v>242</v>
      </c>
      <c r="DX24" s="259"/>
      <c r="DY24" s="259"/>
      <c r="DZ24" s="259"/>
      <c r="EA24" s="987"/>
      <c r="EB24" s="1040" t="s">
        <v>2373</v>
      </c>
      <c r="EC24" s="802">
        <v>0</v>
      </c>
      <c r="EE24" s="1047"/>
    </row>
    <row r="25" spans="4:135" s="534" customFormat="1" ht="76.5" hidden="1" x14ac:dyDescent="0.3">
      <c r="D25" s="783">
        <v>22</v>
      </c>
      <c r="E25" s="799">
        <v>41</v>
      </c>
      <c r="F25" s="787" t="s">
        <v>200</v>
      </c>
      <c r="G25" s="787" t="s">
        <v>10</v>
      </c>
      <c r="H25" s="788" t="s">
        <v>132</v>
      </c>
      <c r="I25" s="712" t="s">
        <v>330</v>
      </c>
      <c r="J25" s="573" t="s">
        <v>374</v>
      </c>
      <c r="K25" s="573" t="s">
        <v>375</v>
      </c>
      <c r="L25" s="702" t="s">
        <v>2079</v>
      </c>
      <c r="M25" s="570" t="s">
        <v>2017</v>
      </c>
      <c r="N25" s="570">
        <v>0</v>
      </c>
      <c r="O25" s="570">
        <f>+N25+P25</f>
        <v>64</v>
      </c>
      <c r="P25" s="569">
        <v>64</v>
      </c>
      <c r="Q25" s="595">
        <v>0.25</v>
      </c>
      <c r="R25" s="580">
        <f t="shared" si="0"/>
        <v>5.078125E-2</v>
      </c>
      <c r="S25" s="708">
        <v>13</v>
      </c>
      <c r="T25" s="625">
        <f t="shared" si="1"/>
        <v>0.203125</v>
      </c>
      <c r="U25" s="992">
        <v>13</v>
      </c>
      <c r="V25" s="626">
        <f t="shared" si="2"/>
        <v>13</v>
      </c>
      <c r="W25" s="594">
        <f t="shared" si="3"/>
        <v>100</v>
      </c>
      <c r="X25" s="594">
        <f t="shared" si="4"/>
        <v>100</v>
      </c>
      <c r="Y25" s="594">
        <f t="shared" si="40"/>
        <v>5.078125E-2</v>
      </c>
      <c r="Z25" s="594">
        <f t="shared" si="6"/>
        <v>100</v>
      </c>
      <c r="AA25" s="546">
        <v>837000000</v>
      </c>
      <c r="AB25" s="546">
        <v>180000000</v>
      </c>
      <c r="AC25" s="546">
        <v>657000000</v>
      </c>
      <c r="AD25" s="546">
        <v>0</v>
      </c>
      <c r="AE25" s="546">
        <v>0</v>
      </c>
      <c r="AF25" s="546">
        <v>0</v>
      </c>
      <c r="AG25" s="546">
        <v>0</v>
      </c>
      <c r="AH25" s="546">
        <v>0</v>
      </c>
      <c r="AI25" s="546">
        <v>611954000</v>
      </c>
      <c r="AJ25" s="546">
        <v>186634000</v>
      </c>
      <c r="AK25" s="546">
        <v>300620000</v>
      </c>
      <c r="AL25" s="546">
        <v>0</v>
      </c>
      <c r="AM25" s="546">
        <v>0</v>
      </c>
      <c r="AN25" s="546">
        <v>0</v>
      </c>
      <c r="AO25" s="546">
        <v>0</v>
      </c>
      <c r="AP25" s="546">
        <v>124700000</v>
      </c>
      <c r="AQ25" s="546">
        <v>0</v>
      </c>
      <c r="AR25" s="546">
        <v>0</v>
      </c>
      <c r="AS25" s="546" t="s">
        <v>2045</v>
      </c>
      <c r="AT25" s="570">
        <f t="shared" si="7"/>
        <v>5.078125E-2</v>
      </c>
      <c r="AU25" s="570">
        <v>13</v>
      </c>
      <c r="AV25" s="625">
        <f t="shared" si="8"/>
        <v>0.203125</v>
      </c>
      <c r="AW25" s="1003">
        <v>13</v>
      </c>
      <c r="AX25" s="724">
        <f t="shared" si="9"/>
        <v>13</v>
      </c>
      <c r="AY25" s="724">
        <f t="shared" si="10"/>
        <v>100</v>
      </c>
      <c r="AZ25" s="724">
        <f t="shared" si="11"/>
        <v>100</v>
      </c>
      <c r="BA25" s="594">
        <f t="shared" si="12"/>
        <v>5.078125E-2</v>
      </c>
      <c r="BB25" s="594">
        <f t="shared" si="13"/>
        <v>100</v>
      </c>
      <c r="BC25" s="546">
        <v>860000000</v>
      </c>
      <c r="BD25" s="546">
        <v>730000000</v>
      </c>
      <c r="BE25" s="546">
        <v>130000000</v>
      </c>
      <c r="BF25" s="546">
        <v>0</v>
      </c>
      <c r="BG25" s="546">
        <v>0</v>
      </c>
      <c r="BH25" s="546">
        <v>0</v>
      </c>
      <c r="BI25" s="546">
        <v>0</v>
      </c>
      <c r="BJ25" s="546">
        <v>0</v>
      </c>
      <c r="BK25" s="723">
        <v>700000000</v>
      </c>
      <c r="BL25" s="722">
        <v>300000000</v>
      </c>
      <c r="BM25" s="722">
        <v>400000000</v>
      </c>
      <c r="BN25" s="722">
        <v>0</v>
      </c>
      <c r="BO25" s="722">
        <v>0</v>
      </c>
      <c r="BP25" s="722">
        <v>0</v>
      </c>
      <c r="BQ25" s="722">
        <v>0</v>
      </c>
      <c r="BR25" s="722">
        <v>0</v>
      </c>
      <c r="BS25" s="722">
        <v>0</v>
      </c>
      <c r="BT25" s="722">
        <v>0</v>
      </c>
      <c r="BU25" s="722">
        <v>0</v>
      </c>
      <c r="BV25" s="580">
        <f t="shared" si="14"/>
        <v>7.421875E-2</v>
      </c>
      <c r="BW25" s="588">
        <v>19</v>
      </c>
      <c r="BX25" s="623">
        <f t="shared" si="15"/>
        <v>0.296875</v>
      </c>
      <c r="BY25" s="607">
        <v>63</v>
      </c>
      <c r="BZ25" s="629">
        <v>63</v>
      </c>
      <c r="CA25" s="1017">
        <v>19</v>
      </c>
      <c r="CB25" s="721">
        <f t="shared" si="16"/>
        <v>19</v>
      </c>
      <c r="CC25" s="721">
        <f t="shared" si="17"/>
        <v>100</v>
      </c>
      <c r="CD25" s="720">
        <f t="shared" si="18"/>
        <v>100</v>
      </c>
      <c r="CE25" s="618">
        <f t="shared" si="19"/>
        <v>7.421875E-2</v>
      </c>
      <c r="CF25" s="719">
        <f t="shared" si="20"/>
        <v>100</v>
      </c>
      <c r="CG25" s="618">
        <f t="shared" si="21"/>
        <v>7.421875E-2</v>
      </c>
      <c r="CH25" s="718">
        <f t="shared" si="22"/>
        <v>7.421875E-2</v>
      </c>
      <c r="CI25" s="552">
        <v>19</v>
      </c>
      <c r="CJ25" s="551">
        <f t="shared" si="23"/>
        <v>0.296875</v>
      </c>
      <c r="CK25" s="874">
        <v>3</v>
      </c>
      <c r="CL25" s="533">
        <f t="shared" si="24"/>
        <v>16</v>
      </c>
      <c r="CM25" s="619">
        <f t="shared" si="25"/>
        <v>3</v>
      </c>
      <c r="CN25" s="619">
        <f t="shared" si="26"/>
        <v>15.789473684210526</v>
      </c>
      <c r="CO25" s="549">
        <f t="shared" si="27"/>
        <v>15.789473684210526</v>
      </c>
      <c r="CP25" s="619">
        <f t="shared" si="28"/>
        <v>1.171875E-2</v>
      </c>
      <c r="CQ25" s="619">
        <f t="shared" si="29"/>
        <v>1.171875E-2</v>
      </c>
      <c r="CR25" s="546">
        <v>1030000000</v>
      </c>
      <c r="CS25" s="546">
        <v>300000000</v>
      </c>
      <c r="CT25" s="546">
        <v>730000000</v>
      </c>
      <c r="CU25" s="546">
        <v>0</v>
      </c>
      <c r="CV25" s="546">
        <v>0</v>
      </c>
      <c r="CW25" s="546">
        <v>0</v>
      </c>
      <c r="CX25" s="546">
        <v>0</v>
      </c>
      <c r="CY25" s="546">
        <v>0</v>
      </c>
      <c r="CZ25" s="618">
        <v>0</v>
      </c>
      <c r="DA25" s="618">
        <v>0</v>
      </c>
      <c r="DB25" s="618">
        <v>0</v>
      </c>
      <c r="DC25" s="618">
        <v>0</v>
      </c>
      <c r="DD25" s="618">
        <v>0</v>
      </c>
      <c r="DE25" s="618">
        <v>0</v>
      </c>
      <c r="DF25" s="618">
        <v>0</v>
      </c>
      <c r="DG25" s="618">
        <v>0</v>
      </c>
      <c r="DH25" s="618">
        <v>0</v>
      </c>
      <c r="DI25" s="618">
        <v>0</v>
      </c>
      <c r="DJ25" s="618">
        <v>0</v>
      </c>
      <c r="DK25" s="1034">
        <f t="shared" si="30"/>
        <v>48</v>
      </c>
      <c r="DL25" s="543">
        <f t="shared" si="31"/>
        <v>0.25</v>
      </c>
      <c r="DM25" s="542">
        <f t="shared" si="32"/>
        <v>75</v>
      </c>
      <c r="DN25" s="594">
        <f t="shared" si="33"/>
        <v>75</v>
      </c>
      <c r="DO25" s="540">
        <f t="shared" si="34"/>
        <v>0.1875</v>
      </c>
      <c r="DP25" s="597">
        <f>+IF(((DN25*Q25)/100)&lt;Q25, ((DN25*Q25)/100),Q25)</f>
        <v>0.1875</v>
      </c>
      <c r="DQ25" s="538">
        <f t="shared" si="35"/>
        <v>0.1875</v>
      </c>
      <c r="DR25" s="617">
        <f t="shared" si="36"/>
        <v>1</v>
      </c>
      <c r="DS25" s="616">
        <f t="shared" si="37"/>
        <v>0</v>
      </c>
      <c r="DT25" s="259">
        <v>39</v>
      </c>
      <c r="DU25" s="260" t="s">
        <v>376</v>
      </c>
      <c r="DV25" s="259"/>
      <c r="DW25" s="260" t="s">
        <v>242</v>
      </c>
      <c r="DX25" s="259"/>
      <c r="DY25" s="259"/>
      <c r="DZ25" s="259"/>
      <c r="EA25" s="987"/>
      <c r="EB25" s="1040" t="s">
        <v>2374</v>
      </c>
      <c r="EC25" s="802">
        <v>1030000000</v>
      </c>
      <c r="EE25" s="1047"/>
    </row>
    <row r="26" spans="4:135" s="534" customFormat="1" ht="102" hidden="1" x14ac:dyDescent="0.3">
      <c r="D26" s="783">
        <v>23</v>
      </c>
      <c r="E26" s="799">
        <v>42</v>
      </c>
      <c r="F26" s="787" t="s">
        <v>200</v>
      </c>
      <c r="G26" s="787" t="s">
        <v>10</v>
      </c>
      <c r="H26" s="788" t="s">
        <v>132</v>
      </c>
      <c r="I26" s="712" t="s">
        <v>330</v>
      </c>
      <c r="J26" s="573" t="s">
        <v>377</v>
      </c>
      <c r="K26" s="573" t="s">
        <v>378</v>
      </c>
      <c r="L26" s="702" t="s">
        <v>2040</v>
      </c>
      <c r="M26" s="570" t="s">
        <v>2017</v>
      </c>
      <c r="N26" s="570">
        <v>0</v>
      </c>
      <c r="O26" s="570">
        <f>+N26+P26</f>
        <v>116</v>
      </c>
      <c r="P26" s="569">
        <v>116</v>
      </c>
      <c r="Q26" s="595">
        <v>0.25</v>
      </c>
      <c r="R26" s="580">
        <f t="shared" si="0"/>
        <v>4.3103448275862072E-2</v>
      </c>
      <c r="S26" s="708">
        <v>20</v>
      </c>
      <c r="T26" s="625">
        <f t="shared" si="1"/>
        <v>0.17241379310344829</v>
      </c>
      <c r="U26" s="992">
        <v>57</v>
      </c>
      <c r="V26" s="626">
        <f t="shared" si="2"/>
        <v>57</v>
      </c>
      <c r="W26" s="594">
        <f t="shared" si="3"/>
        <v>285</v>
      </c>
      <c r="X26" s="594">
        <f t="shared" si="4"/>
        <v>100</v>
      </c>
      <c r="Y26" s="594">
        <f t="shared" si="40"/>
        <v>4.3103448275862072E-2</v>
      </c>
      <c r="Z26" s="594">
        <f t="shared" si="6"/>
        <v>100</v>
      </c>
      <c r="AA26" s="546">
        <v>833000000</v>
      </c>
      <c r="AB26" s="546">
        <v>401000000</v>
      </c>
      <c r="AC26" s="546">
        <v>432000000</v>
      </c>
      <c r="AD26" s="546">
        <v>0</v>
      </c>
      <c r="AE26" s="546">
        <v>0</v>
      </c>
      <c r="AF26" s="546">
        <v>0</v>
      </c>
      <c r="AG26" s="546">
        <v>0</v>
      </c>
      <c r="AH26" s="546">
        <v>0</v>
      </c>
      <c r="AI26" s="546">
        <v>133486000</v>
      </c>
      <c r="AJ26" s="546">
        <v>0</v>
      </c>
      <c r="AK26" s="546">
        <v>8786000</v>
      </c>
      <c r="AL26" s="546">
        <v>0</v>
      </c>
      <c r="AM26" s="546">
        <v>0</v>
      </c>
      <c r="AN26" s="546">
        <v>0</v>
      </c>
      <c r="AO26" s="546">
        <v>0</v>
      </c>
      <c r="AP26" s="546">
        <v>124700000</v>
      </c>
      <c r="AQ26" s="546">
        <v>0</v>
      </c>
      <c r="AR26" s="546">
        <v>0</v>
      </c>
      <c r="AS26" s="546" t="s">
        <v>2045</v>
      </c>
      <c r="AT26" s="570">
        <f t="shared" si="7"/>
        <v>6.25E-2</v>
      </c>
      <c r="AU26" s="570">
        <v>29</v>
      </c>
      <c r="AV26" s="625">
        <f t="shared" si="8"/>
        <v>0.25</v>
      </c>
      <c r="AW26" s="1003">
        <v>36</v>
      </c>
      <c r="AX26" s="724">
        <f t="shared" si="9"/>
        <v>36</v>
      </c>
      <c r="AY26" s="724">
        <f t="shared" si="10"/>
        <v>124.13793103448276</v>
      </c>
      <c r="AZ26" s="724">
        <f t="shared" si="11"/>
        <v>100</v>
      </c>
      <c r="BA26" s="594">
        <f t="shared" si="12"/>
        <v>6.25E-2</v>
      </c>
      <c r="BB26" s="594">
        <f t="shared" si="13"/>
        <v>100</v>
      </c>
      <c r="BC26" s="546">
        <v>770000000</v>
      </c>
      <c r="BD26" s="546">
        <v>480000000</v>
      </c>
      <c r="BE26" s="546">
        <v>290000000</v>
      </c>
      <c r="BF26" s="546">
        <v>0</v>
      </c>
      <c r="BG26" s="546">
        <v>0</v>
      </c>
      <c r="BH26" s="546">
        <v>0</v>
      </c>
      <c r="BI26" s="546">
        <v>0</v>
      </c>
      <c r="BJ26" s="546">
        <v>0</v>
      </c>
      <c r="BK26" s="723">
        <v>1128093979</v>
      </c>
      <c r="BL26" s="722">
        <v>624028648</v>
      </c>
      <c r="BM26" s="722">
        <v>504065331</v>
      </c>
      <c r="BN26" s="722">
        <v>0</v>
      </c>
      <c r="BO26" s="722">
        <v>0</v>
      </c>
      <c r="BP26" s="722">
        <v>0</v>
      </c>
      <c r="BQ26" s="722">
        <v>0</v>
      </c>
      <c r="BR26" s="722">
        <v>0</v>
      </c>
      <c r="BS26" s="722">
        <v>0</v>
      </c>
      <c r="BT26" s="722">
        <v>0</v>
      </c>
      <c r="BU26" s="722">
        <v>0</v>
      </c>
      <c r="BV26" s="580">
        <f t="shared" si="14"/>
        <v>7.7586206896551727E-2</v>
      </c>
      <c r="BW26" s="588">
        <v>36</v>
      </c>
      <c r="BX26" s="623">
        <f t="shared" si="15"/>
        <v>0.31034482758620691</v>
      </c>
      <c r="BY26" s="607">
        <v>27</v>
      </c>
      <c r="BZ26" s="629">
        <v>27</v>
      </c>
      <c r="CA26" s="1017">
        <v>36</v>
      </c>
      <c r="CB26" s="721">
        <f t="shared" si="16"/>
        <v>36</v>
      </c>
      <c r="CC26" s="721">
        <f t="shared" si="17"/>
        <v>100</v>
      </c>
      <c r="CD26" s="720">
        <f t="shared" si="18"/>
        <v>100</v>
      </c>
      <c r="CE26" s="618">
        <f t="shared" si="19"/>
        <v>7.7586206896551727E-2</v>
      </c>
      <c r="CF26" s="719">
        <f t="shared" si="20"/>
        <v>100</v>
      </c>
      <c r="CG26" s="618">
        <f t="shared" si="21"/>
        <v>7.7586206896551727E-2</v>
      </c>
      <c r="CH26" s="718">
        <f t="shared" si="22"/>
        <v>6.6810344827586202E-2</v>
      </c>
      <c r="CI26" s="552">
        <v>31</v>
      </c>
      <c r="CJ26" s="551">
        <f t="shared" si="23"/>
        <v>0.26724137931034481</v>
      </c>
      <c r="CK26" s="874">
        <v>14</v>
      </c>
      <c r="CL26" s="533">
        <f t="shared" si="24"/>
        <v>17</v>
      </c>
      <c r="CM26" s="619">
        <f t="shared" si="25"/>
        <v>14</v>
      </c>
      <c r="CN26" s="619">
        <f t="shared" si="26"/>
        <v>45.161290322580648</v>
      </c>
      <c r="CO26" s="549">
        <f t="shared" si="27"/>
        <v>45.161290322580648</v>
      </c>
      <c r="CP26" s="619">
        <f t="shared" si="28"/>
        <v>3.0172413793103446E-2</v>
      </c>
      <c r="CQ26" s="619">
        <f t="shared" si="29"/>
        <v>3.0172413793103446E-2</v>
      </c>
      <c r="CR26" s="546">
        <v>1149000000</v>
      </c>
      <c r="CS26" s="546">
        <v>669000000</v>
      </c>
      <c r="CT26" s="546">
        <v>480000000</v>
      </c>
      <c r="CU26" s="546">
        <v>0</v>
      </c>
      <c r="CV26" s="546">
        <v>0</v>
      </c>
      <c r="CW26" s="546">
        <v>0</v>
      </c>
      <c r="CX26" s="546">
        <v>0</v>
      </c>
      <c r="CY26" s="546">
        <v>0</v>
      </c>
      <c r="CZ26" s="618">
        <v>0</v>
      </c>
      <c r="DA26" s="618">
        <v>0</v>
      </c>
      <c r="DB26" s="618">
        <v>0</v>
      </c>
      <c r="DC26" s="618">
        <v>0</v>
      </c>
      <c r="DD26" s="618">
        <v>0</v>
      </c>
      <c r="DE26" s="618">
        <v>0</v>
      </c>
      <c r="DF26" s="618">
        <v>0</v>
      </c>
      <c r="DG26" s="618">
        <v>0</v>
      </c>
      <c r="DH26" s="618">
        <v>0</v>
      </c>
      <c r="DI26" s="618">
        <v>0</v>
      </c>
      <c r="DJ26" s="618">
        <v>0</v>
      </c>
      <c r="DK26" s="1034">
        <f t="shared" si="30"/>
        <v>143</v>
      </c>
      <c r="DL26" s="543">
        <f t="shared" si="31"/>
        <v>0.25</v>
      </c>
      <c r="DM26" s="542">
        <f t="shared" si="32"/>
        <v>123.27586206896552</v>
      </c>
      <c r="DN26" s="594">
        <f t="shared" si="33"/>
        <v>100</v>
      </c>
      <c r="DO26" s="540">
        <f t="shared" si="34"/>
        <v>0.25</v>
      </c>
      <c r="DP26" s="597">
        <f>+IF(((DN26*Q26)/100)&lt;Q26, ((DN26*Q26)/100),Q26)</f>
        <v>0.25</v>
      </c>
      <c r="DQ26" s="538">
        <f t="shared" si="35"/>
        <v>0.25</v>
      </c>
      <c r="DR26" s="617">
        <f t="shared" si="36"/>
        <v>1</v>
      </c>
      <c r="DS26" s="616">
        <f t="shared" si="37"/>
        <v>0</v>
      </c>
      <c r="DT26" s="259">
        <v>39</v>
      </c>
      <c r="DU26" s="260" t="s">
        <v>376</v>
      </c>
      <c r="DV26" s="259"/>
      <c r="DW26" s="260" t="s">
        <v>242</v>
      </c>
      <c r="DX26" s="259"/>
      <c r="DY26" s="259"/>
      <c r="DZ26" s="259"/>
      <c r="EA26" s="987"/>
      <c r="EB26" s="1040" t="s">
        <v>2375</v>
      </c>
      <c r="EC26" s="802">
        <v>1149000000</v>
      </c>
      <c r="EE26" s="1047"/>
    </row>
    <row r="27" spans="4:135" s="534" customFormat="1" ht="108" hidden="1" x14ac:dyDescent="0.3">
      <c r="D27" s="783">
        <v>24</v>
      </c>
      <c r="E27" s="799">
        <v>43</v>
      </c>
      <c r="F27" s="787" t="s">
        <v>200</v>
      </c>
      <c r="G27" s="787" t="s">
        <v>8</v>
      </c>
      <c r="H27" s="788" t="s">
        <v>132</v>
      </c>
      <c r="I27" s="712" t="s">
        <v>330</v>
      </c>
      <c r="J27" s="573" t="s">
        <v>379</v>
      </c>
      <c r="K27" s="573" t="s">
        <v>380</v>
      </c>
      <c r="L27" s="702" t="s">
        <v>2244</v>
      </c>
      <c r="M27" s="570" t="s">
        <v>2017</v>
      </c>
      <c r="N27" s="570">
        <v>9181</v>
      </c>
      <c r="O27" s="570">
        <f>+N27+P27</f>
        <v>50055</v>
      </c>
      <c r="P27" s="569">
        <v>40874</v>
      </c>
      <c r="Q27" s="595">
        <v>0.16500000000000001</v>
      </c>
      <c r="R27" s="580">
        <f t="shared" si="0"/>
        <v>0</v>
      </c>
      <c r="S27" s="708">
        <v>0</v>
      </c>
      <c r="T27" s="625">
        <f t="shared" si="1"/>
        <v>0</v>
      </c>
      <c r="U27" s="992">
        <v>0</v>
      </c>
      <c r="V27" s="626">
        <f t="shared" si="2"/>
        <v>0</v>
      </c>
      <c r="W27" s="594">
        <f t="shared" si="3"/>
        <v>0</v>
      </c>
      <c r="X27" s="594">
        <f t="shared" si="4"/>
        <v>0</v>
      </c>
      <c r="Y27" s="594">
        <f t="shared" si="40"/>
        <v>0</v>
      </c>
      <c r="Z27" s="594">
        <f t="shared" si="6"/>
        <v>0</v>
      </c>
      <c r="AA27" s="546">
        <v>628000000</v>
      </c>
      <c r="AB27" s="546">
        <v>628000000</v>
      </c>
      <c r="AC27" s="546">
        <v>0</v>
      </c>
      <c r="AD27" s="546">
        <v>0</v>
      </c>
      <c r="AE27" s="546">
        <v>0</v>
      </c>
      <c r="AF27" s="546">
        <v>0</v>
      </c>
      <c r="AG27" s="546">
        <v>0</v>
      </c>
      <c r="AH27" s="546">
        <v>0</v>
      </c>
      <c r="AI27" s="546">
        <v>433625000</v>
      </c>
      <c r="AJ27" s="546">
        <v>299916000</v>
      </c>
      <c r="AK27" s="546">
        <v>133709000</v>
      </c>
      <c r="AL27" s="546">
        <v>0</v>
      </c>
      <c r="AM27" s="546">
        <v>0</v>
      </c>
      <c r="AN27" s="546">
        <v>0</v>
      </c>
      <c r="AO27" s="546">
        <v>0</v>
      </c>
      <c r="AP27" s="546">
        <v>0</v>
      </c>
      <c r="AQ27" s="546">
        <v>0</v>
      </c>
      <c r="AR27" s="546">
        <v>0</v>
      </c>
      <c r="AS27" s="546" t="s">
        <v>2045</v>
      </c>
      <c r="AT27" s="570">
        <f t="shared" si="7"/>
        <v>5.1707320056759799E-2</v>
      </c>
      <c r="AU27" s="570">
        <v>12809</v>
      </c>
      <c r="AV27" s="625">
        <f t="shared" si="8"/>
        <v>0.31337769731369575</v>
      </c>
      <c r="AW27" s="1003">
        <v>12809</v>
      </c>
      <c r="AX27" s="724">
        <f t="shared" si="9"/>
        <v>12809</v>
      </c>
      <c r="AY27" s="724">
        <f t="shared" si="10"/>
        <v>100</v>
      </c>
      <c r="AZ27" s="724">
        <f t="shared" si="11"/>
        <v>100</v>
      </c>
      <c r="BA27" s="594">
        <f t="shared" si="12"/>
        <v>5.1707320056759799E-2</v>
      </c>
      <c r="BB27" s="594">
        <f t="shared" si="13"/>
        <v>100</v>
      </c>
      <c r="BC27" s="546">
        <v>454000000</v>
      </c>
      <c r="BD27" s="546">
        <v>0</v>
      </c>
      <c r="BE27" s="546">
        <v>454000000</v>
      </c>
      <c r="BF27" s="546">
        <v>0</v>
      </c>
      <c r="BG27" s="546">
        <v>0</v>
      </c>
      <c r="BH27" s="546">
        <v>0</v>
      </c>
      <c r="BI27" s="546">
        <v>0</v>
      </c>
      <c r="BJ27" s="546">
        <v>0</v>
      </c>
      <c r="BK27" s="723">
        <v>3009889561</v>
      </c>
      <c r="BL27" s="722">
        <v>939535135</v>
      </c>
      <c r="BM27" s="722">
        <v>2070354426</v>
      </c>
      <c r="BN27" s="722">
        <v>0</v>
      </c>
      <c r="BO27" s="722">
        <v>0</v>
      </c>
      <c r="BP27" s="722">
        <v>0</v>
      </c>
      <c r="BQ27" s="722">
        <v>0</v>
      </c>
      <c r="BR27" s="722">
        <v>0</v>
      </c>
      <c r="BS27" s="722">
        <v>0</v>
      </c>
      <c r="BT27" s="722">
        <v>0</v>
      </c>
      <c r="BU27" s="722">
        <v>0</v>
      </c>
      <c r="BV27" s="580">
        <f t="shared" si="14"/>
        <v>9.5450041591231591E-2</v>
      </c>
      <c r="BW27" s="588">
        <v>23645</v>
      </c>
      <c r="BX27" s="623">
        <f t="shared" si="15"/>
        <v>0.57848510055291869</v>
      </c>
      <c r="BY27" s="607">
        <v>10162</v>
      </c>
      <c r="BZ27" s="629">
        <v>10162</v>
      </c>
      <c r="CA27" s="1017">
        <v>25576</v>
      </c>
      <c r="CB27" s="721">
        <f t="shared" si="16"/>
        <v>25576</v>
      </c>
      <c r="CC27" s="721">
        <f t="shared" si="17"/>
        <v>108.16663142313385</v>
      </c>
      <c r="CD27" s="720">
        <f t="shared" si="18"/>
        <v>100</v>
      </c>
      <c r="CE27" s="618">
        <f t="shared" si="19"/>
        <v>9.5450041591231591E-2</v>
      </c>
      <c r="CF27" s="719">
        <f t="shared" si="20"/>
        <v>100</v>
      </c>
      <c r="CG27" s="618">
        <f t="shared" si="21"/>
        <v>0.10324509468121544</v>
      </c>
      <c r="CH27" s="718">
        <f t="shared" si="22"/>
        <v>1.7842638352008614E-2</v>
      </c>
      <c r="CI27" s="552">
        <v>4420</v>
      </c>
      <c r="CJ27" s="551">
        <f t="shared" si="23"/>
        <v>0.10813720213338553</v>
      </c>
      <c r="CK27" s="871">
        <v>0</v>
      </c>
      <c r="CL27" s="533">
        <f t="shared" si="24"/>
        <v>4420</v>
      </c>
      <c r="CM27" s="619">
        <f t="shared" si="25"/>
        <v>0</v>
      </c>
      <c r="CN27" s="619">
        <f t="shared" si="26"/>
        <v>0</v>
      </c>
      <c r="CO27" s="549">
        <f t="shared" si="27"/>
        <v>0</v>
      </c>
      <c r="CP27" s="619">
        <f t="shared" si="28"/>
        <v>0</v>
      </c>
      <c r="CQ27" s="619">
        <f t="shared" si="29"/>
        <v>0</v>
      </c>
      <c r="CR27" s="546">
        <v>1047000000</v>
      </c>
      <c r="CS27" s="546">
        <v>1047000000</v>
      </c>
      <c r="CT27" s="546">
        <v>0</v>
      </c>
      <c r="CU27" s="546">
        <v>0</v>
      </c>
      <c r="CV27" s="546">
        <v>0</v>
      </c>
      <c r="CW27" s="546">
        <v>0</v>
      </c>
      <c r="CX27" s="546">
        <v>0</v>
      </c>
      <c r="CY27" s="546">
        <v>0</v>
      </c>
      <c r="CZ27" s="618">
        <v>0</v>
      </c>
      <c r="DA27" s="618">
        <v>0</v>
      </c>
      <c r="DB27" s="618">
        <v>0</v>
      </c>
      <c r="DC27" s="618">
        <v>0</v>
      </c>
      <c r="DD27" s="618">
        <v>0</v>
      </c>
      <c r="DE27" s="618">
        <v>0</v>
      </c>
      <c r="DF27" s="618">
        <v>0</v>
      </c>
      <c r="DG27" s="618">
        <v>0</v>
      </c>
      <c r="DH27" s="618">
        <v>0</v>
      </c>
      <c r="DI27" s="618">
        <v>0</v>
      </c>
      <c r="DJ27" s="618">
        <v>0</v>
      </c>
      <c r="DK27" s="1034">
        <f t="shared" si="30"/>
        <v>38385</v>
      </c>
      <c r="DL27" s="543">
        <f t="shared" si="31"/>
        <v>0.16500000000000001</v>
      </c>
      <c r="DM27" s="542">
        <f t="shared" si="32"/>
        <v>93.910554386651654</v>
      </c>
      <c r="DN27" s="594">
        <f t="shared" si="33"/>
        <v>93.910554386651654</v>
      </c>
      <c r="DO27" s="540">
        <f t="shared" si="34"/>
        <v>0.15495241473797525</v>
      </c>
      <c r="DP27" s="597">
        <f>+IF(((DN27*Q27)/100)&lt;Q27, ((DN27*Q27)/100),Q27)</f>
        <v>0.15495241473797525</v>
      </c>
      <c r="DQ27" s="538">
        <f t="shared" si="35"/>
        <v>0.15495241473797525</v>
      </c>
      <c r="DR27" s="617">
        <f t="shared" si="36"/>
        <v>1</v>
      </c>
      <c r="DS27" s="616">
        <f t="shared" si="37"/>
        <v>0</v>
      </c>
      <c r="DT27" s="259">
        <v>35</v>
      </c>
      <c r="DU27" s="260" t="s">
        <v>295</v>
      </c>
      <c r="DV27" s="259">
        <v>36</v>
      </c>
      <c r="DW27" s="260" t="s">
        <v>294</v>
      </c>
      <c r="DX27" s="259">
        <v>37</v>
      </c>
      <c r="DY27" s="259"/>
      <c r="DZ27" s="259"/>
      <c r="EA27" s="987"/>
      <c r="EB27" s="1040" t="s">
        <v>2376</v>
      </c>
      <c r="EC27" s="802">
        <v>1047000000</v>
      </c>
      <c r="EE27" s="1047"/>
    </row>
    <row r="28" spans="4:135" s="534" customFormat="1" ht="63.75" hidden="1" x14ac:dyDescent="0.3">
      <c r="D28" s="783">
        <v>25</v>
      </c>
      <c r="E28" s="799">
        <v>44</v>
      </c>
      <c r="F28" s="787" t="s">
        <v>200</v>
      </c>
      <c r="G28" s="787" t="s">
        <v>9</v>
      </c>
      <c r="H28" s="788" t="s">
        <v>132</v>
      </c>
      <c r="I28" s="712" t="s">
        <v>330</v>
      </c>
      <c r="J28" s="573" t="s">
        <v>381</v>
      </c>
      <c r="K28" s="573" t="s">
        <v>382</v>
      </c>
      <c r="L28" s="702" t="s">
        <v>1593</v>
      </c>
      <c r="M28" s="570" t="s">
        <v>2032</v>
      </c>
      <c r="N28" s="570">
        <v>0</v>
      </c>
      <c r="O28" s="570">
        <f>+P28</f>
        <v>116</v>
      </c>
      <c r="P28" s="569">
        <v>116</v>
      </c>
      <c r="Q28" s="595">
        <v>0.16500000000000001</v>
      </c>
      <c r="R28" s="580">
        <f t="shared" si="0"/>
        <v>4.1250000000000002E-2</v>
      </c>
      <c r="S28" s="708">
        <v>116</v>
      </c>
      <c r="T28" s="625">
        <f t="shared" si="1"/>
        <v>0.25</v>
      </c>
      <c r="U28" s="992">
        <v>0</v>
      </c>
      <c r="V28" s="626">
        <f t="shared" si="2"/>
        <v>0</v>
      </c>
      <c r="W28" s="594">
        <f t="shared" si="3"/>
        <v>0</v>
      </c>
      <c r="X28" s="594">
        <f t="shared" si="4"/>
        <v>0</v>
      </c>
      <c r="Y28" s="594">
        <f t="shared" si="40"/>
        <v>0</v>
      </c>
      <c r="Z28" s="594">
        <f t="shared" si="6"/>
        <v>0</v>
      </c>
      <c r="AA28" s="546">
        <v>0</v>
      </c>
      <c r="AB28" s="546">
        <v>0</v>
      </c>
      <c r="AC28" s="546">
        <v>0</v>
      </c>
      <c r="AD28" s="546">
        <v>0</v>
      </c>
      <c r="AE28" s="546">
        <v>0</v>
      </c>
      <c r="AF28" s="546">
        <v>0</v>
      </c>
      <c r="AG28" s="546">
        <v>0</v>
      </c>
      <c r="AH28" s="546">
        <v>0</v>
      </c>
      <c r="AI28" s="546">
        <v>0</v>
      </c>
      <c r="AJ28" s="546">
        <v>0</v>
      </c>
      <c r="AK28" s="546">
        <v>0</v>
      </c>
      <c r="AL28" s="546">
        <v>0</v>
      </c>
      <c r="AM28" s="546">
        <v>0</v>
      </c>
      <c r="AN28" s="546">
        <v>0</v>
      </c>
      <c r="AO28" s="546">
        <v>0</v>
      </c>
      <c r="AP28" s="546">
        <v>0</v>
      </c>
      <c r="AQ28" s="546">
        <v>0</v>
      </c>
      <c r="AR28" s="546">
        <v>0</v>
      </c>
      <c r="AS28" s="546" t="s">
        <v>2045</v>
      </c>
      <c r="AT28" s="570">
        <f t="shared" si="7"/>
        <v>4.1250000000000002E-2</v>
      </c>
      <c r="AU28" s="570">
        <v>116</v>
      </c>
      <c r="AV28" s="625">
        <f t="shared" si="8"/>
        <v>0.25</v>
      </c>
      <c r="AW28" s="1003">
        <v>80</v>
      </c>
      <c r="AX28" s="724">
        <f t="shared" si="9"/>
        <v>20</v>
      </c>
      <c r="AY28" s="724">
        <f t="shared" si="10"/>
        <v>68.965517241379317</v>
      </c>
      <c r="AZ28" s="724">
        <f t="shared" si="11"/>
        <v>68.965517241379317</v>
      </c>
      <c r="BA28" s="594">
        <f t="shared" si="12"/>
        <v>2.8448275862068967E-2</v>
      </c>
      <c r="BB28" s="594">
        <f t="shared" si="13"/>
        <v>68.965517241379317</v>
      </c>
      <c r="BC28" s="546">
        <v>30000000</v>
      </c>
      <c r="BD28" s="546">
        <v>0</v>
      </c>
      <c r="BE28" s="546">
        <v>30000000</v>
      </c>
      <c r="BF28" s="546">
        <v>0</v>
      </c>
      <c r="BG28" s="546">
        <v>0</v>
      </c>
      <c r="BH28" s="546">
        <v>0</v>
      </c>
      <c r="BI28" s="546">
        <v>0</v>
      </c>
      <c r="BJ28" s="546">
        <v>0</v>
      </c>
      <c r="BK28" s="723">
        <v>0</v>
      </c>
      <c r="BL28" s="722">
        <v>0</v>
      </c>
      <c r="BM28" s="722">
        <v>0</v>
      </c>
      <c r="BN28" s="722">
        <v>0</v>
      </c>
      <c r="BO28" s="722">
        <v>0</v>
      </c>
      <c r="BP28" s="722">
        <v>0</v>
      </c>
      <c r="BQ28" s="722">
        <v>0</v>
      </c>
      <c r="BR28" s="722">
        <v>0</v>
      </c>
      <c r="BS28" s="722">
        <v>0</v>
      </c>
      <c r="BT28" s="722">
        <v>0</v>
      </c>
      <c r="BU28" s="722">
        <v>0</v>
      </c>
      <c r="BV28" s="580">
        <f t="shared" si="14"/>
        <v>4.1250000000000002E-2</v>
      </c>
      <c r="BW28" s="588">
        <v>116</v>
      </c>
      <c r="BX28" s="623">
        <f t="shared" si="15"/>
        <v>0.25</v>
      </c>
      <c r="BY28" s="607">
        <v>116</v>
      </c>
      <c r="BZ28" s="629">
        <v>116</v>
      </c>
      <c r="CA28" s="1017">
        <v>116</v>
      </c>
      <c r="CB28" s="721">
        <f t="shared" si="16"/>
        <v>29</v>
      </c>
      <c r="CC28" s="721">
        <f t="shared" si="17"/>
        <v>100</v>
      </c>
      <c r="CD28" s="720">
        <f t="shared" si="18"/>
        <v>100</v>
      </c>
      <c r="CE28" s="618">
        <f t="shared" si="19"/>
        <v>4.1250000000000002E-2</v>
      </c>
      <c r="CF28" s="719">
        <f t="shared" si="20"/>
        <v>100</v>
      </c>
      <c r="CG28" s="618">
        <f t="shared" si="21"/>
        <v>4.1250000000000002E-2</v>
      </c>
      <c r="CH28" s="718">
        <f t="shared" si="22"/>
        <v>4.1250000000000002E-2</v>
      </c>
      <c r="CI28" s="552">
        <v>0</v>
      </c>
      <c r="CJ28" s="551">
        <f t="shared" si="23"/>
        <v>0.25</v>
      </c>
      <c r="CK28" s="871">
        <v>0</v>
      </c>
      <c r="CL28" s="533">
        <f t="shared" si="24"/>
        <v>0</v>
      </c>
      <c r="CM28" s="619">
        <f t="shared" si="25"/>
        <v>0</v>
      </c>
      <c r="CN28" s="619">
        <f t="shared" si="26"/>
        <v>0</v>
      </c>
      <c r="CO28" s="619">
        <f t="shared" si="27"/>
        <v>0</v>
      </c>
      <c r="CP28" s="619">
        <f t="shared" si="28"/>
        <v>0</v>
      </c>
      <c r="CQ28" s="619">
        <f t="shared" si="29"/>
        <v>0</v>
      </c>
      <c r="CR28" s="546">
        <v>0</v>
      </c>
      <c r="CS28" s="546">
        <v>0</v>
      </c>
      <c r="CT28" s="546">
        <v>0</v>
      </c>
      <c r="CU28" s="546">
        <v>0</v>
      </c>
      <c r="CV28" s="546">
        <v>0</v>
      </c>
      <c r="CW28" s="546">
        <v>0</v>
      </c>
      <c r="CX28" s="546">
        <v>0</v>
      </c>
      <c r="CY28" s="546">
        <v>0</v>
      </c>
      <c r="CZ28" s="618">
        <v>0</v>
      </c>
      <c r="DA28" s="618">
        <v>0</v>
      </c>
      <c r="DB28" s="618">
        <v>0</v>
      </c>
      <c r="DC28" s="618">
        <v>0</v>
      </c>
      <c r="DD28" s="618">
        <v>0</v>
      </c>
      <c r="DE28" s="618">
        <v>0</v>
      </c>
      <c r="DF28" s="618">
        <v>0</v>
      </c>
      <c r="DG28" s="618">
        <v>0</v>
      </c>
      <c r="DH28" s="618">
        <v>0</v>
      </c>
      <c r="DI28" s="618">
        <v>0</v>
      </c>
      <c r="DJ28" s="618">
        <v>0</v>
      </c>
      <c r="DK28" s="1034">
        <f t="shared" si="30"/>
        <v>49</v>
      </c>
      <c r="DL28" s="543">
        <f t="shared" si="31"/>
        <v>0.16500000000000001</v>
      </c>
      <c r="DM28" s="542">
        <f t="shared" si="32"/>
        <v>42.241379310344826</v>
      </c>
      <c r="DN28" s="594">
        <f t="shared" si="33"/>
        <v>42.241379310344826</v>
      </c>
      <c r="DO28" s="540">
        <f t="shared" si="34"/>
        <v>6.9698275862068962E-2</v>
      </c>
      <c r="DP28" s="597">
        <f>+IF(M28="M",DO28,0)</f>
        <v>6.9698275862068962E-2</v>
      </c>
      <c r="DQ28" s="538">
        <f t="shared" si="35"/>
        <v>6.9698275862068962E-2</v>
      </c>
      <c r="DR28" s="617">
        <f t="shared" si="36"/>
        <v>1</v>
      </c>
      <c r="DS28" s="616">
        <f t="shared" si="37"/>
        <v>0</v>
      </c>
      <c r="DT28" s="259">
        <v>33</v>
      </c>
      <c r="DU28" s="260" t="s">
        <v>297</v>
      </c>
      <c r="DV28" s="259"/>
      <c r="DW28" s="260" t="s">
        <v>242</v>
      </c>
      <c r="DX28" s="259"/>
      <c r="DY28" s="259"/>
      <c r="DZ28" s="259"/>
      <c r="EA28" s="987"/>
      <c r="EB28" s="1040" t="s">
        <v>2377</v>
      </c>
      <c r="EC28" s="802">
        <v>0</v>
      </c>
      <c r="EE28" s="1047"/>
    </row>
    <row r="29" spans="4:135" s="534" customFormat="1" ht="60" hidden="1" x14ac:dyDescent="0.3">
      <c r="D29" s="783">
        <v>26</v>
      </c>
      <c r="E29" s="799">
        <v>45</v>
      </c>
      <c r="F29" s="787" t="s">
        <v>200</v>
      </c>
      <c r="G29" s="787" t="s">
        <v>8</v>
      </c>
      <c r="H29" s="788" t="s">
        <v>132</v>
      </c>
      <c r="I29" s="712" t="s">
        <v>346</v>
      </c>
      <c r="J29" s="573" t="s">
        <v>383</v>
      </c>
      <c r="K29" s="573" t="s">
        <v>384</v>
      </c>
      <c r="L29" s="702" t="s">
        <v>1593</v>
      </c>
      <c r="M29" s="570" t="s">
        <v>2017</v>
      </c>
      <c r="N29" s="570">
        <v>0</v>
      </c>
      <c r="O29" s="570">
        <f t="shared" ref="O29:O34" si="41">+N29+P29</f>
        <v>35</v>
      </c>
      <c r="P29" s="569">
        <v>35</v>
      </c>
      <c r="Q29" s="595">
        <v>0.16500000000000001</v>
      </c>
      <c r="R29" s="580">
        <f t="shared" si="0"/>
        <v>1.8857142857142857E-2</v>
      </c>
      <c r="S29" s="708">
        <v>4</v>
      </c>
      <c r="T29" s="625">
        <f t="shared" si="1"/>
        <v>0.11428571428571428</v>
      </c>
      <c r="U29" s="992">
        <v>4</v>
      </c>
      <c r="V29" s="626">
        <f t="shared" si="2"/>
        <v>4</v>
      </c>
      <c r="W29" s="594">
        <f t="shared" si="3"/>
        <v>100</v>
      </c>
      <c r="X29" s="594">
        <f t="shared" si="4"/>
        <v>100</v>
      </c>
      <c r="Y29" s="594">
        <f t="shared" si="40"/>
        <v>1.8857142857142857E-2</v>
      </c>
      <c r="Z29" s="594">
        <f t="shared" si="6"/>
        <v>100</v>
      </c>
      <c r="AA29" s="546">
        <v>41000000</v>
      </c>
      <c r="AB29" s="546">
        <v>41000000</v>
      </c>
      <c r="AC29" s="546">
        <v>0</v>
      </c>
      <c r="AD29" s="546">
        <v>0</v>
      </c>
      <c r="AE29" s="546">
        <v>0</v>
      </c>
      <c r="AF29" s="546">
        <v>0</v>
      </c>
      <c r="AG29" s="546">
        <v>0</v>
      </c>
      <c r="AH29" s="546">
        <v>0</v>
      </c>
      <c r="AI29" s="546">
        <v>0</v>
      </c>
      <c r="AJ29" s="546">
        <v>0</v>
      </c>
      <c r="AK29" s="546">
        <v>0</v>
      </c>
      <c r="AL29" s="546">
        <v>0</v>
      </c>
      <c r="AM29" s="546">
        <v>0</v>
      </c>
      <c r="AN29" s="546">
        <v>0</v>
      </c>
      <c r="AO29" s="546">
        <v>0</v>
      </c>
      <c r="AP29" s="546">
        <v>0</v>
      </c>
      <c r="AQ29" s="546">
        <v>0</v>
      </c>
      <c r="AR29" s="546">
        <v>0</v>
      </c>
      <c r="AS29" s="546" t="s">
        <v>2045</v>
      </c>
      <c r="AT29" s="570">
        <f t="shared" si="7"/>
        <v>5.6571428571428578E-2</v>
      </c>
      <c r="AU29" s="570">
        <v>12</v>
      </c>
      <c r="AV29" s="625">
        <f t="shared" si="8"/>
        <v>0.34285714285714286</v>
      </c>
      <c r="AW29" s="1003">
        <v>12</v>
      </c>
      <c r="AX29" s="724">
        <f t="shared" si="9"/>
        <v>12</v>
      </c>
      <c r="AY29" s="724">
        <f t="shared" si="10"/>
        <v>100</v>
      </c>
      <c r="AZ29" s="724">
        <f t="shared" si="11"/>
        <v>100</v>
      </c>
      <c r="BA29" s="594">
        <f t="shared" si="12"/>
        <v>5.6571428571428578E-2</v>
      </c>
      <c r="BB29" s="594">
        <f t="shared" si="13"/>
        <v>100</v>
      </c>
      <c r="BC29" s="546">
        <v>29000000</v>
      </c>
      <c r="BD29" s="546">
        <v>0</v>
      </c>
      <c r="BE29" s="546">
        <v>29000000</v>
      </c>
      <c r="BF29" s="546">
        <v>0</v>
      </c>
      <c r="BG29" s="546">
        <v>0</v>
      </c>
      <c r="BH29" s="546">
        <v>0</v>
      </c>
      <c r="BI29" s="546">
        <v>0</v>
      </c>
      <c r="BJ29" s="546">
        <v>0</v>
      </c>
      <c r="BK29" s="723">
        <v>29000000</v>
      </c>
      <c r="BL29" s="722">
        <v>29000000</v>
      </c>
      <c r="BM29" s="722">
        <v>0</v>
      </c>
      <c r="BN29" s="722">
        <v>0</v>
      </c>
      <c r="BO29" s="722">
        <v>0</v>
      </c>
      <c r="BP29" s="722">
        <v>0</v>
      </c>
      <c r="BQ29" s="722">
        <v>0</v>
      </c>
      <c r="BR29" s="722">
        <v>0</v>
      </c>
      <c r="BS29" s="722">
        <v>0</v>
      </c>
      <c r="BT29" s="722">
        <v>0</v>
      </c>
      <c r="BU29" s="722">
        <v>0</v>
      </c>
      <c r="BV29" s="580">
        <f t="shared" si="14"/>
        <v>5.1857142857142859E-2</v>
      </c>
      <c r="BW29" s="588">
        <v>11</v>
      </c>
      <c r="BX29" s="623">
        <f t="shared" si="15"/>
        <v>0.31428571428571428</v>
      </c>
      <c r="BY29" s="607">
        <v>0</v>
      </c>
      <c r="BZ29" s="629">
        <v>21</v>
      </c>
      <c r="CA29" s="1017">
        <v>19</v>
      </c>
      <c r="CB29" s="721">
        <f t="shared" si="16"/>
        <v>19</v>
      </c>
      <c r="CC29" s="721">
        <f t="shared" si="17"/>
        <v>172.72727272727272</v>
      </c>
      <c r="CD29" s="720">
        <f t="shared" si="18"/>
        <v>100</v>
      </c>
      <c r="CE29" s="618">
        <f t="shared" si="19"/>
        <v>5.1857142857142859E-2</v>
      </c>
      <c r="CF29" s="719">
        <f t="shared" si="20"/>
        <v>100</v>
      </c>
      <c r="CG29" s="618">
        <f t="shared" si="21"/>
        <v>8.957142857142858E-2</v>
      </c>
      <c r="CH29" s="718">
        <f t="shared" si="22"/>
        <v>3.7714285714285714E-2</v>
      </c>
      <c r="CI29" s="552">
        <v>8</v>
      </c>
      <c r="CJ29" s="551">
        <f t="shared" si="23"/>
        <v>0.22857142857142856</v>
      </c>
      <c r="CK29" s="874">
        <v>0</v>
      </c>
      <c r="CL29" s="533">
        <f t="shared" si="24"/>
        <v>8</v>
      </c>
      <c r="CM29" s="619">
        <f t="shared" si="25"/>
        <v>0</v>
      </c>
      <c r="CN29" s="619">
        <f t="shared" si="26"/>
        <v>0</v>
      </c>
      <c r="CO29" s="549">
        <f t="shared" si="27"/>
        <v>0</v>
      </c>
      <c r="CP29" s="619">
        <f t="shared" si="28"/>
        <v>0</v>
      </c>
      <c r="CQ29" s="619">
        <f t="shared" si="29"/>
        <v>0</v>
      </c>
      <c r="CR29" s="546">
        <v>68000000</v>
      </c>
      <c r="CS29" s="546">
        <v>68000000</v>
      </c>
      <c r="CT29" s="546">
        <v>0</v>
      </c>
      <c r="CU29" s="546">
        <v>0</v>
      </c>
      <c r="CV29" s="546">
        <v>0</v>
      </c>
      <c r="CW29" s="546">
        <v>0</v>
      </c>
      <c r="CX29" s="546">
        <v>0</v>
      </c>
      <c r="CY29" s="546">
        <v>0</v>
      </c>
      <c r="CZ29" s="618">
        <v>0</v>
      </c>
      <c r="DA29" s="618">
        <v>0</v>
      </c>
      <c r="DB29" s="618">
        <v>0</v>
      </c>
      <c r="DC29" s="618">
        <v>0</v>
      </c>
      <c r="DD29" s="618">
        <v>0</v>
      </c>
      <c r="DE29" s="618">
        <v>0</v>
      </c>
      <c r="DF29" s="618">
        <v>0</v>
      </c>
      <c r="DG29" s="618">
        <v>0</v>
      </c>
      <c r="DH29" s="618">
        <v>0</v>
      </c>
      <c r="DI29" s="618">
        <v>0</v>
      </c>
      <c r="DJ29" s="618">
        <v>0</v>
      </c>
      <c r="DK29" s="1034">
        <f t="shared" si="30"/>
        <v>35</v>
      </c>
      <c r="DL29" s="543">
        <f t="shared" si="31"/>
        <v>0.16499999999999998</v>
      </c>
      <c r="DM29" s="542">
        <f t="shared" si="32"/>
        <v>100</v>
      </c>
      <c r="DN29" s="594">
        <f t="shared" si="33"/>
        <v>100</v>
      </c>
      <c r="DO29" s="540">
        <f t="shared" si="34"/>
        <v>0.16500000000000001</v>
      </c>
      <c r="DP29" s="597">
        <f t="shared" ref="DP29:DP34" si="42">+IF(((DN29*Q29)/100)&lt;Q29, ((DN29*Q29)/100),Q29)</f>
        <v>0.16500000000000001</v>
      </c>
      <c r="DQ29" s="538">
        <f t="shared" si="35"/>
        <v>0.16500000000000001</v>
      </c>
      <c r="DR29" s="617">
        <f t="shared" si="36"/>
        <v>0.99999999999999989</v>
      </c>
      <c r="DS29" s="616">
        <f t="shared" si="37"/>
        <v>0</v>
      </c>
      <c r="DT29" s="259">
        <v>36</v>
      </c>
      <c r="DU29" s="260" t="s">
        <v>294</v>
      </c>
      <c r="DV29" s="259">
        <v>37</v>
      </c>
      <c r="DW29" s="260" t="s">
        <v>293</v>
      </c>
      <c r="DX29" s="259">
        <v>38</v>
      </c>
      <c r="DY29" s="259">
        <v>77</v>
      </c>
      <c r="DZ29" s="259"/>
      <c r="EA29" s="987"/>
      <c r="EB29" s="1040" t="s">
        <v>2378</v>
      </c>
      <c r="EC29" s="802">
        <v>68000000</v>
      </c>
      <c r="EE29" s="1047"/>
    </row>
    <row r="30" spans="4:135" s="534" customFormat="1" ht="108" hidden="1" x14ac:dyDescent="0.3">
      <c r="D30" s="783">
        <v>27</v>
      </c>
      <c r="E30" s="799">
        <v>46</v>
      </c>
      <c r="F30" s="787" t="s">
        <v>200</v>
      </c>
      <c r="G30" s="787" t="s">
        <v>8</v>
      </c>
      <c r="H30" s="788" t="s">
        <v>132</v>
      </c>
      <c r="I30" s="712" t="s">
        <v>346</v>
      </c>
      <c r="J30" s="573" t="s">
        <v>385</v>
      </c>
      <c r="K30" s="573" t="s">
        <v>386</v>
      </c>
      <c r="L30" s="702" t="s">
        <v>2244</v>
      </c>
      <c r="M30" s="570" t="s">
        <v>2017</v>
      </c>
      <c r="N30" s="570">
        <v>36362</v>
      </c>
      <c r="O30" s="570">
        <f t="shared" si="41"/>
        <v>70922</v>
      </c>
      <c r="P30" s="569">
        <v>34560</v>
      </c>
      <c r="Q30" s="595">
        <v>0.25</v>
      </c>
      <c r="R30" s="580">
        <f t="shared" si="0"/>
        <v>6.1487268518518517E-2</v>
      </c>
      <c r="S30" s="708">
        <v>8500</v>
      </c>
      <c r="T30" s="625">
        <f t="shared" si="1"/>
        <v>0.24594907407407407</v>
      </c>
      <c r="U30" s="992">
        <v>10113</v>
      </c>
      <c r="V30" s="626">
        <f t="shared" si="2"/>
        <v>10113</v>
      </c>
      <c r="W30" s="594">
        <f t="shared" si="3"/>
        <v>118.97647058823529</v>
      </c>
      <c r="X30" s="594">
        <f t="shared" si="4"/>
        <v>100</v>
      </c>
      <c r="Y30" s="594">
        <f t="shared" si="40"/>
        <v>6.1487268518518517E-2</v>
      </c>
      <c r="Z30" s="594">
        <f t="shared" si="6"/>
        <v>100</v>
      </c>
      <c r="AA30" s="546">
        <v>4631000000</v>
      </c>
      <c r="AB30" s="546">
        <v>1800000000</v>
      </c>
      <c r="AC30" s="546">
        <v>0</v>
      </c>
      <c r="AD30" s="546">
        <v>0</v>
      </c>
      <c r="AE30" s="546">
        <v>0</v>
      </c>
      <c r="AF30" s="546">
        <v>0</v>
      </c>
      <c r="AG30" s="546">
        <v>0</v>
      </c>
      <c r="AH30" s="546">
        <v>2831000000</v>
      </c>
      <c r="AI30" s="546">
        <v>800000000</v>
      </c>
      <c r="AJ30" s="546">
        <v>800000000</v>
      </c>
      <c r="AK30" s="546">
        <v>0</v>
      </c>
      <c r="AL30" s="546">
        <v>0</v>
      </c>
      <c r="AM30" s="546">
        <v>0</v>
      </c>
      <c r="AN30" s="546">
        <v>0</v>
      </c>
      <c r="AO30" s="546">
        <v>0</v>
      </c>
      <c r="AP30" s="546">
        <v>0</v>
      </c>
      <c r="AQ30" s="546">
        <v>0</v>
      </c>
      <c r="AR30" s="546">
        <v>0</v>
      </c>
      <c r="AS30" s="546" t="s">
        <v>2045</v>
      </c>
      <c r="AT30" s="570">
        <f t="shared" si="7"/>
        <v>6.2282986111111112E-2</v>
      </c>
      <c r="AU30" s="570">
        <v>8610</v>
      </c>
      <c r="AV30" s="625">
        <f t="shared" si="8"/>
        <v>0.24913194444444445</v>
      </c>
      <c r="AW30" s="1003">
        <v>13605</v>
      </c>
      <c r="AX30" s="724">
        <f t="shared" si="9"/>
        <v>13605</v>
      </c>
      <c r="AY30" s="724">
        <f t="shared" si="10"/>
        <v>158.01393728222996</v>
      </c>
      <c r="AZ30" s="724">
        <f t="shared" si="11"/>
        <v>100</v>
      </c>
      <c r="BA30" s="594">
        <f t="shared" si="12"/>
        <v>6.2282986111111119E-2</v>
      </c>
      <c r="BB30" s="594">
        <f t="shared" si="13"/>
        <v>100</v>
      </c>
      <c r="BC30" s="546">
        <v>4131000000</v>
      </c>
      <c r="BD30" s="546">
        <v>0</v>
      </c>
      <c r="BE30" s="546">
        <v>1300000000</v>
      </c>
      <c r="BF30" s="546">
        <v>0</v>
      </c>
      <c r="BG30" s="546">
        <v>0</v>
      </c>
      <c r="BH30" s="546">
        <v>0</v>
      </c>
      <c r="BI30" s="546">
        <v>0</v>
      </c>
      <c r="BJ30" s="546">
        <v>2831000000</v>
      </c>
      <c r="BK30" s="723">
        <v>4301381744</v>
      </c>
      <c r="BL30" s="722">
        <v>2249956920</v>
      </c>
      <c r="BM30" s="722">
        <v>0</v>
      </c>
      <c r="BN30" s="722">
        <v>0</v>
      </c>
      <c r="BO30" s="722">
        <v>0</v>
      </c>
      <c r="BP30" s="722">
        <v>2051424824</v>
      </c>
      <c r="BQ30" s="722">
        <v>0</v>
      </c>
      <c r="BR30" s="722">
        <v>0</v>
      </c>
      <c r="BS30" s="722">
        <v>0</v>
      </c>
      <c r="BT30" s="722">
        <v>0</v>
      </c>
      <c r="BU30" s="722">
        <v>0</v>
      </c>
      <c r="BV30" s="580">
        <f t="shared" si="14"/>
        <v>6.2934027777777776E-2</v>
      </c>
      <c r="BW30" s="588">
        <v>8700</v>
      </c>
      <c r="BX30" s="623">
        <f t="shared" si="15"/>
        <v>0.2517361111111111</v>
      </c>
      <c r="BY30" s="607">
        <v>10724</v>
      </c>
      <c r="BZ30" s="629">
        <v>10724</v>
      </c>
      <c r="CA30" s="1017">
        <v>10724</v>
      </c>
      <c r="CB30" s="721">
        <f t="shared" si="16"/>
        <v>10724</v>
      </c>
      <c r="CC30" s="721">
        <f t="shared" si="17"/>
        <v>123.26436781609195</v>
      </c>
      <c r="CD30" s="720">
        <f t="shared" si="18"/>
        <v>100</v>
      </c>
      <c r="CE30" s="618">
        <f t="shared" si="19"/>
        <v>6.2934027777777776E-2</v>
      </c>
      <c r="CF30" s="719">
        <f t="shared" si="20"/>
        <v>100</v>
      </c>
      <c r="CG30" s="618">
        <f t="shared" si="21"/>
        <v>7.7575231481481474E-2</v>
      </c>
      <c r="CH30" s="718">
        <f t="shared" si="22"/>
        <v>6.3295717592592587E-2</v>
      </c>
      <c r="CI30" s="552">
        <v>8750</v>
      </c>
      <c r="CJ30" s="551">
        <f t="shared" si="23"/>
        <v>0.25318287037037035</v>
      </c>
      <c r="CK30" s="874">
        <v>0</v>
      </c>
      <c r="CL30" s="533">
        <f t="shared" si="24"/>
        <v>8750</v>
      </c>
      <c r="CM30" s="619">
        <f t="shared" si="25"/>
        <v>0</v>
      </c>
      <c r="CN30" s="619">
        <f t="shared" si="26"/>
        <v>0</v>
      </c>
      <c r="CO30" s="549">
        <f t="shared" si="27"/>
        <v>0</v>
      </c>
      <c r="CP30" s="619">
        <f t="shared" si="28"/>
        <v>0</v>
      </c>
      <c r="CQ30" s="619">
        <f t="shared" si="29"/>
        <v>0</v>
      </c>
      <c r="CR30" s="546">
        <v>5831000000</v>
      </c>
      <c r="CS30" s="546">
        <v>3000000000</v>
      </c>
      <c r="CT30" s="546">
        <v>0</v>
      </c>
      <c r="CU30" s="546">
        <v>0</v>
      </c>
      <c r="CV30" s="546">
        <v>0</v>
      </c>
      <c r="CW30" s="546">
        <v>0</v>
      </c>
      <c r="CX30" s="546">
        <v>0</v>
      </c>
      <c r="CY30" s="546">
        <v>2831000000</v>
      </c>
      <c r="CZ30" s="618">
        <v>0</v>
      </c>
      <c r="DA30" s="618">
        <v>0</v>
      </c>
      <c r="DB30" s="618">
        <v>0</v>
      </c>
      <c r="DC30" s="618">
        <v>0</v>
      </c>
      <c r="DD30" s="618">
        <v>0</v>
      </c>
      <c r="DE30" s="618">
        <v>0</v>
      </c>
      <c r="DF30" s="618">
        <v>0</v>
      </c>
      <c r="DG30" s="618">
        <v>0</v>
      </c>
      <c r="DH30" s="618">
        <v>0</v>
      </c>
      <c r="DI30" s="618">
        <v>0</v>
      </c>
      <c r="DJ30" s="618">
        <v>0</v>
      </c>
      <c r="DK30" s="1034">
        <f t="shared" si="30"/>
        <v>34442</v>
      </c>
      <c r="DL30" s="543">
        <f t="shared" si="31"/>
        <v>0.24999999999999997</v>
      </c>
      <c r="DM30" s="542">
        <f t="shared" si="32"/>
        <v>99.65856481481481</v>
      </c>
      <c r="DN30" s="594">
        <f t="shared" si="33"/>
        <v>99.65856481481481</v>
      </c>
      <c r="DO30" s="540">
        <f t="shared" si="34"/>
        <v>0.24914641203703702</v>
      </c>
      <c r="DP30" s="597">
        <f t="shared" si="42"/>
        <v>0.24914641203703702</v>
      </c>
      <c r="DQ30" s="538">
        <f t="shared" si="35"/>
        <v>0.24914641203703702</v>
      </c>
      <c r="DR30" s="617">
        <f t="shared" si="36"/>
        <v>0.99999999999999989</v>
      </c>
      <c r="DS30" s="616">
        <f t="shared" si="37"/>
        <v>0</v>
      </c>
      <c r="DT30" s="259">
        <v>35</v>
      </c>
      <c r="DU30" s="260" t="s">
        <v>295</v>
      </c>
      <c r="DV30" s="259">
        <v>36</v>
      </c>
      <c r="DW30" s="260" t="s">
        <v>294</v>
      </c>
      <c r="DX30" s="259">
        <v>37</v>
      </c>
      <c r="DY30" s="259"/>
      <c r="DZ30" s="259"/>
      <c r="EA30" s="987"/>
      <c r="EB30" s="1040" t="s">
        <v>2379</v>
      </c>
      <c r="EC30" s="802">
        <v>5831000000</v>
      </c>
      <c r="EE30" s="1047"/>
    </row>
    <row r="31" spans="4:135" s="534" customFormat="1" ht="132" hidden="1" x14ac:dyDescent="0.3">
      <c r="D31" s="783">
        <v>28</v>
      </c>
      <c r="E31" s="799">
        <v>47</v>
      </c>
      <c r="F31" s="787" t="s">
        <v>200</v>
      </c>
      <c r="G31" s="739" t="s">
        <v>8</v>
      </c>
      <c r="H31" s="788" t="s">
        <v>132</v>
      </c>
      <c r="I31" s="712" t="s">
        <v>346</v>
      </c>
      <c r="J31" s="573" t="s">
        <v>387</v>
      </c>
      <c r="K31" s="573" t="s">
        <v>388</v>
      </c>
      <c r="L31" s="701" t="s">
        <v>2276</v>
      </c>
      <c r="M31" s="570" t="s">
        <v>2017</v>
      </c>
      <c r="N31" s="570">
        <v>64</v>
      </c>
      <c r="O31" s="570">
        <f t="shared" si="41"/>
        <v>134</v>
      </c>
      <c r="P31" s="569">
        <v>70</v>
      </c>
      <c r="Q31" s="595">
        <v>0.25</v>
      </c>
      <c r="R31" s="580">
        <f t="shared" si="0"/>
        <v>8.9285714285714288E-2</v>
      </c>
      <c r="S31" s="708">
        <v>25</v>
      </c>
      <c r="T31" s="625">
        <f t="shared" si="1"/>
        <v>0.35714285714285715</v>
      </c>
      <c r="U31" s="992">
        <v>25</v>
      </c>
      <c r="V31" s="626">
        <f t="shared" si="2"/>
        <v>25</v>
      </c>
      <c r="W31" s="594">
        <f t="shared" si="3"/>
        <v>100</v>
      </c>
      <c r="X31" s="594">
        <f t="shared" si="4"/>
        <v>100</v>
      </c>
      <c r="Y31" s="594">
        <f t="shared" si="40"/>
        <v>8.9285714285714288E-2</v>
      </c>
      <c r="Z31" s="594">
        <f t="shared" si="6"/>
        <v>100</v>
      </c>
      <c r="AA31" s="546">
        <v>624000000</v>
      </c>
      <c r="AB31" s="546">
        <v>624000000</v>
      </c>
      <c r="AC31" s="546">
        <v>0</v>
      </c>
      <c r="AD31" s="546">
        <v>0</v>
      </c>
      <c r="AE31" s="546">
        <v>0</v>
      </c>
      <c r="AF31" s="546">
        <v>0</v>
      </c>
      <c r="AG31" s="546">
        <v>0</v>
      </c>
      <c r="AH31" s="546">
        <v>0</v>
      </c>
      <c r="AI31" s="546">
        <v>89999000</v>
      </c>
      <c r="AJ31" s="546">
        <v>89999000</v>
      </c>
      <c r="AK31" s="546">
        <v>0</v>
      </c>
      <c r="AL31" s="546">
        <v>0</v>
      </c>
      <c r="AM31" s="546">
        <v>0</v>
      </c>
      <c r="AN31" s="546">
        <v>0</v>
      </c>
      <c r="AO31" s="546">
        <v>0</v>
      </c>
      <c r="AP31" s="546">
        <v>0</v>
      </c>
      <c r="AQ31" s="546">
        <v>0</v>
      </c>
      <c r="AR31" s="546">
        <v>0</v>
      </c>
      <c r="AS31" s="546" t="s">
        <v>2045</v>
      </c>
      <c r="AT31" s="570">
        <f t="shared" si="7"/>
        <v>0.10357142857142858</v>
      </c>
      <c r="AU31" s="570">
        <v>29</v>
      </c>
      <c r="AV31" s="625">
        <f t="shared" si="8"/>
        <v>0.41428571428571431</v>
      </c>
      <c r="AW31" s="1003">
        <v>29</v>
      </c>
      <c r="AX31" s="724">
        <f t="shared" si="9"/>
        <v>29</v>
      </c>
      <c r="AY31" s="724">
        <f t="shared" si="10"/>
        <v>100</v>
      </c>
      <c r="AZ31" s="724">
        <f t="shared" si="11"/>
        <v>100</v>
      </c>
      <c r="BA31" s="594">
        <f t="shared" si="12"/>
        <v>0.10357142857142858</v>
      </c>
      <c r="BB31" s="594">
        <f t="shared" si="13"/>
        <v>100</v>
      </c>
      <c r="BC31" s="546">
        <v>450000000</v>
      </c>
      <c r="BD31" s="546">
        <v>0</v>
      </c>
      <c r="BE31" s="546">
        <v>450000000</v>
      </c>
      <c r="BF31" s="546">
        <v>0</v>
      </c>
      <c r="BG31" s="546">
        <v>0</v>
      </c>
      <c r="BH31" s="546">
        <v>0</v>
      </c>
      <c r="BI31" s="546">
        <v>0</v>
      </c>
      <c r="BJ31" s="546">
        <v>0</v>
      </c>
      <c r="BK31" s="723">
        <v>550000000</v>
      </c>
      <c r="BL31" s="722">
        <v>550000000</v>
      </c>
      <c r="BM31" s="722">
        <v>0</v>
      </c>
      <c r="BN31" s="722">
        <v>0</v>
      </c>
      <c r="BO31" s="722">
        <v>0</v>
      </c>
      <c r="BP31" s="722">
        <v>0</v>
      </c>
      <c r="BQ31" s="722">
        <v>0</v>
      </c>
      <c r="BR31" s="722">
        <v>0</v>
      </c>
      <c r="BS31" s="722">
        <v>0</v>
      </c>
      <c r="BT31" s="722">
        <v>672000000</v>
      </c>
      <c r="BU31" s="722" t="s">
        <v>2275</v>
      </c>
      <c r="BV31" s="580">
        <f t="shared" si="14"/>
        <v>2.8571428571428571E-2</v>
      </c>
      <c r="BW31" s="588">
        <v>8</v>
      </c>
      <c r="BX31" s="623">
        <f t="shared" si="15"/>
        <v>0.11428571428571428</v>
      </c>
      <c r="BY31" s="607">
        <v>0</v>
      </c>
      <c r="BZ31" s="629">
        <v>0</v>
      </c>
      <c r="CA31" s="1017">
        <v>32.990001678466797</v>
      </c>
      <c r="CB31" s="721">
        <f t="shared" si="16"/>
        <v>32.990001678466797</v>
      </c>
      <c r="CC31" s="721">
        <f t="shared" si="17"/>
        <v>412.37502098083496</v>
      </c>
      <c r="CD31" s="720">
        <f t="shared" si="18"/>
        <v>100</v>
      </c>
      <c r="CE31" s="618">
        <f t="shared" si="19"/>
        <v>2.8571428571428571E-2</v>
      </c>
      <c r="CF31" s="719">
        <f t="shared" si="20"/>
        <v>100</v>
      </c>
      <c r="CG31" s="618">
        <f t="shared" si="21"/>
        <v>0.11782143456595284</v>
      </c>
      <c r="CH31" s="718">
        <f t="shared" si="22"/>
        <v>2.8571428571428571E-2</v>
      </c>
      <c r="CI31" s="658">
        <v>8</v>
      </c>
      <c r="CJ31" s="551">
        <f t="shared" si="23"/>
        <v>0.11428571428571428</v>
      </c>
      <c r="CK31" s="874">
        <v>0</v>
      </c>
      <c r="CL31" s="533">
        <f t="shared" si="24"/>
        <v>8</v>
      </c>
      <c r="CM31" s="619">
        <f t="shared" si="25"/>
        <v>0</v>
      </c>
      <c r="CN31" s="619">
        <f t="shared" si="26"/>
        <v>0</v>
      </c>
      <c r="CO31" s="549">
        <f t="shared" si="27"/>
        <v>0</v>
      </c>
      <c r="CP31" s="619">
        <f t="shared" si="28"/>
        <v>0</v>
      </c>
      <c r="CQ31" s="619">
        <f t="shared" si="29"/>
        <v>0</v>
      </c>
      <c r="CR31" s="546">
        <v>1039000000</v>
      </c>
      <c r="CS31" s="546">
        <v>1039000000</v>
      </c>
      <c r="CT31" s="546">
        <v>0</v>
      </c>
      <c r="CU31" s="546">
        <v>0</v>
      </c>
      <c r="CV31" s="546">
        <v>0</v>
      </c>
      <c r="CW31" s="546">
        <v>0</v>
      </c>
      <c r="CX31" s="546">
        <v>0</v>
      </c>
      <c r="CY31" s="546">
        <v>0</v>
      </c>
      <c r="CZ31" s="618">
        <v>0</v>
      </c>
      <c r="DA31" s="618">
        <v>0</v>
      </c>
      <c r="DB31" s="618">
        <v>0</v>
      </c>
      <c r="DC31" s="618">
        <v>0</v>
      </c>
      <c r="DD31" s="618">
        <v>0</v>
      </c>
      <c r="DE31" s="618">
        <v>0</v>
      </c>
      <c r="DF31" s="618">
        <v>0</v>
      </c>
      <c r="DG31" s="618">
        <v>0</v>
      </c>
      <c r="DH31" s="618">
        <v>0</v>
      </c>
      <c r="DI31" s="618">
        <v>0</v>
      </c>
      <c r="DJ31" s="618">
        <v>0</v>
      </c>
      <c r="DK31" s="1034">
        <f t="shared" si="30"/>
        <v>86.990001678466797</v>
      </c>
      <c r="DL31" s="543">
        <f t="shared" si="31"/>
        <v>0.25</v>
      </c>
      <c r="DM31" s="542">
        <f t="shared" si="32"/>
        <v>124.27143096923828</v>
      </c>
      <c r="DN31" s="594">
        <f t="shared" si="33"/>
        <v>100</v>
      </c>
      <c r="DO31" s="540">
        <f t="shared" si="34"/>
        <v>0.25</v>
      </c>
      <c r="DP31" s="597">
        <f t="shared" si="42"/>
        <v>0.25</v>
      </c>
      <c r="DQ31" s="538">
        <f t="shared" si="35"/>
        <v>0.25</v>
      </c>
      <c r="DR31" s="617">
        <f t="shared" si="36"/>
        <v>1</v>
      </c>
      <c r="DS31" s="616">
        <f t="shared" si="37"/>
        <v>0</v>
      </c>
      <c r="DT31" s="259">
        <v>38</v>
      </c>
      <c r="DU31" s="260" t="s">
        <v>389</v>
      </c>
      <c r="DV31" s="259">
        <v>75</v>
      </c>
      <c r="DW31" s="260" t="s">
        <v>390</v>
      </c>
      <c r="DX31" s="259">
        <v>76</v>
      </c>
      <c r="DY31" s="259">
        <v>77</v>
      </c>
      <c r="DZ31" s="259"/>
      <c r="EA31" s="987"/>
      <c r="EB31" s="1040" t="s">
        <v>2380</v>
      </c>
      <c r="EC31" s="802">
        <v>1039000000</v>
      </c>
      <c r="EE31" s="1047"/>
    </row>
    <row r="32" spans="4:135" s="534" customFormat="1" ht="63.75" hidden="1" x14ac:dyDescent="0.3">
      <c r="D32" s="783">
        <v>29</v>
      </c>
      <c r="E32" s="799">
        <v>48</v>
      </c>
      <c r="F32" s="787" t="s">
        <v>200</v>
      </c>
      <c r="G32" s="787" t="s">
        <v>8</v>
      </c>
      <c r="H32" s="788" t="s">
        <v>132</v>
      </c>
      <c r="I32" s="712" t="s">
        <v>346</v>
      </c>
      <c r="J32" s="573" t="s">
        <v>391</v>
      </c>
      <c r="K32" s="573" t="s">
        <v>392</v>
      </c>
      <c r="L32" s="702" t="s">
        <v>2268</v>
      </c>
      <c r="M32" s="570" t="s">
        <v>2017</v>
      </c>
      <c r="N32" s="570">
        <v>0</v>
      </c>
      <c r="O32" s="570">
        <f t="shared" si="41"/>
        <v>200</v>
      </c>
      <c r="P32" s="569">
        <v>200</v>
      </c>
      <c r="Q32" s="595">
        <v>0.16500000000000001</v>
      </c>
      <c r="R32" s="580">
        <f t="shared" si="0"/>
        <v>0</v>
      </c>
      <c r="S32" s="708">
        <v>0</v>
      </c>
      <c r="T32" s="625">
        <f t="shared" si="1"/>
        <v>0</v>
      </c>
      <c r="U32" s="992">
        <v>0</v>
      </c>
      <c r="V32" s="626">
        <f t="shared" si="2"/>
        <v>0</v>
      </c>
      <c r="W32" s="594">
        <f t="shared" si="3"/>
        <v>0</v>
      </c>
      <c r="X32" s="594">
        <f t="shared" si="4"/>
        <v>0</v>
      </c>
      <c r="Y32" s="594">
        <f t="shared" si="40"/>
        <v>0</v>
      </c>
      <c r="Z32" s="594">
        <f t="shared" si="6"/>
        <v>0</v>
      </c>
      <c r="AA32" s="546">
        <v>0</v>
      </c>
      <c r="AB32" s="546">
        <v>0</v>
      </c>
      <c r="AC32" s="546">
        <v>0</v>
      </c>
      <c r="AD32" s="546">
        <v>0</v>
      </c>
      <c r="AE32" s="546">
        <v>0</v>
      </c>
      <c r="AF32" s="546">
        <v>0</v>
      </c>
      <c r="AG32" s="546">
        <v>0</v>
      </c>
      <c r="AH32" s="546">
        <v>0</v>
      </c>
      <c r="AI32" s="546">
        <v>0</v>
      </c>
      <c r="AJ32" s="546">
        <v>0</v>
      </c>
      <c r="AK32" s="546">
        <v>0</v>
      </c>
      <c r="AL32" s="546">
        <v>0</v>
      </c>
      <c r="AM32" s="546">
        <v>0</v>
      </c>
      <c r="AN32" s="546">
        <v>0</v>
      </c>
      <c r="AO32" s="546">
        <v>0</v>
      </c>
      <c r="AP32" s="546">
        <v>0</v>
      </c>
      <c r="AQ32" s="546">
        <v>0</v>
      </c>
      <c r="AR32" s="546">
        <v>0</v>
      </c>
      <c r="AS32" s="546" t="s">
        <v>2045</v>
      </c>
      <c r="AT32" s="570">
        <f t="shared" si="7"/>
        <v>4.1250000000000002E-2</v>
      </c>
      <c r="AU32" s="570">
        <v>50</v>
      </c>
      <c r="AV32" s="625">
        <f t="shared" si="8"/>
        <v>0.25</v>
      </c>
      <c r="AW32" s="1003">
        <v>41</v>
      </c>
      <c r="AX32" s="724">
        <f t="shared" si="9"/>
        <v>41</v>
      </c>
      <c r="AY32" s="724">
        <f t="shared" si="10"/>
        <v>82</v>
      </c>
      <c r="AZ32" s="724">
        <f t="shared" si="11"/>
        <v>82</v>
      </c>
      <c r="BA32" s="594">
        <f t="shared" si="12"/>
        <v>3.3825000000000001E-2</v>
      </c>
      <c r="BB32" s="594">
        <f t="shared" si="13"/>
        <v>82</v>
      </c>
      <c r="BC32" s="546">
        <v>300000000</v>
      </c>
      <c r="BD32" s="546">
        <v>0</v>
      </c>
      <c r="BE32" s="546">
        <v>300000000</v>
      </c>
      <c r="BF32" s="546">
        <v>0</v>
      </c>
      <c r="BG32" s="546">
        <v>0</v>
      </c>
      <c r="BH32" s="546">
        <v>0</v>
      </c>
      <c r="BI32" s="546">
        <v>0</v>
      </c>
      <c r="BJ32" s="546">
        <v>0</v>
      </c>
      <c r="BK32" s="723">
        <v>127332000</v>
      </c>
      <c r="BL32" s="722">
        <v>127332000</v>
      </c>
      <c r="BM32" s="722">
        <v>0</v>
      </c>
      <c r="BN32" s="722">
        <v>0</v>
      </c>
      <c r="BO32" s="722">
        <v>0</v>
      </c>
      <c r="BP32" s="722">
        <v>0</v>
      </c>
      <c r="BQ32" s="722">
        <v>0</v>
      </c>
      <c r="BR32" s="722">
        <v>0</v>
      </c>
      <c r="BS32" s="722">
        <v>0</v>
      </c>
      <c r="BT32" s="722">
        <v>0</v>
      </c>
      <c r="BU32" s="722">
        <v>0</v>
      </c>
      <c r="BV32" s="580">
        <f t="shared" si="14"/>
        <v>8.2500000000000004E-2</v>
      </c>
      <c r="BW32" s="588">
        <v>100</v>
      </c>
      <c r="BX32" s="623">
        <f t="shared" si="15"/>
        <v>0.5</v>
      </c>
      <c r="BY32" s="607">
        <v>0</v>
      </c>
      <c r="BZ32" s="629">
        <v>0</v>
      </c>
      <c r="CA32" s="1017">
        <v>131</v>
      </c>
      <c r="CB32" s="721">
        <f t="shared" si="16"/>
        <v>131</v>
      </c>
      <c r="CC32" s="721">
        <f t="shared" si="17"/>
        <v>131</v>
      </c>
      <c r="CD32" s="720">
        <f t="shared" si="18"/>
        <v>100</v>
      </c>
      <c r="CE32" s="618">
        <f t="shared" si="19"/>
        <v>8.2500000000000004E-2</v>
      </c>
      <c r="CF32" s="719">
        <f t="shared" si="20"/>
        <v>100</v>
      </c>
      <c r="CG32" s="618">
        <f t="shared" si="21"/>
        <v>0.108075</v>
      </c>
      <c r="CH32" s="718">
        <f t="shared" si="22"/>
        <v>4.1250000000000002E-2</v>
      </c>
      <c r="CI32" s="552">
        <v>50</v>
      </c>
      <c r="CJ32" s="551">
        <f t="shared" si="23"/>
        <v>0.25</v>
      </c>
      <c r="CK32" s="874">
        <v>0</v>
      </c>
      <c r="CL32" s="533">
        <f t="shared" si="24"/>
        <v>50</v>
      </c>
      <c r="CM32" s="619">
        <f t="shared" si="25"/>
        <v>0</v>
      </c>
      <c r="CN32" s="619">
        <f t="shared" si="26"/>
        <v>0</v>
      </c>
      <c r="CO32" s="549">
        <f t="shared" si="27"/>
        <v>0</v>
      </c>
      <c r="CP32" s="619">
        <f t="shared" si="28"/>
        <v>0</v>
      </c>
      <c r="CQ32" s="619">
        <f t="shared" si="29"/>
        <v>0</v>
      </c>
      <c r="CR32" s="546">
        <v>350000000</v>
      </c>
      <c r="CS32" s="546">
        <v>350000000</v>
      </c>
      <c r="CT32" s="546">
        <v>0</v>
      </c>
      <c r="CU32" s="546">
        <v>0</v>
      </c>
      <c r="CV32" s="546">
        <v>0</v>
      </c>
      <c r="CW32" s="546">
        <v>0</v>
      </c>
      <c r="CX32" s="546">
        <v>0</v>
      </c>
      <c r="CY32" s="546">
        <v>0</v>
      </c>
      <c r="CZ32" s="618">
        <v>0</v>
      </c>
      <c r="DA32" s="618">
        <v>0</v>
      </c>
      <c r="DB32" s="618">
        <v>0</v>
      </c>
      <c r="DC32" s="618">
        <v>0</v>
      </c>
      <c r="DD32" s="618">
        <v>0</v>
      </c>
      <c r="DE32" s="618">
        <v>0</v>
      </c>
      <c r="DF32" s="618">
        <v>0</v>
      </c>
      <c r="DG32" s="618">
        <v>0</v>
      </c>
      <c r="DH32" s="618">
        <v>0</v>
      </c>
      <c r="DI32" s="618">
        <v>0</v>
      </c>
      <c r="DJ32" s="618">
        <v>0</v>
      </c>
      <c r="DK32" s="1034">
        <f t="shared" si="30"/>
        <v>172</v>
      </c>
      <c r="DL32" s="543">
        <f t="shared" si="31"/>
        <v>0.16500000000000001</v>
      </c>
      <c r="DM32" s="542">
        <f t="shared" si="32"/>
        <v>86</v>
      </c>
      <c r="DN32" s="594">
        <f t="shared" si="33"/>
        <v>86</v>
      </c>
      <c r="DO32" s="540">
        <f t="shared" si="34"/>
        <v>0.14190000000000003</v>
      </c>
      <c r="DP32" s="597">
        <f t="shared" si="42"/>
        <v>0.14190000000000003</v>
      </c>
      <c r="DQ32" s="538">
        <f t="shared" si="35"/>
        <v>0.14190000000000003</v>
      </c>
      <c r="DR32" s="617">
        <f t="shared" si="36"/>
        <v>1</v>
      </c>
      <c r="DS32" s="616">
        <f t="shared" si="37"/>
        <v>0</v>
      </c>
      <c r="DT32" s="259">
        <v>36</v>
      </c>
      <c r="DU32" s="260" t="s">
        <v>294</v>
      </c>
      <c r="DV32" s="259"/>
      <c r="DW32" s="260" t="s">
        <v>242</v>
      </c>
      <c r="DX32" s="259"/>
      <c r="DY32" s="259"/>
      <c r="DZ32" s="259"/>
      <c r="EA32" s="987"/>
      <c r="EB32" s="1041" t="s">
        <v>2381</v>
      </c>
      <c r="EC32" s="802">
        <v>350000000</v>
      </c>
      <c r="EE32" s="1047"/>
    </row>
    <row r="33" spans="4:135" s="534" customFormat="1" ht="144" hidden="1" x14ac:dyDescent="0.3">
      <c r="D33" s="783">
        <v>30</v>
      </c>
      <c r="E33" s="799">
        <v>49</v>
      </c>
      <c r="F33" s="787" t="s">
        <v>200</v>
      </c>
      <c r="G33" s="787" t="s">
        <v>8</v>
      </c>
      <c r="H33" s="788" t="s">
        <v>132</v>
      </c>
      <c r="I33" s="712" t="s">
        <v>346</v>
      </c>
      <c r="J33" s="573" t="s">
        <v>393</v>
      </c>
      <c r="K33" s="573" t="s">
        <v>394</v>
      </c>
      <c r="L33" s="702" t="s">
        <v>2213</v>
      </c>
      <c r="M33" s="570" t="s">
        <v>2017</v>
      </c>
      <c r="N33" s="570">
        <v>76</v>
      </c>
      <c r="O33" s="570">
        <f t="shared" si="41"/>
        <v>152</v>
      </c>
      <c r="P33" s="569">
        <v>76</v>
      </c>
      <c r="Q33" s="595">
        <v>0.16500000000000001</v>
      </c>
      <c r="R33" s="580">
        <f t="shared" si="0"/>
        <v>4.1250000000000002E-2</v>
      </c>
      <c r="S33" s="708">
        <v>19</v>
      </c>
      <c r="T33" s="625">
        <f t="shared" si="1"/>
        <v>0.25</v>
      </c>
      <c r="U33" s="992">
        <v>0</v>
      </c>
      <c r="V33" s="626">
        <f t="shared" si="2"/>
        <v>0</v>
      </c>
      <c r="W33" s="594">
        <f t="shared" si="3"/>
        <v>0</v>
      </c>
      <c r="X33" s="594">
        <f t="shared" si="4"/>
        <v>0</v>
      </c>
      <c r="Y33" s="594">
        <f t="shared" si="40"/>
        <v>0</v>
      </c>
      <c r="Z33" s="594">
        <f t="shared" si="6"/>
        <v>0</v>
      </c>
      <c r="AA33" s="546">
        <v>126000000</v>
      </c>
      <c r="AB33" s="546">
        <v>126000000</v>
      </c>
      <c r="AC33" s="546">
        <v>0</v>
      </c>
      <c r="AD33" s="546">
        <v>0</v>
      </c>
      <c r="AE33" s="546">
        <v>0</v>
      </c>
      <c r="AF33" s="546">
        <v>0</v>
      </c>
      <c r="AG33" s="546">
        <v>0</v>
      </c>
      <c r="AH33" s="546">
        <v>0</v>
      </c>
      <c r="AI33" s="546">
        <v>195744000</v>
      </c>
      <c r="AJ33" s="546">
        <v>195744000</v>
      </c>
      <c r="AK33" s="546">
        <v>0</v>
      </c>
      <c r="AL33" s="546">
        <v>0</v>
      </c>
      <c r="AM33" s="546">
        <v>0</v>
      </c>
      <c r="AN33" s="546">
        <v>0</v>
      </c>
      <c r="AO33" s="546">
        <v>0</v>
      </c>
      <c r="AP33" s="546">
        <v>0</v>
      </c>
      <c r="AQ33" s="546">
        <v>0</v>
      </c>
      <c r="AR33" s="546">
        <v>0</v>
      </c>
      <c r="AS33" s="546" t="s">
        <v>2045</v>
      </c>
      <c r="AT33" s="570">
        <f t="shared" si="7"/>
        <v>4.1250000000000002E-2</v>
      </c>
      <c r="AU33" s="570">
        <v>19</v>
      </c>
      <c r="AV33" s="625">
        <f t="shared" si="8"/>
        <v>0.25</v>
      </c>
      <c r="AW33" s="1003">
        <v>38</v>
      </c>
      <c r="AX33" s="724">
        <f t="shared" si="9"/>
        <v>38</v>
      </c>
      <c r="AY33" s="724">
        <f t="shared" si="10"/>
        <v>200</v>
      </c>
      <c r="AZ33" s="724">
        <f t="shared" si="11"/>
        <v>100</v>
      </c>
      <c r="BA33" s="594">
        <f t="shared" si="12"/>
        <v>4.1250000000000002E-2</v>
      </c>
      <c r="BB33" s="594">
        <f t="shared" si="13"/>
        <v>100</v>
      </c>
      <c r="BC33" s="546">
        <v>91000000</v>
      </c>
      <c r="BD33" s="546">
        <v>0</v>
      </c>
      <c r="BE33" s="546">
        <v>91000000</v>
      </c>
      <c r="BF33" s="546">
        <v>0</v>
      </c>
      <c r="BG33" s="546">
        <v>0</v>
      </c>
      <c r="BH33" s="546">
        <v>0</v>
      </c>
      <c r="BI33" s="546">
        <v>0</v>
      </c>
      <c r="BJ33" s="546">
        <v>0</v>
      </c>
      <c r="BK33" s="723">
        <v>231786291</v>
      </c>
      <c r="BL33" s="722">
        <v>231786291</v>
      </c>
      <c r="BM33" s="722">
        <v>0</v>
      </c>
      <c r="BN33" s="722">
        <v>0</v>
      </c>
      <c r="BO33" s="722">
        <v>0</v>
      </c>
      <c r="BP33" s="722">
        <v>0</v>
      </c>
      <c r="BQ33" s="722">
        <v>0</v>
      </c>
      <c r="BR33" s="722">
        <v>0</v>
      </c>
      <c r="BS33" s="722">
        <v>0</v>
      </c>
      <c r="BT33" s="722">
        <v>0</v>
      </c>
      <c r="BU33" s="722">
        <v>0</v>
      </c>
      <c r="BV33" s="580">
        <f t="shared" si="14"/>
        <v>4.1250000000000002E-2</v>
      </c>
      <c r="BW33" s="588">
        <v>19</v>
      </c>
      <c r="BX33" s="623">
        <f t="shared" si="15"/>
        <v>0.25</v>
      </c>
      <c r="BY33" s="607">
        <v>14</v>
      </c>
      <c r="BZ33" s="629">
        <v>14</v>
      </c>
      <c r="CA33" s="1017">
        <v>19</v>
      </c>
      <c r="CB33" s="721">
        <f t="shared" si="16"/>
        <v>19</v>
      </c>
      <c r="CC33" s="721">
        <f t="shared" si="17"/>
        <v>100</v>
      </c>
      <c r="CD33" s="720">
        <f t="shared" si="18"/>
        <v>100</v>
      </c>
      <c r="CE33" s="618">
        <f t="shared" si="19"/>
        <v>4.1250000000000002E-2</v>
      </c>
      <c r="CF33" s="719">
        <f t="shared" si="20"/>
        <v>100</v>
      </c>
      <c r="CG33" s="618">
        <f t="shared" si="21"/>
        <v>4.1250000000000002E-2</v>
      </c>
      <c r="CH33" s="718">
        <f t="shared" si="22"/>
        <v>4.1250000000000002E-2</v>
      </c>
      <c r="CI33" s="552">
        <v>19</v>
      </c>
      <c r="CJ33" s="551">
        <f t="shared" si="23"/>
        <v>0.25</v>
      </c>
      <c r="CK33" s="874">
        <v>0</v>
      </c>
      <c r="CL33" s="533">
        <f t="shared" si="24"/>
        <v>19</v>
      </c>
      <c r="CM33" s="619">
        <f t="shared" si="25"/>
        <v>0</v>
      </c>
      <c r="CN33" s="619">
        <f t="shared" si="26"/>
        <v>0</v>
      </c>
      <c r="CO33" s="549">
        <f t="shared" si="27"/>
        <v>0</v>
      </c>
      <c r="CP33" s="619">
        <f t="shared" si="28"/>
        <v>0</v>
      </c>
      <c r="CQ33" s="619">
        <f t="shared" si="29"/>
        <v>0</v>
      </c>
      <c r="CR33" s="546">
        <v>210000000</v>
      </c>
      <c r="CS33" s="546">
        <v>210000000</v>
      </c>
      <c r="CT33" s="546">
        <v>0</v>
      </c>
      <c r="CU33" s="546">
        <v>0</v>
      </c>
      <c r="CV33" s="546">
        <v>0</v>
      </c>
      <c r="CW33" s="546">
        <v>0</v>
      </c>
      <c r="CX33" s="546">
        <v>0</v>
      </c>
      <c r="CY33" s="546">
        <v>0</v>
      </c>
      <c r="CZ33" s="618">
        <v>0</v>
      </c>
      <c r="DA33" s="618">
        <v>0</v>
      </c>
      <c r="DB33" s="618">
        <v>0</v>
      </c>
      <c r="DC33" s="618">
        <v>0</v>
      </c>
      <c r="DD33" s="618">
        <v>0</v>
      </c>
      <c r="DE33" s="618">
        <v>0</v>
      </c>
      <c r="DF33" s="618">
        <v>0</v>
      </c>
      <c r="DG33" s="618">
        <v>0</v>
      </c>
      <c r="DH33" s="618">
        <v>0</v>
      </c>
      <c r="DI33" s="618">
        <v>0</v>
      </c>
      <c r="DJ33" s="618">
        <v>0</v>
      </c>
      <c r="DK33" s="1034">
        <f t="shared" si="30"/>
        <v>57</v>
      </c>
      <c r="DL33" s="543">
        <f t="shared" si="31"/>
        <v>0.16500000000000001</v>
      </c>
      <c r="DM33" s="542">
        <f t="shared" si="32"/>
        <v>75</v>
      </c>
      <c r="DN33" s="594">
        <f t="shared" si="33"/>
        <v>75</v>
      </c>
      <c r="DO33" s="540">
        <f t="shared" si="34"/>
        <v>0.12375</v>
      </c>
      <c r="DP33" s="597">
        <f t="shared" si="42"/>
        <v>0.12375</v>
      </c>
      <c r="DQ33" s="538">
        <f t="shared" si="35"/>
        <v>0.12375</v>
      </c>
      <c r="DR33" s="617">
        <f t="shared" si="36"/>
        <v>1</v>
      </c>
      <c r="DS33" s="616">
        <f t="shared" si="37"/>
        <v>0</v>
      </c>
      <c r="DT33" s="259">
        <v>37</v>
      </c>
      <c r="DU33" s="260" t="s">
        <v>293</v>
      </c>
      <c r="DV33" s="259">
        <v>77</v>
      </c>
      <c r="DW33" s="260" t="s">
        <v>288</v>
      </c>
      <c r="DX33" s="259">
        <v>78</v>
      </c>
      <c r="DY33" s="259"/>
      <c r="DZ33" s="259"/>
      <c r="EA33" s="987"/>
      <c r="EB33" s="1041" t="s">
        <v>2382</v>
      </c>
      <c r="EC33" s="802">
        <v>210000000</v>
      </c>
      <c r="EE33" s="1047"/>
    </row>
    <row r="34" spans="4:135" s="534" customFormat="1" ht="132" hidden="1" x14ac:dyDescent="0.3">
      <c r="D34" s="783">
        <v>31</v>
      </c>
      <c r="E34" s="799">
        <v>50</v>
      </c>
      <c r="F34" s="787" t="s">
        <v>200</v>
      </c>
      <c r="G34" s="787" t="s">
        <v>8</v>
      </c>
      <c r="H34" s="788" t="s">
        <v>132</v>
      </c>
      <c r="I34" s="712" t="s">
        <v>346</v>
      </c>
      <c r="J34" s="573" t="s">
        <v>395</v>
      </c>
      <c r="K34" s="573" t="s">
        <v>396</v>
      </c>
      <c r="L34" s="702" t="s">
        <v>2040</v>
      </c>
      <c r="M34" s="570" t="s">
        <v>2017</v>
      </c>
      <c r="N34" s="570">
        <v>33</v>
      </c>
      <c r="O34" s="570">
        <f t="shared" si="41"/>
        <v>133</v>
      </c>
      <c r="P34" s="569">
        <v>100</v>
      </c>
      <c r="Q34" s="595">
        <v>0.16500000000000001</v>
      </c>
      <c r="R34" s="580">
        <f t="shared" si="0"/>
        <v>0</v>
      </c>
      <c r="S34" s="708">
        <v>0</v>
      </c>
      <c r="T34" s="625">
        <f t="shared" si="1"/>
        <v>0</v>
      </c>
      <c r="U34" s="992">
        <v>0</v>
      </c>
      <c r="V34" s="626">
        <f t="shared" si="2"/>
        <v>0</v>
      </c>
      <c r="W34" s="594">
        <f t="shared" si="3"/>
        <v>0</v>
      </c>
      <c r="X34" s="594">
        <f t="shared" si="4"/>
        <v>0</v>
      </c>
      <c r="Y34" s="594">
        <f t="shared" si="40"/>
        <v>0</v>
      </c>
      <c r="Z34" s="594">
        <f t="shared" si="6"/>
        <v>0</v>
      </c>
      <c r="AA34" s="546">
        <v>311000000</v>
      </c>
      <c r="AB34" s="546">
        <v>311000000</v>
      </c>
      <c r="AC34" s="546">
        <v>0</v>
      </c>
      <c r="AD34" s="546">
        <v>0</v>
      </c>
      <c r="AE34" s="546">
        <v>0</v>
      </c>
      <c r="AF34" s="546">
        <v>0</v>
      </c>
      <c r="AG34" s="546">
        <v>0</v>
      </c>
      <c r="AH34" s="546">
        <v>0</v>
      </c>
      <c r="AI34" s="546">
        <v>0</v>
      </c>
      <c r="AJ34" s="546">
        <v>0</v>
      </c>
      <c r="AK34" s="546">
        <v>0</v>
      </c>
      <c r="AL34" s="546">
        <v>0</v>
      </c>
      <c r="AM34" s="546">
        <v>0</v>
      </c>
      <c r="AN34" s="546">
        <v>0</v>
      </c>
      <c r="AO34" s="546">
        <v>0</v>
      </c>
      <c r="AP34" s="546">
        <v>0</v>
      </c>
      <c r="AQ34" s="546">
        <v>0</v>
      </c>
      <c r="AR34" s="546">
        <v>0</v>
      </c>
      <c r="AS34" s="546" t="s">
        <v>2045</v>
      </c>
      <c r="AT34" s="570">
        <f t="shared" si="7"/>
        <v>4.1250000000000002E-2</v>
      </c>
      <c r="AU34" s="570">
        <v>25</v>
      </c>
      <c r="AV34" s="625">
        <f t="shared" si="8"/>
        <v>0.25</v>
      </c>
      <c r="AW34" s="1003">
        <v>25</v>
      </c>
      <c r="AX34" s="724">
        <f t="shared" si="9"/>
        <v>25</v>
      </c>
      <c r="AY34" s="724">
        <f t="shared" si="10"/>
        <v>100</v>
      </c>
      <c r="AZ34" s="724">
        <f t="shared" si="11"/>
        <v>100</v>
      </c>
      <c r="BA34" s="594">
        <f t="shared" si="12"/>
        <v>4.1250000000000002E-2</v>
      </c>
      <c r="BB34" s="594">
        <f t="shared" si="13"/>
        <v>100</v>
      </c>
      <c r="BC34" s="546">
        <v>225000000</v>
      </c>
      <c r="BD34" s="546">
        <v>0</v>
      </c>
      <c r="BE34" s="546">
        <v>225000000</v>
      </c>
      <c r="BF34" s="546">
        <v>0</v>
      </c>
      <c r="BG34" s="546">
        <v>0</v>
      </c>
      <c r="BH34" s="546">
        <v>0</v>
      </c>
      <c r="BI34" s="546">
        <v>0</v>
      </c>
      <c r="BJ34" s="546">
        <v>0</v>
      </c>
      <c r="BK34" s="723">
        <v>240667040</v>
      </c>
      <c r="BL34" s="722">
        <v>240667040</v>
      </c>
      <c r="BM34" s="722">
        <v>0</v>
      </c>
      <c r="BN34" s="722">
        <v>0</v>
      </c>
      <c r="BO34" s="722">
        <v>0</v>
      </c>
      <c r="BP34" s="722">
        <v>0</v>
      </c>
      <c r="BQ34" s="722">
        <v>0</v>
      </c>
      <c r="BR34" s="722">
        <v>0</v>
      </c>
      <c r="BS34" s="722">
        <v>0</v>
      </c>
      <c r="BT34" s="722">
        <v>220900000</v>
      </c>
      <c r="BU34" s="722" t="s">
        <v>2274</v>
      </c>
      <c r="BV34" s="580">
        <f t="shared" si="14"/>
        <v>6.2700000000000006E-2</v>
      </c>
      <c r="BW34" s="588">
        <v>38</v>
      </c>
      <c r="BX34" s="623">
        <f t="shared" si="15"/>
        <v>0.38</v>
      </c>
      <c r="BY34" s="607">
        <v>14</v>
      </c>
      <c r="BZ34" s="629">
        <v>14</v>
      </c>
      <c r="CA34" s="1017">
        <v>49</v>
      </c>
      <c r="CB34" s="721">
        <f t="shared" si="16"/>
        <v>49</v>
      </c>
      <c r="CC34" s="721">
        <f t="shared" si="17"/>
        <v>128.94736842105263</v>
      </c>
      <c r="CD34" s="720">
        <f t="shared" si="18"/>
        <v>100</v>
      </c>
      <c r="CE34" s="618">
        <f t="shared" si="19"/>
        <v>6.2700000000000006E-2</v>
      </c>
      <c r="CF34" s="719">
        <f t="shared" si="20"/>
        <v>100</v>
      </c>
      <c r="CG34" s="618">
        <f t="shared" si="21"/>
        <v>8.0850000000000005E-2</v>
      </c>
      <c r="CH34" s="718">
        <f t="shared" si="22"/>
        <v>6.105E-2</v>
      </c>
      <c r="CI34" s="552">
        <v>37</v>
      </c>
      <c r="CJ34" s="551">
        <f t="shared" si="23"/>
        <v>0.37</v>
      </c>
      <c r="CK34" s="874">
        <v>0</v>
      </c>
      <c r="CL34" s="533">
        <f t="shared" si="24"/>
        <v>37</v>
      </c>
      <c r="CM34" s="619">
        <f t="shared" si="25"/>
        <v>0</v>
      </c>
      <c r="CN34" s="619">
        <f t="shared" si="26"/>
        <v>0</v>
      </c>
      <c r="CO34" s="549">
        <f t="shared" si="27"/>
        <v>0</v>
      </c>
      <c r="CP34" s="619">
        <f t="shared" si="28"/>
        <v>0</v>
      </c>
      <c r="CQ34" s="619">
        <f t="shared" si="29"/>
        <v>0</v>
      </c>
      <c r="CR34" s="546">
        <v>519000000</v>
      </c>
      <c r="CS34" s="546">
        <v>519000000</v>
      </c>
      <c r="CT34" s="546">
        <v>0</v>
      </c>
      <c r="CU34" s="546">
        <v>0</v>
      </c>
      <c r="CV34" s="546">
        <v>0</v>
      </c>
      <c r="CW34" s="546">
        <v>0</v>
      </c>
      <c r="CX34" s="546">
        <v>0</v>
      </c>
      <c r="CY34" s="546">
        <v>0</v>
      </c>
      <c r="CZ34" s="618">
        <v>0</v>
      </c>
      <c r="DA34" s="618">
        <v>0</v>
      </c>
      <c r="DB34" s="618">
        <v>0</v>
      </c>
      <c r="DC34" s="618">
        <v>0</v>
      </c>
      <c r="DD34" s="618">
        <v>0</v>
      </c>
      <c r="DE34" s="618">
        <v>0</v>
      </c>
      <c r="DF34" s="618">
        <v>0</v>
      </c>
      <c r="DG34" s="618">
        <v>0</v>
      </c>
      <c r="DH34" s="618">
        <v>0</v>
      </c>
      <c r="DI34" s="618">
        <v>0</v>
      </c>
      <c r="DJ34" s="618">
        <v>0</v>
      </c>
      <c r="DK34" s="1034">
        <f t="shared" si="30"/>
        <v>74</v>
      </c>
      <c r="DL34" s="543">
        <f t="shared" si="31"/>
        <v>0.16500000000000001</v>
      </c>
      <c r="DM34" s="542">
        <f t="shared" si="32"/>
        <v>74</v>
      </c>
      <c r="DN34" s="594">
        <f t="shared" si="33"/>
        <v>74</v>
      </c>
      <c r="DO34" s="540">
        <f t="shared" si="34"/>
        <v>0.12210000000000001</v>
      </c>
      <c r="DP34" s="597">
        <f t="shared" si="42"/>
        <v>0.12210000000000001</v>
      </c>
      <c r="DQ34" s="538">
        <f t="shared" si="35"/>
        <v>0.12210000000000001</v>
      </c>
      <c r="DR34" s="617">
        <f t="shared" si="36"/>
        <v>1</v>
      </c>
      <c r="DS34" s="616">
        <f t="shared" si="37"/>
        <v>0</v>
      </c>
      <c r="DT34" s="259">
        <v>37</v>
      </c>
      <c r="DU34" s="260" t="s">
        <v>293</v>
      </c>
      <c r="DV34" s="259">
        <v>38</v>
      </c>
      <c r="DW34" s="260" t="s">
        <v>389</v>
      </c>
      <c r="DX34" s="259">
        <v>77</v>
      </c>
      <c r="DY34" s="259"/>
      <c r="DZ34" s="259"/>
      <c r="EA34" s="987"/>
      <c r="EB34" s="1041" t="s">
        <v>2383</v>
      </c>
      <c r="EC34" s="802">
        <v>519000000</v>
      </c>
      <c r="EE34" s="1047"/>
    </row>
    <row r="35" spans="4:135" s="534" customFormat="1" ht="102" hidden="1" x14ac:dyDescent="0.3">
      <c r="D35" s="783">
        <v>32</v>
      </c>
      <c r="E35" s="799">
        <v>51</v>
      </c>
      <c r="F35" s="787" t="s">
        <v>200</v>
      </c>
      <c r="G35" s="787" t="s">
        <v>8</v>
      </c>
      <c r="H35" s="788" t="s">
        <v>132</v>
      </c>
      <c r="I35" s="712" t="s">
        <v>346</v>
      </c>
      <c r="J35" s="573" t="s">
        <v>397</v>
      </c>
      <c r="K35" s="573" t="s">
        <v>398</v>
      </c>
      <c r="L35" s="701" t="s">
        <v>2272</v>
      </c>
      <c r="M35" s="570" t="s">
        <v>2032</v>
      </c>
      <c r="N35" s="570">
        <v>0</v>
      </c>
      <c r="O35" s="570">
        <f>+P35</f>
        <v>100</v>
      </c>
      <c r="P35" s="569">
        <v>100</v>
      </c>
      <c r="Q35" s="595">
        <v>0.25</v>
      </c>
      <c r="R35" s="580">
        <f t="shared" si="0"/>
        <v>6.25E-2</v>
      </c>
      <c r="S35" s="708">
        <v>100</v>
      </c>
      <c r="T35" s="625">
        <f t="shared" si="1"/>
        <v>0.25</v>
      </c>
      <c r="U35" s="992">
        <v>100</v>
      </c>
      <c r="V35" s="626">
        <f t="shared" si="2"/>
        <v>25</v>
      </c>
      <c r="W35" s="594">
        <f t="shared" si="3"/>
        <v>100</v>
      </c>
      <c r="X35" s="594">
        <f t="shared" si="4"/>
        <v>100</v>
      </c>
      <c r="Y35" s="594">
        <f t="shared" si="40"/>
        <v>6.25E-2</v>
      </c>
      <c r="Z35" s="594">
        <f t="shared" si="6"/>
        <v>100</v>
      </c>
      <c r="AA35" s="546">
        <v>75000000</v>
      </c>
      <c r="AB35" s="546">
        <v>75000000</v>
      </c>
      <c r="AC35" s="546">
        <v>0</v>
      </c>
      <c r="AD35" s="546">
        <v>0</v>
      </c>
      <c r="AE35" s="546">
        <v>0</v>
      </c>
      <c r="AF35" s="546">
        <v>0</v>
      </c>
      <c r="AG35" s="546">
        <v>0</v>
      </c>
      <c r="AH35" s="546">
        <v>0</v>
      </c>
      <c r="AI35" s="546">
        <v>620000000</v>
      </c>
      <c r="AJ35" s="546">
        <v>620000000</v>
      </c>
      <c r="AK35" s="546">
        <v>0</v>
      </c>
      <c r="AL35" s="546">
        <v>0</v>
      </c>
      <c r="AM35" s="546">
        <v>0</v>
      </c>
      <c r="AN35" s="546">
        <v>0</v>
      </c>
      <c r="AO35" s="546">
        <v>0</v>
      </c>
      <c r="AP35" s="546">
        <v>0</v>
      </c>
      <c r="AQ35" s="546">
        <v>0</v>
      </c>
      <c r="AR35" s="546">
        <v>0</v>
      </c>
      <c r="AS35" s="546" t="s">
        <v>2045</v>
      </c>
      <c r="AT35" s="570">
        <f t="shared" si="7"/>
        <v>6.25E-2</v>
      </c>
      <c r="AU35" s="570">
        <v>100</v>
      </c>
      <c r="AV35" s="625">
        <f t="shared" si="8"/>
        <v>0.25</v>
      </c>
      <c r="AW35" s="1003">
        <v>100</v>
      </c>
      <c r="AX35" s="724">
        <f t="shared" si="9"/>
        <v>25</v>
      </c>
      <c r="AY35" s="724">
        <f t="shared" si="10"/>
        <v>100</v>
      </c>
      <c r="AZ35" s="724">
        <f t="shared" si="11"/>
        <v>100</v>
      </c>
      <c r="BA35" s="594">
        <f t="shared" si="12"/>
        <v>6.25E-2</v>
      </c>
      <c r="BB35" s="594">
        <f t="shared" si="13"/>
        <v>100</v>
      </c>
      <c r="BC35" s="546">
        <v>54000000</v>
      </c>
      <c r="BD35" s="546">
        <v>0</v>
      </c>
      <c r="BE35" s="546">
        <v>54000000</v>
      </c>
      <c r="BF35" s="546">
        <v>0</v>
      </c>
      <c r="BG35" s="546">
        <v>0</v>
      </c>
      <c r="BH35" s="546">
        <v>0</v>
      </c>
      <c r="BI35" s="546">
        <v>0</v>
      </c>
      <c r="BJ35" s="546">
        <v>0</v>
      </c>
      <c r="BK35" s="723">
        <v>235000000</v>
      </c>
      <c r="BL35" s="722">
        <v>235000000</v>
      </c>
      <c r="BM35" s="722">
        <v>0</v>
      </c>
      <c r="BN35" s="722">
        <v>0</v>
      </c>
      <c r="BO35" s="722">
        <v>0</v>
      </c>
      <c r="BP35" s="722">
        <v>0</v>
      </c>
      <c r="BQ35" s="722">
        <v>0</v>
      </c>
      <c r="BR35" s="722">
        <v>0</v>
      </c>
      <c r="BS35" s="722">
        <v>0</v>
      </c>
      <c r="BT35" s="722">
        <v>0</v>
      </c>
      <c r="BU35" s="722">
        <v>0</v>
      </c>
      <c r="BV35" s="580">
        <f t="shared" si="14"/>
        <v>6.25E-2</v>
      </c>
      <c r="BW35" s="588">
        <v>100</v>
      </c>
      <c r="BX35" s="623">
        <f t="shared" si="15"/>
        <v>0.25</v>
      </c>
      <c r="BY35" s="607">
        <v>100</v>
      </c>
      <c r="BZ35" s="629">
        <v>100</v>
      </c>
      <c r="CA35" s="1017">
        <v>100</v>
      </c>
      <c r="CB35" s="721">
        <f t="shared" si="16"/>
        <v>25</v>
      </c>
      <c r="CC35" s="721">
        <f t="shared" si="17"/>
        <v>100</v>
      </c>
      <c r="CD35" s="720">
        <f t="shared" si="18"/>
        <v>100</v>
      </c>
      <c r="CE35" s="618">
        <f t="shared" si="19"/>
        <v>6.25E-2</v>
      </c>
      <c r="CF35" s="719">
        <f t="shared" si="20"/>
        <v>100</v>
      </c>
      <c r="CG35" s="618">
        <f t="shared" si="21"/>
        <v>6.25E-2</v>
      </c>
      <c r="CH35" s="718">
        <f t="shared" si="22"/>
        <v>6.25E-2</v>
      </c>
      <c r="CI35" s="552">
        <v>100</v>
      </c>
      <c r="CJ35" s="551">
        <f t="shared" si="23"/>
        <v>0.25</v>
      </c>
      <c r="CK35" s="874">
        <v>0</v>
      </c>
      <c r="CL35" s="533">
        <f t="shared" si="24"/>
        <v>100</v>
      </c>
      <c r="CM35" s="619">
        <f t="shared" si="25"/>
        <v>0</v>
      </c>
      <c r="CN35" s="619">
        <f t="shared" si="26"/>
        <v>0</v>
      </c>
      <c r="CO35" s="619">
        <f t="shared" si="27"/>
        <v>0</v>
      </c>
      <c r="CP35" s="619">
        <f t="shared" si="28"/>
        <v>0</v>
      </c>
      <c r="CQ35" s="619">
        <f t="shared" si="29"/>
        <v>0</v>
      </c>
      <c r="CR35" s="546">
        <v>125000000</v>
      </c>
      <c r="CS35" s="546">
        <v>125000000</v>
      </c>
      <c r="CT35" s="546">
        <v>0</v>
      </c>
      <c r="CU35" s="546">
        <v>0</v>
      </c>
      <c r="CV35" s="546">
        <v>0</v>
      </c>
      <c r="CW35" s="546">
        <v>0</v>
      </c>
      <c r="CX35" s="546">
        <v>0</v>
      </c>
      <c r="CY35" s="546">
        <v>0</v>
      </c>
      <c r="CZ35" s="618">
        <v>0</v>
      </c>
      <c r="DA35" s="618">
        <v>0</v>
      </c>
      <c r="DB35" s="618">
        <v>0</v>
      </c>
      <c r="DC35" s="618">
        <v>0</v>
      </c>
      <c r="DD35" s="618">
        <v>0</v>
      </c>
      <c r="DE35" s="618">
        <v>0</v>
      </c>
      <c r="DF35" s="618">
        <v>0</v>
      </c>
      <c r="DG35" s="618">
        <v>0</v>
      </c>
      <c r="DH35" s="618">
        <v>0</v>
      </c>
      <c r="DI35" s="618">
        <v>0</v>
      </c>
      <c r="DJ35" s="618">
        <v>0</v>
      </c>
      <c r="DK35" s="1034">
        <f t="shared" si="30"/>
        <v>75</v>
      </c>
      <c r="DL35" s="543">
        <f t="shared" si="31"/>
        <v>0.25</v>
      </c>
      <c r="DM35" s="542">
        <f t="shared" si="32"/>
        <v>75</v>
      </c>
      <c r="DN35" s="594">
        <f t="shared" si="33"/>
        <v>75</v>
      </c>
      <c r="DO35" s="540">
        <f t="shared" si="34"/>
        <v>0.1875</v>
      </c>
      <c r="DP35" s="597">
        <f>+IF(M35="M",DO35,0)</f>
        <v>0.1875</v>
      </c>
      <c r="DQ35" s="538">
        <f t="shared" si="35"/>
        <v>0.1875</v>
      </c>
      <c r="DR35" s="617">
        <f t="shared" si="36"/>
        <v>1</v>
      </c>
      <c r="DS35" s="616">
        <f t="shared" si="37"/>
        <v>0</v>
      </c>
      <c r="DT35" s="259">
        <v>77</v>
      </c>
      <c r="DU35" s="260" t="s">
        <v>288</v>
      </c>
      <c r="DV35" s="259"/>
      <c r="DW35" s="260" t="s">
        <v>242</v>
      </c>
      <c r="DX35" s="259"/>
      <c r="DY35" s="259"/>
      <c r="DZ35" s="259"/>
      <c r="EA35" s="987"/>
      <c r="EB35" s="1041" t="s">
        <v>2384</v>
      </c>
      <c r="EC35" s="802">
        <v>125000000</v>
      </c>
      <c r="EE35" s="1047"/>
    </row>
    <row r="36" spans="4:135" s="534" customFormat="1" ht="89.25" hidden="1" x14ac:dyDescent="0.3">
      <c r="D36" s="783">
        <v>33</v>
      </c>
      <c r="E36" s="799">
        <v>52</v>
      </c>
      <c r="F36" s="787" t="s">
        <v>200</v>
      </c>
      <c r="G36" s="787" t="s">
        <v>11</v>
      </c>
      <c r="H36" s="788" t="s">
        <v>132</v>
      </c>
      <c r="I36" s="712" t="s">
        <v>346</v>
      </c>
      <c r="J36" s="573" t="s">
        <v>399</v>
      </c>
      <c r="K36" s="573" t="s">
        <v>400</v>
      </c>
      <c r="L36" s="702" t="s">
        <v>1682</v>
      </c>
      <c r="M36" s="570" t="s">
        <v>2032</v>
      </c>
      <c r="N36" s="570">
        <v>587</v>
      </c>
      <c r="O36" s="570">
        <f>+P36</f>
        <v>600</v>
      </c>
      <c r="P36" s="569">
        <v>600</v>
      </c>
      <c r="Q36" s="595">
        <v>0.16500000000000001</v>
      </c>
      <c r="R36" s="580">
        <f t="shared" si="0"/>
        <v>4.1250000000000002E-2</v>
      </c>
      <c r="S36" s="708">
        <v>600</v>
      </c>
      <c r="T36" s="625">
        <f t="shared" si="1"/>
        <v>0.25</v>
      </c>
      <c r="U36" s="992">
        <v>590</v>
      </c>
      <c r="V36" s="626">
        <f t="shared" si="2"/>
        <v>147.5</v>
      </c>
      <c r="W36" s="594">
        <f t="shared" si="3"/>
        <v>98.333333333333329</v>
      </c>
      <c r="X36" s="594">
        <f t="shared" si="4"/>
        <v>98.333333333333329</v>
      </c>
      <c r="Y36" s="594">
        <f t="shared" si="40"/>
        <v>4.0562500000000001E-2</v>
      </c>
      <c r="Z36" s="594">
        <f t="shared" si="6"/>
        <v>98.333333333333329</v>
      </c>
      <c r="AA36" s="546">
        <v>4899000000</v>
      </c>
      <c r="AB36" s="546">
        <v>4899000000</v>
      </c>
      <c r="AC36" s="546">
        <v>0</v>
      </c>
      <c r="AD36" s="546">
        <v>0</v>
      </c>
      <c r="AE36" s="546">
        <v>0</v>
      </c>
      <c r="AF36" s="546">
        <v>0</v>
      </c>
      <c r="AG36" s="546">
        <v>0</v>
      </c>
      <c r="AH36" s="546">
        <v>0</v>
      </c>
      <c r="AI36" s="546">
        <v>3963593000</v>
      </c>
      <c r="AJ36" s="546">
        <v>3963593000</v>
      </c>
      <c r="AK36" s="546">
        <v>0</v>
      </c>
      <c r="AL36" s="546">
        <v>0</v>
      </c>
      <c r="AM36" s="546">
        <v>0</v>
      </c>
      <c r="AN36" s="546">
        <v>0</v>
      </c>
      <c r="AO36" s="546">
        <v>0</v>
      </c>
      <c r="AP36" s="546">
        <v>0</v>
      </c>
      <c r="AQ36" s="546">
        <v>0</v>
      </c>
      <c r="AR36" s="546">
        <v>0</v>
      </c>
      <c r="AS36" s="546" t="s">
        <v>2045</v>
      </c>
      <c r="AT36" s="570">
        <f t="shared" si="7"/>
        <v>4.1250000000000002E-2</v>
      </c>
      <c r="AU36" s="570">
        <v>600</v>
      </c>
      <c r="AV36" s="625">
        <f t="shared" si="8"/>
        <v>0.25</v>
      </c>
      <c r="AW36" s="1003">
        <v>524</v>
      </c>
      <c r="AX36" s="724">
        <f t="shared" si="9"/>
        <v>131</v>
      </c>
      <c r="AY36" s="724">
        <f t="shared" si="10"/>
        <v>87.333333333333329</v>
      </c>
      <c r="AZ36" s="724">
        <f t="shared" si="11"/>
        <v>87.333333333333329</v>
      </c>
      <c r="BA36" s="594">
        <f t="shared" si="12"/>
        <v>3.6025000000000001E-2</v>
      </c>
      <c r="BB36" s="594">
        <f t="shared" si="13"/>
        <v>87.333333333333329</v>
      </c>
      <c r="BC36" s="546">
        <v>4899000000</v>
      </c>
      <c r="BD36" s="546">
        <v>0</v>
      </c>
      <c r="BE36" s="546">
        <v>4899000000</v>
      </c>
      <c r="BF36" s="546">
        <v>0</v>
      </c>
      <c r="BG36" s="546">
        <v>0</v>
      </c>
      <c r="BH36" s="546">
        <v>0</v>
      </c>
      <c r="BI36" s="546">
        <v>0</v>
      </c>
      <c r="BJ36" s="546">
        <v>0</v>
      </c>
      <c r="BK36" s="723">
        <v>3428022790</v>
      </c>
      <c r="BL36" s="722">
        <v>3428022790</v>
      </c>
      <c r="BM36" s="722">
        <v>0</v>
      </c>
      <c r="BN36" s="722">
        <v>0</v>
      </c>
      <c r="BO36" s="722">
        <v>0</v>
      </c>
      <c r="BP36" s="722">
        <v>0</v>
      </c>
      <c r="BQ36" s="722">
        <v>0</v>
      </c>
      <c r="BR36" s="722">
        <v>0</v>
      </c>
      <c r="BS36" s="722">
        <v>0</v>
      </c>
      <c r="BT36" s="722">
        <v>0</v>
      </c>
      <c r="BU36" s="722">
        <v>0</v>
      </c>
      <c r="BV36" s="580">
        <f t="shared" si="14"/>
        <v>4.1250000000000002E-2</v>
      </c>
      <c r="BW36" s="588">
        <v>600</v>
      </c>
      <c r="BX36" s="623">
        <f t="shared" si="15"/>
        <v>0.25</v>
      </c>
      <c r="BY36" s="607">
        <v>454</v>
      </c>
      <c r="BZ36" s="629">
        <v>454</v>
      </c>
      <c r="CA36" s="1017">
        <v>474</v>
      </c>
      <c r="CB36" s="721">
        <f t="shared" si="16"/>
        <v>118.5</v>
      </c>
      <c r="CC36" s="721">
        <f t="shared" si="17"/>
        <v>79</v>
      </c>
      <c r="CD36" s="720">
        <f t="shared" si="18"/>
        <v>79</v>
      </c>
      <c r="CE36" s="618">
        <f t="shared" si="19"/>
        <v>3.2587499999999998E-2</v>
      </c>
      <c r="CF36" s="719">
        <f t="shared" si="20"/>
        <v>79</v>
      </c>
      <c r="CG36" s="618">
        <f t="shared" si="21"/>
        <v>3.2587499999999998E-2</v>
      </c>
      <c r="CH36" s="718">
        <f t="shared" si="22"/>
        <v>4.1250000000000002E-2</v>
      </c>
      <c r="CI36" s="552">
        <v>600</v>
      </c>
      <c r="CJ36" s="551">
        <f t="shared" si="23"/>
        <v>0.25</v>
      </c>
      <c r="CK36" s="874">
        <v>681</v>
      </c>
      <c r="CL36" s="533">
        <f t="shared" si="24"/>
        <v>-81</v>
      </c>
      <c r="CM36" s="619">
        <f t="shared" si="25"/>
        <v>170.25</v>
      </c>
      <c r="CN36" s="619">
        <f t="shared" si="26"/>
        <v>113.5</v>
      </c>
      <c r="CO36" s="619">
        <f t="shared" si="27"/>
        <v>100</v>
      </c>
      <c r="CP36" s="619">
        <f t="shared" si="28"/>
        <v>4.1250000000000002E-2</v>
      </c>
      <c r="CQ36" s="619">
        <f t="shared" si="29"/>
        <v>4.6818749999999999E-2</v>
      </c>
      <c r="CR36" s="546">
        <v>4899000000</v>
      </c>
      <c r="CS36" s="546">
        <v>4899000000</v>
      </c>
      <c r="CT36" s="546">
        <v>0</v>
      </c>
      <c r="CU36" s="546">
        <v>0</v>
      </c>
      <c r="CV36" s="546">
        <v>0</v>
      </c>
      <c r="CW36" s="546">
        <v>0</v>
      </c>
      <c r="CX36" s="546">
        <v>0</v>
      </c>
      <c r="CY36" s="546">
        <v>0</v>
      </c>
      <c r="CZ36" s="618">
        <v>0</v>
      </c>
      <c r="DA36" s="618">
        <v>0</v>
      </c>
      <c r="DB36" s="618">
        <v>0</v>
      </c>
      <c r="DC36" s="618">
        <v>0</v>
      </c>
      <c r="DD36" s="618">
        <v>0</v>
      </c>
      <c r="DE36" s="618">
        <v>0</v>
      </c>
      <c r="DF36" s="618">
        <v>0</v>
      </c>
      <c r="DG36" s="618">
        <v>0</v>
      </c>
      <c r="DH36" s="618">
        <v>0</v>
      </c>
      <c r="DI36" s="618">
        <v>0</v>
      </c>
      <c r="DJ36" s="618">
        <v>0</v>
      </c>
      <c r="DK36" s="1034">
        <f t="shared" si="30"/>
        <v>567.25</v>
      </c>
      <c r="DL36" s="543">
        <f t="shared" si="31"/>
        <v>0.16500000000000001</v>
      </c>
      <c r="DM36" s="542">
        <f t="shared" si="32"/>
        <v>94.541666666666671</v>
      </c>
      <c r="DN36" s="594">
        <f t="shared" si="33"/>
        <v>94.541666666666671</v>
      </c>
      <c r="DO36" s="540">
        <f t="shared" si="34"/>
        <v>0.15599375000000001</v>
      </c>
      <c r="DP36" s="597">
        <f>+IF(M36="M",DO36,0)</f>
        <v>0.15599375000000001</v>
      </c>
      <c r="DQ36" s="538">
        <f t="shared" si="35"/>
        <v>0.15599375000000001</v>
      </c>
      <c r="DR36" s="617">
        <f t="shared" si="36"/>
        <v>1</v>
      </c>
      <c r="DS36" s="616">
        <f t="shared" si="37"/>
        <v>0</v>
      </c>
      <c r="DT36" s="259">
        <v>39</v>
      </c>
      <c r="DU36" s="260" t="s">
        <v>376</v>
      </c>
      <c r="DV36" s="259"/>
      <c r="DW36" s="260" t="s">
        <v>242</v>
      </c>
      <c r="DX36" s="259"/>
      <c r="DY36" s="259"/>
      <c r="DZ36" s="259"/>
      <c r="EA36" s="987"/>
      <c r="EB36" s="1041" t="s">
        <v>2385</v>
      </c>
      <c r="EC36" s="802">
        <v>4899000000</v>
      </c>
      <c r="EE36" s="1047"/>
    </row>
    <row r="37" spans="4:135" s="534" customFormat="1" ht="76.5" hidden="1" x14ac:dyDescent="0.3">
      <c r="D37" s="783">
        <v>34</v>
      </c>
      <c r="E37" s="799">
        <v>53</v>
      </c>
      <c r="F37" s="787" t="s">
        <v>200</v>
      </c>
      <c r="G37" s="787" t="s">
        <v>7</v>
      </c>
      <c r="H37" s="788" t="s">
        <v>132</v>
      </c>
      <c r="I37" s="712" t="s">
        <v>346</v>
      </c>
      <c r="J37" s="573" t="s">
        <v>401</v>
      </c>
      <c r="K37" s="573" t="s">
        <v>402</v>
      </c>
      <c r="L37" s="702" t="s">
        <v>2242</v>
      </c>
      <c r="M37" s="570" t="s">
        <v>2017</v>
      </c>
      <c r="N37" s="570">
        <v>132</v>
      </c>
      <c r="O37" s="570">
        <f>+N37+P37</f>
        <v>292</v>
      </c>
      <c r="P37" s="569">
        <v>160</v>
      </c>
      <c r="Q37" s="595">
        <v>0.16500000000000001</v>
      </c>
      <c r="R37" s="580">
        <f t="shared" si="0"/>
        <v>7.2187499999999995E-3</v>
      </c>
      <c r="S37" s="708">
        <v>7</v>
      </c>
      <c r="T37" s="625">
        <f t="shared" ref="T37:T68" si="43">IF($M37="M",0.25,(IF($P37&gt;0,S37/$P37," ")))</f>
        <v>4.3749999999999997E-2</v>
      </c>
      <c r="U37" s="992">
        <v>0</v>
      </c>
      <c r="V37" s="626">
        <f t="shared" ref="V37:V68" si="44">+IF(M37="I",(+U37),IF(M37="M",(+U37)/4,))</f>
        <v>0</v>
      </c>
      <c r="W37" s="594">
        <f t="shared" ref="W37:W68" si="45">IF(S37=0,0,+U37*100/S37)</f>
        <v>0</v>
      </c>
      <c r="X37" s="594">
        <f t="shared" si="4"/>
        <v>0</v>
      </c>
      <c r="Y37" s="594">
        <f t="shared" si="40"/>
        <v>0</v>
      </c>
      <c r="Z37" s="594">
        <f t="shared" si="6"/>
        <v>0</v>
      </c>
      <c r="AA37" s="546">
        <v>636000000</v>
      </c>
      <c r="AB37" s="546">
        <v>121000000</v>
      </c>
      <c r="AC37" s="546">
        <v>0</v>
      </c>
      <c r="AD37" s="546">
        <v>0</v>
      </c>
      <c r="AE37" s="546">
        <v>0</v>
      </c>
      <c r="AF37" s="546">
        <v>0</v>
      </c>
      <c r="AG37" s="546">
        <v>0</v>
      </c>
      <c r="AH37" s="546">
        <v>515000000</v>
      </c>
      <c r="AI37" s="546">
        <v>0</v>
      </c>
      <c r="AJ37" s="546">
        <v>0</v>
      </c>
      <c r="AK37" s="546">
        <v>0</v>
      </c>
      <c r="AL37" s="546">
        <v>0</v>
      </c>
      <c r="AM37" s="546">
        <v>0</v>
      </c>
      <c r="AN37" s="546">
        <v>0</v>
      </c>
      <c r="AO37" s="546">
        <v>0</v>
      </c>
      <c r="AP37" s="546">
        <v>0</v>
      </c>
      <c r="AQ37" s="546">
        <v>0</v>
      </c>
      <c r="AR37" s="546">
        <v>0</v>
      </c>
      <c r="AS37" s="546" t="s">
        <v>2045</v>
      </c>
      <c r="AT37" s="570">
        <f t="shared" si="7"/>
        <v>5.2593750000000002E-2</v>
      </c>
      <c r="AU37" s="570">
        <v>51</v>
      </c>
      <c r="AV37" s="625">
        <f t="shared" ref="AV37:AV68" si="46">IF($M37="M",0.25,(IF($P37&gt;0,AU37/$P37," ")))</f>
        <v>0.31874999999999998</v>
      </c>
      <c r="AW37" s="1003">
        <v>70</v>
      </c>
      <c r="AX37" s="724">
        <f t="shared" ref="AX37:AX68" si="47">+IF(M37="I",(+AW37),IF(M37="M",(+AW37)/4,))</f>
        <v>70</v>
      </c>
      <c r="AY37" s="724">
        <f t="shared" ref="AY37:AY68" si="48">IF(AU37=0,0,+AW37*100/AU37)</f>
        <v>137.25490196078431</v>
      </c>
      <c r="AZ37" s="724">
        <f t="shared" si="11"/>
        <v>100</v>
      </c>
      <c r="BA37" s="594">
        <f t="shared" si="12"/>
        <v>5.2593750000000002E-2</v>
      </c>
      <c r="BB37" s="594">
        <f t="shared" si="13"/>
        <v>100</v>
      </c>
      <c r="BC37" s="546">
        <v>603000000</v>
      </c>
      <c r="BD37" s="546">
        <v>0</v>
      </c>
      <c r="BE37" s="546">
        <v>88000000</v>
      </c>
      <c r="BF37" s="546">
        <v>0</v>
      </c>
      <c r="BG37" s="546">
        <v>0</v>
      </c>
      <c r="BH37" s="546">
        <v>0</v>
      </c>
      <c r="BI37" s="546">
        <v>0</v>
      </c>
      <c r="BJ37" s="546">
        <v>515000000</v>
      </c>
      <c r="BK37" s="723">
        <v>140000000</v>
      </c>
      <c r="BL37" s="722">
        <v>140000000</v>
      </c>
      <c r="BM37" s="722">
        <v>0</v>
      </c>
      <c r="BN37" s="722">
        <v>0</v>
      </c>
      <c r="BO37" s="722">
        <v>0</v>
      </c>
      <c r="BP37" s="722">
        <v>0</v>
      </c>
      <c r="BQ37" s="722">
        <v>0</v>
      </c>
      <c r="BR37" s="722">
        <v>0</v>
      </c>
      <c r="BS37" s="722">
        <v>0</v>
      </c>
      <c r="BT37" s="722">
        <v>0</v>
      </c>
      <c r="BU37" s="722">
        <v>0</v>
      </c>
      <c r="BV37" s="580">
        <f t="shared" si="14"/>
        <v>5.2593750000000002E-2</v>
      </c>
      <c r="BW37" s="588">
        <v>51</v>
      </c>
      <c r="BX37" s="623">
        <f t="shared" ref="BX37:BX68" si="49">IF($M37="M",0.25,(IF($P37&gt;0,BW37/$P37," ")))</f>
        <v>0.31874999999999998</v>
      </c>
      <c r="BY37" s="639">
        <v>0</v>
      </c>
      <c r="BZ37" s="638">
        <v>0</v>
      </c>
      <c r="CA37" s="1018">
        <v>0</v>
      </c>
      <c r="CB37" s="721">
        <f t="shared" ref="CB37:CB68" si="50">+IF(M37="I",(+CA37),IF(M37="M",(+CA37)/4,))</f>
        <v>0</v>
      </c>
      <c r="CC37" s="721">
        <f t="shared" ref="CC37:CC68" si="51">IF(BW37=0,0,+CA37*100/BW37)</f>
        <v>0</v>
      </c>
      <c r="CD37" s="720">
        <f t="shared" si="18"/>
        <v>0</v>
      </c>
      <c r="CE37" s="618">
        <f t="shared" si="19"/>
        <v>0</v>
      </c>
      <c r="CF37" s="719">
        <f t="shared" si="20"/>
        <v>0</v>
      </c>
      <c r="CG37" s="618">
        <f t="shared" si="21"/>
        <v>0</v>
      </c>
      <c r="CH37" s="718">
        <f t="shared" si="22"/>
        <v>5.2593750000000002E-2</v>
      </c>
      <c r="CI37" s="552">
        <v>51</v>
      </c>
      <c r="CJ37" s="551">
        <f t="shared" ref="CJ37:CJ68" si="52">IF($M37="M",0.25,(IF($P37&gt;0,CI37/$P37," ")))</f>
        <v>0.31874999999999998</v>
      </c>
      <c r="CK37" s="874">
        <v>0</v>
      </c>
      <c r="CL37" s="533">
        <f t="shared" ref="CL37:CL68" si="53">+CI37-CK37</f>
        <v>51</v>
      </c>
      <c r="CM37" s="619">
        <f t="shared" ref="CM37:CM68" si="54">+IF(M37="I",(+CK37),IF(M37="M",(+CK37)/4,))</f>
        <v>0</v>
      </c>
      <c r="CN37" s="619">
        <f t="shared" ref="CN37:CN68" si="55">IF(CI37=0,0,+CK37*100/CI37)</f>
        <v>0</v>
      </c>
      <c r="CO37" s="549">
        <f t="shared" si="27"/>
        <v>0</v>
      </c>
      <c r="CP37" s="619">
        <f t="shared" si="28"/>
        <v>0</v>
      </c>
      <c r="CQ37" s="619">
        <f t="shared" si="29"/>
        <v>0</v>
      </c>
      <c r="CR37" s="546">
        <v>718000000</v>
      </c>
      <c r="CS37" s="546">
        <v>202000000</v>
      </c>
      <c r="CT37" s="546">
        <v>0</v>
      </c>
      <c r="CU37" s="546">
        <v>0</v>
      </c>
      <c r="CV37" s="546">
        <v>0</v>
      </c>
      <c r="CW37" s="546">
        <v>0</v>
      </c>
      <c r="CX37" s="546">
        <v>0</v>
      </c>
      <c r="CY37" s="546">
        <v>516000000</v>
      </c>
      <c r="CZ37" s="618">
        <v>0</v>
      </c>
      <c r="DA37" s="618">
        <v>0</v>
      </c>
      <c r="DB37" s="618">
        <v>0</v>
      </c>
      <c r="DC37" s="618">
        <v>0</v>
      </c>
      <c r="DD37" s="618">
        <v>0</v>
      </c>
      <c r="DE37" s="618">
        <v>0</v>
      </c>
      <c r="DF37" s="618">
        <v>0</v>
      </c>
      <c r="DG37" s="618">
        <v>0</v>
      </c>
      <c r="DH37" s="618">
        <v>0</v>
      </c>
      <c r="DI37" s="618">
        <v>0</v>
      </c>
      <c r="DJ37" s="618">
        <v>0</v>
      </c>
      <c r="DK37" s="1034">
        <f t="shared" ref="DK37:DK68" si="56">+IF(M37="I",(+U37+AW37+CA37+CK37),IF(M37="M",(+U37+AW37+CA37+CK37)/4,))</f>
        <v>70</v>
      </c>
      <c r="DL37" s="543">
        <f t="shared" si="31"/>
        <v>0.16500000000000001</v>
      </c>
      <c r="DM37" s="542">
        <f t="shared" si="32"/>
        <v>43.75</v>
      </c>
      <c r="DN37" s="594">
        <f t="shared" si="33"/>
        <v>43.75</v>
      </c>
      <c r="DO37" s="540">
        <f t="shared" si="34"/>
        <v>7.2187500000000002E-2</v>
      </c>
      <c r="DP37" s="597">
        <f>+IF(((DN37*Q37)/100)&lt;Q37, ((DN37*Q37)/100),Q37)</f>
        <v>7.2187500000000002E-2</v>
      </c>
      <c r="DQ37" s="538">
        <f t="shared" si="35"/>
        <v>7.2187500000000002E-2</v>
      </c>
      <c r="DR37" s="617">
        <f t="shared" si="36"/>
        <v>0.99999999999999989</v>
      </c>
      <c r="DS37" s="616">
        <f t="shared" si="37"/>
        <v>0</v>
      </c>
      <c r="DT37" s="259">
        <v>39</v>
      </c>
      <c r="DU37" s="260" t="s">
        <v>376</v>
      </c>
      <c r="DV37" s="259"/>
      <c r="DW37" s="260" t="s">
        <v>242</v>
      </c>
      <c r="DX37" s="259"/>
      <c r="DY37" s="259"/>
      <c r="DZ37" s="259"/>
      <c r="EA37" s="987"/>
      <c r="EB37" s="1041" t="s">
        <v>2386</v>
      </c>
      <c r="EC37" s="802">
        <v>717000000</v>
      </c>
      <c r="EE37" s="1047"/>
    </row>
    <row r="38" spans="4:135" s="534" customFormat="1" ht="63.75" hidden="1" x14ac:dyDescent="0.3">
      <c r="D38" s="783">
        <v>35</v>
      </c>
      <c r="E38" s="799">
        <v>54</v>
      </c>
      <c r="F38" s="787" t="s">
        <v>200</v>
      </c>
      <c r="G38" s="787" t="s">
        <v>3</v>
      </c>
      <c r="H38" s="788" t="s">
        <v>132</v>
      </c>
      <c r="I38" s="712" t="s">
        <v>346</v>
      </c>
      <c r="J38" s="573" t="s">
        <v>403</v>
      </c>
      <c r="K38" s="573" t="s">
        <v>404</v>
      </c>
      <c r="L38" s="702" t="s">
        <v>1682</v>
      </c>
      <c r="M38" s="570" t="s">
        <v>2017</v>
      </c>
      <c r="N38" s="570">
        <v>29489</v>
      </c>
      <c r="O38" s="570">
        <f>+N38+P38</f>
        <v>62717</v>
      </c>
      <c r="P38" s="569">
        <v>33228</v>
      </c>
      <c r="Q38" s="595">
        <v>0.16500000000000001</v>
      </c>
      <c r="R38" s="580">
        <f t="shared" si="0"/>
        <v>4.1250000000000002E-2</v>
      </c>
      <c r="S38" s="708">
        <v>8307</v>
      </c>
      <c r="T38" s="625">
        <f t="shared" si="43"/>
        <v>0.25</v>
      </c>
      <c r="U38" s="992">
        <v>9968</v>
      </c>
      <c r="V38" s="626">
        <f t="shared" si="44"/>
        <v>9968</v>
      </c>
      <c r="W38" s="594">
        <f t="shared" si="45"/>
        <v>119.99518478391718</v>
      </c>
      <c r="X38" s="594">
        <f t="shared" si="4"/>
        <v>100</v>
      </c>
      <c r="Y38" s="594">
        <f t="shared" si="40"/>
        <v>4.1250000000000002E-2</v>
      </c>
      <c r="Z38" s="594">
        <f t="shared" si="6"/>
        <v>100</v>
      </c>
      <c r="AA38" s="546">
        <v>522000000</v>
      </c>
      <c r="AB38" s="546">
        <v>522000000</v>
      </c>
      <c r="AC38" s="546">
        <v>0</v>
      </c>
      <c r="AD38" s="546">
        <v>0</v>
      </c>
      <c r="AE38" s="546">
        <v>0</v>
      </c>
      <c r="AF38" s="546">
        <v>0</v>
      </c>
      <c r="AG38" s="546">
        <v>0</v>
      </c>
      <c r="AH38" s="546">
        <v>0</v>
      </c>
      <c r="AI38" s="546">
        <v>337120000</v>
      </c>
      <c r="AJ38" s="546">
        <v>337120000</v>
      </c>
      <c r="AK38" s="546">
        <v>0</v>
      </c>
      <c r="AL38" s="546">
        <v>0</v>
      </c>
      <c r="AM38" s="546">
        <v>0</v>
      </c>
      <c r="AN38" s="546">
        <v>0</v>
      </c>
      <c r="AO38" s="546">
        <v>0</v>
      </c>
      <c r="AP38" s="546">
        <v>0</v>
      </c>
      <c r="AQ38" s="546">
        <v>0</v>
      </c>
      <c r="AR38" s="546">
        <v>0</v>
      </c>
      <c r="AS38" s="546" t="s">
        <v>2045</v>
      </c>
      <c r="AT38" s="570">
        <f t="shared" si="7"/>
        <v>4.1250000000000002E-2</v>
      </c>
      <c r="AU38" s="570">
        <v>8307</v>
      </c>
      <c r="AV38" s="625">
        <f t="shared" si="46"/>
        <v>0.25</v>
      </c>
      <c r="AW38" s="1003">
        <v>9537</v>
      </c>
      <c r="AX38" s="724">
        <f t="shared" si="47"/>
        <v>9537</v>
      </c>
      <c r="AY38" s="724">
        <f t="shared" si="48"/>
        <v>114.80678945467677</v>
      </c>
      <c r="AZ38" s="724">
        <f t="shared" si="11"/>
        <v>100</v>
      </c>
      <c r="BA38" s="594">
        <f t="shared" si="12"/>
        <v>4.1250000000000002E-2</v>
      </c>
      <c r="BB38" s="594">
        <f t="shared" si="13"/>
        <v>100</v>
      </c>
      <c r="BC38" s="546">
        <v>522000000</v>
      </c>
      <c r="BD38" s="546">
        <v>0</v>
      </c>
      <c r="BE38" s="546">
        <v>522000000</v>
      </c>
      <c r="BF38" s="546">
        <v>0</v>
      </c>
      <c r="BG38" s="546">
        <v>0</v>
      </c>
      <c r="BH38" s="546">
        <v>0</v>
      </c>
      <c r="BI38" s="546">
        <v>0</v>
      </c>
      <c r="BJ38" s="546">
        <v>0</v>
      </c>
      <c r="BK38" s="723">
        <v>659343287</v>
      </c>
      <c r="BL38" s="722">
        <v>659343287</v>
      </c>
      <c r="BM38" s="722">
        <v>0</v>
      </c>
      <c r="BN38" s="722">
        <v>0</v>
      </c>
      <c r="BO38" s="722">
        <v>0</v>
      </c>
      <c r="BP38" s="722">
        <v>0</v>
      </c>
      <c r="BQ38" s="722">
        <v>0</v>
      </c>
      <c r="BR38" s="722">
        <v>0</v>
      </c>
      <c r="BS38" s="722">
        <v>0</v>
      </c>
      <c r="BT38" s="722">
        <v>0</v>
      </c>
      <c r="BU38" s="722">
        <v>0</v>
      </c>
      <c r="BV38" s="580">
        <f t="shared" si="14"/>
        <v>4.1250000000000002E-2</v>
      </c>
      <c r="BW38" s="588">
        <v>8307</v>
      </c>
      <c r="BX38" s="623">
        <f t="shared" si="49"/>
        <v>0.25</v>
      </c>
      <c r="BY38" s="607">
        <v>20106</v>
      </c>
      <c r="BZ38" s="629">
        <v>20106</v>
      </c>
      <c r="CA38" s="1017">
        <v>20106</v>
      </c>
      <c r="CB38" s="721">
        <f t="shared" si="50"/>
        <v>20106</v>
      </c>
      <c r="CC38" s="721">
        <f t="shared" si="51"/>
        <v>242.03683640303359</v>
      </c>
      <c r="CD38" s="720">
        <f t="shared" si="18"/>
        <v>100</v>
      </c>
      <c r="CE38" s="618">
        <f t="shared" si="19"/>
        <v>4.1250000000000002E-2</v>
      </c>
      <c r="CF38" s="719">
        <f t="shared" si="20"/>
        <v>100</v>
      </c>
      <c r="CG38" s="618">
        <f t="shared" si="21"/>
        <v>9.9840195016251354E-2</v>
      </c>
      <c r="CH38" s="718">
        <f t="shared" si="22"/>
        <v>4.1250000000000002E-2</v>
      </c>
      <c r="CI38" s="552">
        <v>8307</v>
      </c>
      <c r="CJ38" s="551">
        <f t="shared" si="52"/>
        <v>0.25</v>
      </c>
      <c r="CK38" s="874">
        <v>23991</v>
      </c>
      <c r="CL38" s="533">
        <f t="shared" si="53"/>
        <v>-15684</v>
      </c>
      <c r="CM38" s="619">
        <f t="shared" si="54"/>
        <v>23991</v>
      </c>
      <c r="CN38" s="619">
        <f t="shared" si="55"/>
        <v>288.80462260743951</v>
      </c>
      <c r="CO38" s="549">
        <f t="shared" si="27"/>
        <v>100</v>
      </c>
      <c r="CP38" s="619">
        <f t="shared" si="28"/>
        <v>4.1250000000000002E-2</v>
      </c>
      <c r="CQ38" s="619">
        <f t="shared" si="29"/>
        <v>0.1191319068255688</v>
      </c>
      <c r="CR38" s="546">
        <v>522000000</v>
      </c>
      <c r="CS38" s="546">
        <v>522000000</v>
      </c>
      <c r="CT38" s="546">
        <v>0</v>
      </c>
      <c r="CU38" s="546">
        <v>0</v>
      </c>
      <c r="CV38" s="546">
        <v>0</v>
      </c>
      <c r="CW38" s="546">
        <v>0</v>
      </c>
      <c r="CX38" s="546">
        <v>0</v>
      </c>
      <c r="CY38" s="546">
        <v>0</v>
      </c>
      <c r="CZ38" s="618">
        <v>0</v>
      </c>
      <c r="DA38" s="618">
        <v>0</v>
      </c>
      <c r="DB38" s="618">
        <v>0</v>
      </c>
      <c r="DC38" s="618">
        <v>0</v>
      </c>
      <c r="DD38" s="618">
        <v>0</v>
      </c>
      <c r="DE38" s="618">
        <v>0</v>
      </c>
      <c r="DF38" s="618">
        <v>0</v>
      </c>
      <c r="DG38" s="618">
        <v>0</v>
      </c>
      <c r="DH38" s="618">
        <v>0</v>
      </c>
      <c r="DI38" s="618">
        <v>0</v>
      </c>
      <c r="DJ38" s="618">
        <v>0</v>
      </c>
      <c r="DK38" s="1034">
        <f t="shared" si="56"/>
        <v>63602</v>
      </c>
      <c r="DL38" s="543">
        <f t="shared" si="31"/>
        <v>0.16500000000000001</v>
      </c>
      <c r="DM38" s="542">
        <f t="shared" si="32"/>
        <v>191.41085831226675</v>
      </c>
      <c r="DN38" s="594">
        <f t="shared" si="33"/>
        <v>100</v>
      </c>
      <c r="DO38" s="540">
        <f t="shared" si="34"/>
        <v>0.16500000000000001</v>
      </c>
      <c r="DP38" s="597">
        <f>+IF(((DN38*Q38)/100)&lt;Q38, ((DN38*Q38)/100),Q38)</f>
        <v>0.16500000000000001</v>
      </c>
      <c r="DQ38" s="538">
        <f t="shared" si="35"/>
        <v>0.16500000000000001</v>
      </c>
      <c r="DR38" s="617">
        <f t="shared" si="36"/>
        <v>1</v>
      </c>
      <c r="DS38" s="616">
        <f t="shared" si="37"/>
        <v>0</v>
      </c>
      <c r="DT38" s="259">
        <v>39</v>
      </c>
      <c r="DU38" s="260" t="s">
        <v>376</v>
      </c>
      <c r="DV38" s="259"/>
      <c r="DW38" s="260" t="s">
        <v>242</v>
      </c>
      <c r="DX38" s="259"/>
      <c r="DY38" s="259"/>
      <c r="DZ38" s="259"/>
      <c r="EA38" s="987"/>
      <c r="EB38" s="1041" t="s">
        <v>2387</v>
      </c>
      <c r="EC38" s="802">
        <v>522000000</v>
      </c>
      <c r="EE38" s="1047"/>
    </row>
    <row r="39" spans="4:135" s="534" customFormat="1" ht="63.75" hidden="1" x14ac:dyDescent="0.3">
      <c r="D39" s="783">
        <v>36</v>
      </c>
      <c r="E39" s="799">
        <v>55</v>
      </c>
      <c r="F39" s="787" t="s">
        <v>200</v>
      </c>
      <c r="G39" s="787" t="s">
        <v>3</v>
      </c>
      <c r="H39" s="788" t="s">
        <v>132</v>
      </c>
      <c r="I39" s="712" t="s">
        <v>346</v>
      </c>
      <c r="J39" s="573" t="s">
        <v>405</v>
      </c>
      <c r="K39" s="573" t="s">
        <v>406</v>
      </c>
      <c r="L39" s="702" t="s">
        <v>1682</v>
      </c>
      <c r="M39" s="570" t="s">
        <v>2017</v>
      </c>
      <c r="N39" s="570">
        <v>0</v>
      </c>
      <c r="O39" s="570">
        <f>+N39+P39</f>
        <v>850</v>
      </c>
      <c r="P39" s="569">
        <v>850</v>
      </c>
      <c r="Q39" s="595">
        <v>0.16500000000000001</v>
      </c>
      <c r="R39" s="580">
        <f t="shared" si="0"/>
        <v>4.0764705882352946E-2</v>
      </c>
      <c r="S39" s="708">
        <v>210</v>
      </c>
      <c r="T39" s="625">
        <f t="shared" si="43"/>
        <v>0.24705882352941178</v>
      </c>
      <c r="U39" s="992">
        <v>231</v>
      </c>
      <c r="V39" s="626">
        <f t="shared" si="44"/>
        <v>231</v>
      </c>
      <c r="W39" s="594">
        <f t="shared" si="45"/>
        <v>110</v>
      </c>
      <c r="X39" s="594">
        <f t="shared" si="4"/>
        <v>100</v>
      </c>
      <c r="Y39" s="594">
        <f t="shared" si="40"/>
        <v>4.0764705882352946E-2</v>
      </c>
      <c r="Z39" s="594">
        <f t="shared" si="6"/>
        <v>100</v>
      </c>
      <c r="AA39" s="546">
        <v>135000000</v>
      </c>
      <c r="AB39" s="546">
        <v>135000000</v>
      </c>
      <c r="AC39" s="546">
        <v>0</v>
      </c>
      <c r="AD39" s="546">
        <v>0</v>
      </c>
      <c r="AE39" s="546">
        <v>0</v>
      </c>
      <c r="AF39" s="546">
        <v>0</v>
      </c>
      <c r="AG39" s="546">
        <v>0</v>
      </c>
      <c r="AH39" s="546">
        <v>0</v>
      </c>
      <c r="AI39" s="546">
        <v>63000000</v>
      </c>
      <c r="AJ39" s="546">
        <v>63000000</v>
      </c>
      <c r="AK39" s="546">
        <v>0</v>
      </c>
      <c r="AL39" s="546">
        <v>0</v>
      </c>
      <c r="AM39" s="546">
        <v>0</v>
      </c>
      <c r="AN39" s="546">
        <v>0</v>
      </c>
      <c r="AO39" s="546">
        <v>0</v>
      </c>
      <c r="AP39" s="546">
        <v>0</v>
      </c>
      <c r="AQ39" s="546">
        <v>0</v>
      </c>
      <c r="AR39" s="546">
        <v>0</v>
      </c>
      <c r="AS39" s="546" t="s">
        <v>2045</v>
      </c>
      <c r="AT39" s="570">
        <f t="shared" si="7"/>
        <v>4.0764705882352946E-2</v>
      </c>
      <c r="AU39" s="570">
        <v>210</v>
      </c>
      <c r="AV39" s="625">
        <f t="shared" si="46"/>
        <v>0.24705882352941178</v>
      </c>
      <c r="AW39" s="1003">
        <v>244</v>
      </c>
      <c r="AX39" s="724">
        <f t="shared" si="47"/>
        <v>244</v>
      </c>
      <c r="AY39" s="724">
        <f t="shared" si="48"/>
        <v>116.19047619047619</v>
      </c>
      <c r="AZ39" s="724">
        <f t="shared" si="11"/>
        <v>100</v>
      </c>
      <c r="BA39" s="594">
        <f t="shared" si="12"/>
        <v>4.0764705882352946E-2</v>
      </c>
      <c r="BB39" s="594">
        <f t="shared" si="13"/>
        <v>100</v>
      </c>
      <c r="BC39" s="546">
        <v>135000000</v>
      </c>
      <c r="BD39" s="546">
        <v>0</v>
      </c>
      <c r="BE39" s="546">
        <v>135000000</v>
      </c>
      <c r="BF39" s="546">
        <v>0</v>
      </c>
      <c r="BG39" s="546">
        <v>0</v>
      </c>
      <c r="BH39" s="546">
        <v>0</v>
      </c>
      <c r="BI39" s="546">
        <v>0</v>
      </c>
      <c r="BJ39" s="546">
        <v>0</v>
      </c>
      <c r="BK39" s="723">
        <v>441513373</v>
      </c>
      <c r="BL39" s="722">
        <v>441513373</v>
      </c>
      <c r="BM39" s="722">
        <v>0</v>
      </c>
      <c r="BN39" s="722">
        <v>0</v>
      </c>
      <c r="BO39" s="722">
        <v>0</v>
      </c>
      <c r="BP39" s="722">
        <v>0</v>
      </c>
      <c r="BQ39" s="722">
        <v>0</v>
      </c>
      <c r="BR39" s="722">
        <v>0</v>
      </c>
      <c r="BS39" s="722">
        <v>0</v>
      </c>
      <c r="BT39" s="722">
        <v>0</v>
      </c>
      <c r="BU39" s="722">
        <v>0</v>
      </c>
      <c r="BV39" s="580">
        <f t="shared" si="14"/>
        <v>4.0764705882352946E-2</v>
      </c>
      <c r="BW39" s="588">
        <v>210</v>
      </c>
      <c r="BX39" s="623">
        <f t="shared" si="49"/>
        <v>0.24705882352941178</v>
      </c>
      <c r="BY39" s="607">
        <v>250</v>
      </c>
      <c r="BZ39" s="629">
        <v>250</v>
      </c>
      <c r="CA39" s="1017">
        <v>250</v>
      </c>
      <c r="CB39" s="721">
        <f t="shared" si="50"/>
        <v>250</v>
      </c>
      <c r="CC39" s="721">
        <f t="shared" si="51"/>
        <v>119.04761904761905</v>
      </c>
      <c r="CD39" s="720">
        <f t="shared" si="18"/>
        <v>100</v>
      </c>
      <c r="CE39" s="618">
        <f t="shared" si="19"/>
        <v>4.0764705882352946E-2</v>
      </c>
      <c r="CF39" s="719">
        <f t="shared" si="20"/>
        <v>100</v>
      </c>
      <c r="CG39" s="618">
        <f t="shared" si="21"/>
        <v>4.852941176470589E-2</v>
      </c>
      <c r="CH39" s="718">
        <f t="shared" si="22"/>
        <v>4.2705882352941184E-2</v>
      </c>
      <c r="CI39" s="552">
        <v>220</v>
      </c>
      <c r="CJ39" s="551">
        <f t="shared" si="52"/>
        <v>0.25882352941176473</v>
      </c>
      <c r="CK39" s="874">
        <v>0</v>
      </c>
      <c r="CL39" s="533">
        <f t="shared" si="53"/>
        <v>220</v>
      </c>
      <c r="CM39" s="619">
        <f t="shared" si="54"/>
        <v>0</v>
      </c>
      <c r="CN39" s="619">
        <f t="shared" si="55"/>
        <v>0</v>
      </c>
      <c r="CO39" s="549">
        <f t="shared" si="27"/>
        <v>0</v>
      </c>
      <c r="CP39" s="619">
        <f t="shared" si="28"/>
        <v>0</v>
      </c>
      <c r="CQ39" s="619">
        <f t="shared" si="29"/>
        <v>0</v>
      </c>
      <c r="CR39" s="546">
        <v>135000000</v>
      </c>
      <c r="CS39" s="546">
        <v>135000000</v>
      </c>
      <c r="CT39" s="546">
        <v>0</v>
      </c>
      <c r="CU39" s="546">
        <v>0</v>
      </c>
      <c r="CV39" s="546">
        <v>0</v>
      </c>
      <c r="CW39" s="546">
        <v>0</v>
      </c>
      <c r="CX39" s="546">
        <v>0</v>
      </c>
      <c r="CY39" s="546">
        <v>0</v>
      </c>
      <c r="CZ39" s="618">
        <v>0</v>
      </c>
      <c r="DA39" s="618">
        <v>0</v>
      </c>
      <c r="DB39" s="618">
        <v>0</v>
      </c>
      <c r="DC39" s="618">
        <v>0</v>
      </c>
      <c r="DD39" s="618">
        <v>0</v>
      </c>
      <c r="DE39" s="618">
        <v>0</v>
      </c>
      <c r="DF39" s="618">
        <v>0</v>
      </c>
      <c r="DG39" s="618">
        <v>0</v>
      </c>
      <c r="DH39" s="618">
        <v>0</v>
      </c>
      <c r="DI39" s="618">
        <v>0</v>
      </c>
      <c r="DJ39" s="618">
        <v>0</v>
      </c>
      <c r="DK39" s="1034">
        <f t="shared" si="56"/>
        <v>725</v>
      </c>
      <c r="DL39" s="543">
        <f t="shared" si="31"/>
        <v>0.16500000000000001</v>
      </c>
      <c r="DM39" s="542">
        <f t="shared" si="32"/>
        <v>85.294117647058826</v>
      </c>
      <c r="DN39" s="594">
        <f t="shared" si="33"/>
        <v>85.294117647058826</v>
      </c>
      <c r="DO39" s="540">
        <f t="shared" si="34"/>
        <v>0.14073529411764707</v>
      </c>
      <c r="DP39" s="597">
        <f>+IF(((DN39*Q39)/100)&lt;Q39, ((DN39*Q39)/100),Q39)</f>
        <v>0.14073529411764707</v>
      </c>
      <c r="DQ39" s="538">
        <f t="shared" si="35"/>
        <v>0.14073529411764707</v>
      </c>
      <c r="DR39" s="617">
        <f t="shared" si="36"/>
        <v>1</v>
      </c>
      <c r="DS39" s="616">
        <f t="shared" si="37"/>
        <v>0</v>
      </c>
      <c r="DT39" s="259">
        <v>39</v>
      </c>
      <c r="DU39" s="260" t="s">
        <v>376</v>
      </c>
      <c r="DV39" s="259"/>
      <c r="DW39" s="260" t="s">
        <v>242</v>
      </c>
      <c r="DX39" s="259"/>
      <c r="DY39" s="259"/>
      <c r="DZ39" s="259"/>
      <c r="EA39" s="987"/>
      <c r="EB39" s="1041" t="s">
        <v>2388</v>
      </c>
      <c r="EC39" s="802">
        <v>135000000</v>
      </c>
      <c r="EE39" s="1047"/>
    </row>
    <row r="40" spans="4:135" s="534" customFormat="1" ht="63.75" hidden="1" x14ac:dyDescent="0.3">
      <c r="D40" s="783">
        <v>37</v>
      </c>
      <c r="E40" s="799">
        <v>56</v>
      </c>
      <c r="F40" s="787" t="s">
        <v>200</v>
      </c>
      <c r="G40" s="787" t="s">
        <v>3</v>
      </c>
      <c r="H40" s="788" t="s">
        <v>132</v>
      </c>
      <c r="I40" s="712" t="s">
        <v>346</v>
      </c>
      <c r="J40" s="573" t="s">
        <v>407</v>
      </c>
      <c r="K40" s="573" t="s">
        <v>408</v>
      </c>
      <c r="L40" s="702" t="s">
        <v>1682</v>
      </c>
      <c r="M40" s="570" t="s">
        <v>2032</v>
      </c>
      <c r="N40" s="570">
        <v>0</v>
      </c>
      <c r="O40" s="570">
        <f>+P40</f>
        <v>24000</v>
      </c>
      <c r="P40" s="569">
        <v>24000</v>
      </c>
      <c r="Q40" s="595">
        <v>0.16500000000000001</v>
      </c>
      <c r="R40" s="580">
        <f t="shared" si="0"/>
        <v>4.1250000000000002E-2</v>
      </c>
      <c r="S40" s="708">
        <v>24000</v>
      </c>
      <c r="T40" s="625">
        <f t="shared" si="43"/>
        <v>0.25</v>
      </c>
      <c r="U40" s="992">
        <v>75330</v>
      </c>
      <c r="V40" s="626">
        <f t="shared" si="44"/>
        <v>18832.5</v>
      </c>
      <c r="W40" s="594">
        <f t="shared" si="45"/>
        <v>313.875</v>
      </c>
      <c r="X40" s="594">
        <f t="shared" si="4"/>
        <v>100</v>
      </c>
      <c r="Y40" s="594">
        <f t="shared" si="40"/>
        <v>4.1250000000000002E-2</v>
      </c>
      <c r="Z40" s="594">
        <f t="shared" si="6"/>
        <v>100</v>
      </c>
      <c r="AA40" s="546">
        <v>650000000</v>
      </c>
      <c r="AB40" s="546">
        <v>650000000</v>
      </c>
      <c r="AC40" s="546">
        <v>0</v>
      </c>
      <c r="AD40" s="546">
        <v>0</v>
      </c>
      <c r="AE40" s="546">
        <v>0</v>
      </c>
      <c r="AF40" s="546">
        <v>0</v>
      </c>
      <c r="AG40" s="546">
        <v>0</v>
      </c>
      <c r="AH40" s="546">
        <v>0</v>
      </c>
      <c r="AI40" s="546">
        <v>984002000</v>
      </c>
      <c r="AJ40" s="546">
        <v>984002000</v>
      </c>
      <c r="AK40" s="546">
        <v>0</v>
      </c>
      <c r="AL40" s="546">
        <v>0</v>
      </c>
      <c r="AM40" s="546">
        <v>0</v>
      </c>
      <c r="AN40" s="546">
        <v>0</v>
      </c>
      <c r="AO40" s="546">
        <v>0</v>
      </c>
      <c r="AP40" s="546">
        <v>0</v>
      </c>
      <c r="AQ40" s="546">
        <v>0</v>
      </c>
      <c r="AR40" s="546">
        <v>0</v>
      </c>
      <c r="AS40" s="546" t="s">
        <v>2045</v>
      </c>
      <c r="AT40" s="570">
        <f t="shared" si="7"/>
        <v>4.1250000000000002E-2</v>
      </c>
      <c r="AU40" s="570">
        <v>24000</v>
      </c>
      <c r="AV40" s="625">
        <f t="shared" si="46"/>
        <v>0.25</v>
      </c>
      <c r="AW40" s="1003">
        <v>24554</v>
      </c>
      <c r="AX40" s="724">
        <f t="shared" si="47"/>
        <v>6138.5</v>
      </c>
      <c r="AY40" s="724">
        <f t="shared" si="48"/>
        <v>102.30833333333334</v>
      </c>
      <c r="AZ40" s="724">
        <f t="shared" si="11"/>
        <v>100</v>
      </c>
      <c r="BA40" s="594">
        <f t="shared" si="12"/>
        <v>4.1250000000000002E-2</v>
      </c>
      <c r="BB40" s="594">
        <f t="shared" si="13"/>
        <v>100</v>
      </c>
      <c r="BC40" s="546">
        <v>650000000</v>
      </c>
      <c r="BD40" s="546">
        <v>0</v>
      </c>
      <c r="BE40" s="546">
        <v>650000000</v>
      </c>
      <c r="BF40" s="546">
        <v>0</v>
      </c>
      <c r="BG40" s="546">
        <v>0</v>
      </c>
      <c r="BH40" s="546">
        <v>0</v>
      </c>
      <c r="BI40" s="546">
        <v>0</v>
      </c>
      <c r="BJ40" s="546">
        <v>0</v>
      </c>
      <c r="BK40" s="723">
        <v>834485654</v>
      </c>
      <c r="BL40" s="722">
        <v>515949134</v>
      </c>
      <c r="BM40" s="722">
        <v>0</v>
      </c>
      <c r="BN40" s="722">
        <v>318536520</v>
      </c>
      <c r="BO40" s="722">
        <v>0</v>
      </c>
      <c r="BP40" s="722">
        <v>0</v>
      </c>
      <c r="BQ40" s="722">
        <v>0</v>
      </c>
      <c r="BR40" s="722">
        <v>0</v>
      </c>
      <c r="BS40" s="722">
        <v>0</v>
      </c>
      <c r="BT40" s="722">
        <v>0</v>
      </c>
      <c r="BU40" s="722">
        <v>0</v>
      </c>
      <c r="BV40" s="580">
        <f t="shared" si="14"/>
        <v>4.1250000000000002E-2</v>
      </c>
      <c r="BW40" s="588">
        <v>24000</v>
      </c>
      <c r="BX40" s="623">
        <f t="shared" si="49"/>
        <v>0.25</v>
      </c>
      <c r="BY40" s="607">
        <v>0</v>
      </c>
      <c r="BZ40" s="629">
        <v>0</v>
      </c>
      <c r="CA40" s="1017">
        <v>24265</v>
      </c>
      <c r="CB40" s="721">
        <f t="shared" si="50"/>
        <v>6066.25</v>
      </c>
      <c r="CC40" s="721">
        <f t="shared" si="51"/>
        <v>101.10416666666667</v>
      </c>
      <c r="CD40" s="720">
        <f t="shared" si="18"/>
        <v>100</v>
      </c>
      <c r="CE40" s="618">
        <f t="shared" si="19"/>
        <v>4.1250000000000002E-2</v>
      </c>
      <c r="CF40" s="719">
        <f t="shared" si="20"/>
        <v>100</v>
      </c>
      <c r="CG40" s="618">
        <f t="shared" si="21"/>
        <v>4.1705468750000002E-2</v>
      </c>
      <c r="CH40" s="718">
        <f t="shared" si="22"/>
        <v>4.1250000000000002E-2</v>
      </c>
      <c r="CI40" s="552">
        <v>23080</v>
      </c>
      <c r="CJ40" s="551">
        <f t="shared" si="52"/>
        <v>0.25</v>
      </c>
      <c r="CK40" s="874">
        <v>7985</v>
      </c>
      <c r="CL40" s="533">
        <f t="shared" si="53"/>
        <v>15095</v>
      </c>
      <c r="CM40" s="619">
        <f t="shared" si="54"/>
        <v>1996.25</v>
      </c>
      <c r="CN40" s="619">
        <f t="shared" si="55"/>
        <v>34.597053726169847</v>
      </c>
      <c r="CO40" s="619">
        <f t="shared" si="27"/>
        <v>34.597053726169847</v>
      </c>
      <c r="CP40" s="619">
        <f t="shared" si="28"/>
        <v>1.4271284662045063E-2</v>
      </c>
      <c r="CQ40" s="619">
        <f t="shared" si="29"/>
        <v>1.4271284662045063E-2</v>
      </c>
      <c r="CR40" s="546">
        <v>650000000</v>
      </c>
      <c r="CS40" s="546">
        <v>650000000</v>
      </c>
      <c r="CT40" s="546">
        <v>0</v>
      </c>
      <c r="CU40" s="546">
        <v>0</v>
      </c>
      <c r="CV40" s="546">
        <v>0</v>
      </c>
      <c r="CW40" s="546">
        <v>0</v>
      </c>
      <c r="CX40" s="546">
        <v>0</v>
      </c>
      <c r="CY40" s="546">
        <v>0</v>
      </c>
      <c r="CZ40" s="618">
        <v>0</v>
      </c>
      <c r="DA40" s="618">
        <v>0</v>
      </c>
      <c r="DB40" s="618">
        <v>0</v>
      </c>
      <c r="DC40" s="618">
        <v>0</v>
      </c>
      <c r="DD40" s="618">
        <v>0</v>
      </c>
      <c r="DE40" s="618">
        <v>0</v>
      </c>
      <c r="DF40" s="618">
        <v>0</v>
      </c>
      <c r="DG40" s="618">
        <v>0</v>
      </c>
      <c r="DH40" s="618">
        <v>0</v>
      </c>
      <c r="DI40" s="618">
        <v>0</v>
      </c>
      <c r="DJ40" s="618">
        <v>0</v>
      </c>
      <c r="DK40" s="1034">
        <f t="shared" si="56"/>
        <v>33033.5</v>
      </c>
      <c r="DL40" s="543">
        <f t="shared" si="31"/>
        <v>0.16500000000000001</v>
      </c>
      <c r="DM40" s="542">
        <f t="shared" si="32"/>
        <v>137.63958333333332</v>
      </c>
      <c r="DN40" s="594">
        <f t="shared" si="33"/>
        <v>100</v>
      </c>
      <c r="DO40" s="540">
        <f t="shared" si="34"/>
        <v>0.16500000000000001</v>
      </c>
      <c r="DP40" s="597">
        <f>+IF(M40="M",DO40,0)</f>
        <v>0.16500000000000001</v>
      </c>
      <c r="DQ40" s="538">
        <f t="shared" si="35"/>
        <v>0.16500000000000001</v>
      </c>
      <c r="DR40" s="617">
        <f t="shared" si="36"/>
        <v>1</v>
      </c>
      <c r="DS40" s="616">
        <f t="shared" si="37"/>
        <v>0</v>
      </c>
      <c r="DT40" s="259">
        <v>39</v>
      </c>
      <c r="DU40" s="260" t="s">
        <v>376</v>
      </c>
      <c r="DV40" s="259"/>
      <c r="DW40" s="260" t="s">
        <v>242</v>
      </c>
      <c r="DX40" s="259"/>
      <c r="DY40" s="259"/>
      <c r="DZ40" s="259"/>
      <c r="EA40" s="987"/>
      <c r="EB40" s="1041" t="s">
        <v>2389</v>
      </c>
      <c r="EC40" s="802">
        <v>650000000</v>
      </c>
      <c r="EE40" s="1047"/>
    </row>
    <row r="41" spans="4:135" s="534" customFormat="1" ht="51" hidden="1" x14ac:dyDescent="0.3">
      <c r="D41" s="783">
        <v>38</v>
      </c>
      <c r="E41" s="799">
        <v>57</v>
      </c>
      <c r="F41" s="787" t="s">
        <v>200</v>
      </c>
      <c r="G41" s="787" t="s">
        <v>3</v>
      </c>
      <c r="H41" s="788" t="s">
        <v>132</v>
      </c>
      <c r="I41" s="712" t="s">
        <v>346</v>
      </c>
      <c r="J41" s="573" t="s">
        <v>409</v>
      </c>
      <c r="K41" s="573" t="s">
        <v>410</v>
      </c>
      <c r="L41" s="702" t="s">
        <v>1682</v>
      </c>
      <c r="M41" s="570" t="s">
        <v>2017</v>
      </c>
      <c r="N41" s="570">
        <v>0</v>
      </c>
      <c r="O41" s="570">
        <f>+N41+P41</f>
        <v>12180</v>
      </c>
      <c r="P41" s="569">
        <v>12180</v>
      </c>
      <c r="Q41" s="595">
        <v>0.16500000000000001</v>
      </c>
      <c r="R41" s="580">
        <f t="shared" si="0"/>
        <v>4.1250000000000002E-2</v>
      </c>
      <c r="S41" s="708">
        <v>3045</v>
      </c>
      <c r="T41" s="625">
        <f t="shared" si="43"/>
        <v>0.25</v>
      </c>
      <c r="U41" s="992">
        <v>4586</v>
      </c>
      <c r="V41" s="626">
        <f t="shared" si="44"/>
        <v>4586</v>
      </c>
      <c r="W41" s="594">
        <f t="shared" si="45"/>
        <v>150.60755336617405</v>
      </c>
      <c r="X41" s="594">
        <f t="shared" si="4"/>
        <v>100</v>
      </c>
      <c r="Y41" s="594">
        <f t="shared" si="40"/>
        <v>4.1250000000000002E-2</v>
      </c>
      <c r="Z41" s="594">
        <f t="shared" si="6"/>
        <v>100</v>
      </c>
      <c r="AA41" s="546">
        <v>320000000</v>
      </c>
      <c r="AB41" s="546">
        <v>0</v>
      </c>
      <c r="AC41" s="546">
        <v>0</v>
      </c>
      <c r="AD41" s="546">
        <v>0</v>
      </c>
      <c r="AE41" s="546">
        <v>0</v>
      </c>
      <c r="AF41" s="546">
        <v>0</v>
      </c>
      <c r="AG41" s="546">
        <v>0</v>
      </c>
      <c r="AH41" s="546">
        <v>320000000</v>
      </c>
      <c r="AI41" s="546">
        <v>357000000</v>
      </c>
      <c r="AJ41" s="546">
        <v>39000000</v>
      </c>
      <c r="AK41" s="546">
        <v>0</v>
      </c>
      <c r="AL41" s="546">
        <v>318000000</v>
      </c>
      <c r="AM41" s="546">
        <v>0</v>
      </c>
      <c r="AN41" s="546">
        <v>0</v>
      </c>
      <c r="AO41" s="546">
        <v>0</v>
      </c>
      <c r="AP41" s="546">
        <v>0</v>
      </c>
      <c r="AQ41" s="546">
        <v>0</v>
      </c>
      <c r="AR41" s="546">
        <v>0</v>
      </c>
      <c r="AS41" s="546" t="s">
        <v>2045</v>
      </c>
      <c r="AT41" s="570">
        <f t="shared" si="7"/>
        <v>4.1250000000000002E-2</v>
      </c>
      <c r="AU41" s="570">
        <v>3045</v>
      </c>
      <c r="AV41" s="625">
        <f t="shared" si="46"/>
        <v>0.25</v>
      </c>
      <c r="AW41" s="1003">
        <v>3051</v>
      </c>
      <c r="AX41" s="724">
        <f t="shared" si="47"/>
        <v>3051</v>
      </c>
      <c r="AY41" s="724">
        <f t="shared" si="48"/>
        <v>100.19704433497537</v>
      </c>
      <c r="AZ41" s="724">
        <f t="shared" si="11"/>
        <v>100</v>
      </c>
      <c r="BA41" s="594">
        <f t="shared" si="12"/>
        <v>4.1250000000000002E-2</v>
      </c>
      <c r="BB41" s="594">
        <f t="shared" si="13"/>
        <v>100</v>
      </c>
      <c r="BC41" s="546">
        <v>608000000</v>
      </c>
      <c r="BD41" s="546">
        <v>0</v>
      </c>
      <c r="BE41" s="546">
        <v>0</v>
      </c>
      <c r="BF41" s="546">
        <v>0</v>
      </c>
      <c r="BG41" s="546">
        <v>0</v>
      </c>
      <c r="BH41" s="546">
        <v>0</v>
      </c>
      <c r="BI41" s="546">
        <v>0</v>
      </c>
      <c r="BJ41" s="546">
        <v>608000000</v>
      </c>
      <c r="BK41" s="723">
        <v>288937356</v>
      </c>
      <c r="BL41" s="722">
        <v>152421704</v>
      </c>
      <c r="BM41" s="722">
        <v>0</v>
      </c>
      <c r="BN41" s="722">
        <v>136515652</v>
      </c>
      <c r="BO41" s="722">
        <v>0</v>
      </c>
      <c r="BP41" s="722">
        <v>0</v>
      </c>
      <c r="BQ41" s="722">
        <v>0</v>
      </c>
      <c r="BR41" s="722">
        <v>0</v>
      </c>
      <c r="BS41" s="722">
        <v>0</v>
      </c>
      <c r="BT41" s="722">
        <v>0</v>
      </c>
      <c r="BU41" s="722">
        <v>0</v>
      </c>
      <c r="BV41" s="580">
        <f t="shared" si="14"/>
        <v>4.584236453201971E-2</v>
      </c>
      <c r="BW41" s="588">
        <v>3384</v>
      </c>
      <c r="BX41" s="623">
        <f t="shared" si="49"/>
        <v>0.27783251231527095</v>
      </c>
      <c r="BY41" s="607">
        <v>0</v>
      </c>
      <c r="BZ41" s="629">
        <v>0</v>
      </c>
      <c r="CA41" s="1017">
        <v>3055</v>
      </c>
      <c r="CB41" s="721">
        <f t="shared" si="50"/>
        <v>3055</v>
      </c>
      <c r="CC41" s="721">
        <f t="shared" si="51"/>
        <v>90.277777777777771</v>
      </c>
      <c r="CD41" s="720">
        <f t="shared" si="18"/>
        <v>90.277777777777771</v>
      </c>
      <c r="CE41" s="618">
        <f t="shared" si="19"/>
        <v>4.1385467980295569E-2</v>
      </c>
      <c r="CF41" s="719">
        <f t="shared" si="20"/>
        <v>90.277777777777771</v>
      </c>
      <c r="CG41" s="618">
        <f t="shared" si="21"/>
        <v>4.1385467980295569E-2</v>
      </c>
      <c r="CH41" s="718">
        <f t="shared" si="22"/>
        <v>3.6657635467980301E-2</v>
      </c>
      <c r="CI41" s="552">
        <v>2706</v>
      </c>
      <c r="CJ41" s="551">
        <f t="shared" si="52"/>
        <v>0.22216748768472908</v>
      </c>
      <c r="CK41" s="874">
        <v>0</v>
      </c>
      <c r="CL41" s="533">
        <f t="shared" si="53"/>
        <v>2706</v>
      </c>
      <c r="CM41" s="619">
        <f t="shared" si="54"/>
        <v>0</v>
      </c>
      <c r="CN41" s="619">
        <f t="shared" si="55"/>
        <v>0</v>
      </c>
      <c r="CO41" s="549">
        <f t="shared" si="27"/>
        <v>0</v>
      </c>
      <c r="CP41" s="619">
        <f t="shared" si="28"/>
        <v>0</v>
      </c>
      <c r="CQ41" s="619">
        <f t="shared" si="29"/>
        <v>0</v>
      </c>
      <c r="CR41" s="546">
        <v>670000000</v>
      </c>
      <c r="CS41" s="546">
        <v>0</v>
      </c>
      <c r="CT41" s="546">
        <v>0</v>
      </c>
      <c r="CU41" s="546">
        <v>0</v>
      </c>
      <c r="CV41" s="546">
        <v>0</v>
      </c>
      <c r="CW41" s="546">
        <v>0</v>
      </c>
      <c r="CX41" s="546">
        <v>0</v>
      </c>
      <c r="CY41" s="546">
        <v>670000000</v>
      </c>
      <c r="CZ41" s="618">
        <v>0</v>
      </c>
      <c r="DA41" s="618">
        <v>0</v>
      </c>
      <c r="DB41" s="618">
        <v>0</v>
      </c>
      <c r="DC41" s="618">
        <v>0</v>
      </c>
      <c r="DD41" s="618">
        <v>0</v>
      </c>
      <c r="DE41" s="618">
        <v>0</v>
      </c>
      <c r="DF41" s="618">
        <v>0</v>
      </c>
      <c r="DG41" s="618">
        <v>0</v>
      </c>
      <c r="DH41" s="618">
        <v>0</v>
      </c>
      <c r="DI41" s="618">
        <v>0</v>
      </c>
      <c r="DJ41" s="618">
        <v>0</v>
      </c>
      <c r="DK41" s="1034">
        <f t="shared" si="56"/>
        <v>10692</v>
      </c>
      <c r="DL41" s="543">
        <f t="shared" si="31"/>
        <v>0.16500000000000004</v>
      </c>
      <c r="DM41" s="542">
        <f t="shared" si="32"/>
        <v>87.783251231527089</v>
      </c>
      <c r="DN41" s="594">
        <f t="shared" si="33"/>
        <v>87.783251231527089</v>
      </c>
      <c r="DO41" s="540">
        <f t="shared" si="34"/>
        <v>0.14484236453201971</v>
      </c>
      <c r="DP41" s="597">
        <f>+IF(((DN41*Q41)/100)&lt;Q41, ((DN41*Q41)/100),Q41)</f>
        <v>0.14484236453201971</v>
      </c>
      <c r="DQ41" s="538">
        <f t="shared" si="35"/>
        <v>0.14484236453201971</v>
      </c>
      <c r="DR41" s="617">
        <f t="shared" si="36"/>
        <v>1</v>
      </c>
      <c r="DS41" s="616">
        <f t="shared" si="37"/>
        <v>0</v>
      </c>
      <c r="DT41" s="259">
        <v>39</v>
      </c>
      <c r="DU41" s="260" t="s">
        <v>376</v>
      </c>
      <c r="DV41" s="259"/>
      <c r="DW41" s="260" t="s">
        <v>242</v>
      </c>
      <c r="DX41" s="259"/>
      <c r="DY41" s="259"/>
      <c r="DZ41" s="259"/>
      <c r="EA41" s="987"/>
      <c r="EB41" s="1041" t="s">
        <v>2390</v>
      </c>
      <c r="EC41" s="802">
        <v>638000000</v>
      </c>
      <c r="EE41" s="1047"/>
    </row>
    <row r="42" spans="4:135" s="534" customFormat="1" ht="76.5" hidden="1" x14ac:dyDescent="0.3">
      <c r="D42" s="783">
        <v>39</v>
      </c>
      <c r="E42" s="799">
        <v>58</v>
      </c>
      <c r="F42" s="787" t="s">
        <v>200</v>
      </c>
      <c r="G42" s="787" t="s">
        <v>239</v>
      </c>
      <c r="H42" s="788" t="s">
        <v>132</v>
      </c>
      <c r="I42" s="712" t="s">
        <v>346</v>
      </c>
      <c r="J42" s="573" t="s">
        <v>411</v>
      </c>
      <c r="K42" s="573" t="s">
        <v>412</v>
      </c>
      <c r="L42" s="702" t="s">
        <v>1593</v>
      </c>
      <c r="M42" s="570" t="s">
        <v>2032</v>
      </c>
      <c r="N42" s="570">
        <v>35</v>
      </c>
      <c r="O42" s="570">
        <f>+P42</f>
        <v>35</v>
      </c>
      <c r="P42" s="569">
        <v>35</v>
      </c>
      <c r="Q42" s="595">
        <v>0.16500000000000001</v>
      </c>
      <c r="R42" s="580">
        <f t="shared" si="0"/>
        <v>4.1250000000000002E-2</v>
      </c>
      <c r="S42" s="708">
        <v>35</v>
      </c>
      <c r="T42" s="625">
        <f t="shared" si="43"/>
        <v>0.25</v>
      </c>
      <c r="U42" s="992">
        <v>78</v>
      </c>
      <c r="V42" s="626">
        <f t="shared" si="44"/>
        <v>19.5</v>
      </c>
      <c r="W42" s="594">
        <f t="shared" si="45"/>
        <v>222.85714285714286</v>
      </c>
      <c r="X42" s="594">
        <f t="shared" si="4"/>
        <v>100</v>
      </c>
      <c r="Y42" s="594">
        <f t="shared" si="40"/>
        <v>4.1250000000000002E-2</v>
      </c>
      <c r="Z42" s="594">
        <f t="shared" si="6"/>
        <v>100</v>
      </c>
      <c r="AA42" s="546">
        <v>975000000</v>
      </c>
      <c r="AB42" s="546">
        <v>350000000</v>
      </c>
      <c r="AC42" s="546">
        <v>0</v>
      </c>
      <c r="AD42" s="546">
        <v>0</v>
      </c>
      <c r="AE42" s="546">
        <v>0</v>
      </c>
      <c r="AF42" s="546">
        <v>0</v>
      </c>
      <c r="AG42" s="546">
        <v>0</v>
      </c>
      <c r="AH42" s="546">
        <v>625000000</v>
      </c>
      <c r="AI42" s="546">
        <v>272032000</v>
      </c>
      <c r="AJ42" s="546">
        <v>272032000</v>
      </c>
      <c r="AK42" s="546">
        <v>0</v>
      </c>
      <c r="AL42" s="546">
        <v>0</v>
      </c>
      <c r="AM42" s="546">
        <v>0</v>
      </c>
      <c r="AN42" s="546">
        <v>0</v>
      </c>
      <c r="AO42" s="546">
        <v>0</v>
      </c>
      <c r="AP42" s="546">
        <v>0</v>
      </c>
      <c r="AQ42" s="546">
        <v>0</v>
      </c>
      <c r="AR42" s="546">
        <v>91335000</v>
      </c>
      <c r="AS42" s="546" t="s">
        <v>1593</v>
      </c>
      <c r="AT42" s="570">
        <f t="shared" si="7"/>
        <v>4.1250000000000002E-2</v>
      </c>
      <c r="AU42" s="570">
        <v>35</v>
      </c>
      <c r="AV42" s="625">
        <f t="shared" si="46"/>
        <v>0.25</v>
      </c>
      <c r="AW42" s="1003">
        <v>88</v>
      </c>
      <c r="AX42" s="724">
        <f t="shared" si="47"/>
        <v>22</v>
      </c>
      <c r="AY42" s="724">
        <f t="shared" si="48"/>
        <v>251.42857142857142</v>
      </c>
      <c r="AZ42" s="724">
        <f t="shared" si="11"/>
        <v>100</v>
      </c>
      <c r="BA42" s="594">
        <f t="shared" si="12"/>
        <v>4.1250000000000002E-2</v>
      </c>
      <c r="BB42" s="594">
        <f t="shared" si="13"/>
        <v>100</v>
      </c>
      <c r="BC42" s="546">
        <v>975000000</v>
      </c>
      <c r="BD42" s="546">
        <v>0</v>
      </c>
      <c r="BE42" s="546">
        <v>350000000</v>
      </c>
      <c r="BF42" s="546">
        <v>0</v>
      </c>
      <c r="BG42" s="546">
        <v>0</v>
      </c>
      <c r="BH42" s="546">
        <v>0</v>
      </c>
      <c r="BI42" s="546">
        <v>0</v>
      </c>
      <c r="BJ42" s="546">
        <v>625000000</v>
      </c>
      <c r="BK42" s="723">
        <v>458433333</v>
      </c>
      <c r="BL42" s="722">
        <v>458433333</v>
      </c>
      <c r="BM42" s="722">
        <v>0</v>
      </c>
      <c r="BN42" s="722">
        <v>0</v>
      </c>
      <c r="BO42" s="722">
        <v>0</v>
      </c>
      <c r="BP42" s="722">
        <v>0</v>
      </c>
      <c r="BQ42" s="722">
        <v>0</v>
      </c>
      <c r="BR42" s="722">
        <v>0</v>
      </c>
      <c r="BS42" s="722">
        <v>0</v>
      </c>
      <c r="BT42" s="722">
        <v>0</v>
      </c>
      <c r="BU42" s="722">
        <v>0</v>
      </c>
      <c r="BV42" s="580">
        <f t="shared" si="14"/>
        <v>4.1250000000000002E-2</v>
      </c>
      <c r="BW42" s="588">
        <v>35</v>
      </c>
      <c r="BX42" s="623">
        <f t="shared" si="49"/>
        <v>0.25</v>
      </c>
      <c r="BY42" s="639">
        <v>46</v>
      </c>
      <c r="BZ42" s="638">
        <v>46</v>
      </c>
      <c r="CA42" s="1018">
        <v>47</v>
      </c>
      <c r="CB42" s="721">
        <f t="shared" si="50"/>
        <v>11.75</v>
      </c>
      <c r="CC42" s="721">
        <f t="shared" si="51"/>
        <v>134.28571428571428</v>
      </c>
      <c r="CD42" s="720">
        <f t="shared" si="18"/>
        <v>100</v>
      </c>
      <c r="CE42" s="618">
        <f t="shared" si="19"/>
        <v>4.1250000000000002E-2</v>
      </c>
      <c r="CF42" s="719">
        <f t="shared" si="20"/>
        <v>100</v>
      </c>
      <c r="CG42" s="618">
        <f t="shared" si="21"/>
        <v>5.5392857142857146E-2</v>
      </c>
      <c r="CH42" s="718">
        <f t="shared" si="22"/>
        <v>4.1250000000000002E-2</v>
      </c>
      <c r="CI42" s="552">
        <v>35</v>
      </c>
      <c r="CJ42" s="551">
        <f t="shared" si="52"/>
        <v>0.25</v>
      </c>
      <c r="CK42" s="874">
        <v>3</v>
      </c>
      <c r="CL42" s="533">
        <f t="shared" si="53"/>
        <v>32</v>
      </c>
      <c r="CM42" s="619">
        <f t="shared" si="54"/>
        <v>0.75</v>
      </c>
      <c r="CN42" s="619">
        <f t="shared" si="55"/>
        <v>8.5714285714285712</v>
      </c>
      <c r="CO42" s="619">
        <f t="shared" si="27"/>
        <v>8.5714285714285712</v>
      </c>
      <c r="CP42" s="619">
        <f t="shared" si="28"/>
        <v>3.5357142857142861E-3</v>
      </c>
      <c r="CQ42" s="619">
        <f t="shared" si="29"/>
        <v>3.5357142857142861E-3</v>
      </c>
      <c r="CR42" s="546">
        <v>975000000</v>
      </c>
      <c r="CS42" s="546">
        <v>350000000</v>
      </c>
      <c r="CT42" s="546">
        <v>0</v>
      </c>
      <c r="CU42" s="546">
        <v>0</v>
      </c>
      <c r="CV42" s="546">
        <v>0</v>
      </c>
      <c r="CW42" s="546">
        <v>0</v>
      </c>
      <c r="CX42" s="546">
        <v>0</v>
      </c>
      <c r="CY42" s="546">
        <v>625000000</v>
      </c>
      <c r="CZ42" s="618">
        <v>0</v>
      </c>
      <c r="DA42" s="618">
        <v>0</v>
      </c>
      <c r="DB42" s="618">
        <v>0</v>
      </c>
      <c r="DC42" s="618">
        <v>0</v>
      </c>
      <c r="DD42" s="618">
        <v>0</v>
      </c>
      <c r="DE42" s="618">
        <v>0</v>
      </c>
      <c r="DF42" s="618">
        <v>0</v>
      </c>
      <c r="DG42" s="618">
        <v>0</v>
      </c>
      <c r="DH42" s="618">
        <v>0</v>
      </c>
      <c r="DI42" s="618">
        <v>0</v>
      </c>
      <c r="DJ42" s="618">
        <v>0</v>
      </c>
      <c r="DK42" s="1034">
        <f t="shared" si="56"/>
        <v>54</v>
      </c>
      <c r="DL42" s="543">
        <f t="shared" si="31"/>
        <v>0.16500000000000001</v>
      </c>
      <c r="DM42" s="542">
        <f t="shared" si="32"/>
        <v>154.28571428571428</v>
      </c>
      <c r="DN42" s="594">
        <f t="shared" si="33"/>
        <v>100</v>
      </c>
      <c r="DO42" s="540">
        <f t="shared" si="34"/>
        <v>0.16500000000000001</v>
      </c>
      <c r="DP42" s="597">
        <f>+IF(M42="M",DO42,0)</f>
        <v>0.16500000000000001</v>
      </c>
      <c r="DQ42" s="538">
        <f t="shared" si="35"/>
        <v>0.16500000000000001</v>
      </c>
      <c r="DR42" s="617">
        <f t="shared" si="36"/>
        <v>1</v>
      </c>
      <c r="DS42" s="616">
        <f t="shared" si="37"/>
        <v>0</v>
      </c>
      <c r="DT42" s="259">
        <v>39</v>
      </c>
      <c r="DU42" s="260" t="s">
        <v>376</v>
      </c>
      <c r="DV42" s="259"/>
      <c r="DW42" s="260" t="s">
        <v>242</v>
      </c>
      <c r="DX42" s="259"/>
      <c r="DY42" s="259"/>
      <c r="DZ42" s="259"/>
      <c r="EA42" s="987"/>
      <c r="EB42" s="1041" t="s">
        <v>2391</v>
      </c>
      <c r="EC42" s="802">
        <v>975000000</v>
      </c>
      <c r="EE42" s="1047"/>
    </row>
    <row r="43" spans="4:135" s="534" customFormat="1" ht="127.5" hidden="1" x14ac:dyDescent="0.3">
      <c r="D43" s="783">
        <v>40</v>
      </c>
      <c r="E43" s="799">
        <v>59</v>
      </c>
      <c r="F43" s="787" t="s">
        <v>200</v>
      </c>
      <c r="G43" s="787" t="s">
        <v>239</v>
      </c>
      <c r="H43" s="788" t="s">
        <v>132</v>
      </c>
      <c r="I43" s="712" t="s">
        <v>346</v>
      </c>
      <c r="J43" s="573" t="s">
        <v>413</v>
      </c>
      <c r="K43" s="573" t="s">
        <v>414</v>
      </c>
      <c r="L43" s="702" t="s">
        <v>2241</v>
      </c>
      <c r="M43" s="570" t="s">
        <v>2017</v>
      </c>
      <c r="N43" s="570">
        <v>92</v>
      </c>
      <c r="O43" s="570">
        <f>+N43+P43</f>
        <v>184</v>
      </c>
      <c r="P43" s="569">
        <v>92</v>
      </c>
      <c r="Q43" s="595">
        <v>0.16500000000000001</v>
      </c>
      <c r="R43" s="580">
        <f t="shared" si="0"/>
        <v>4.1250000000000002E-2</v>
      </c>
      <c r="S43" s="708">
        <v>23</v>
      </c>
      <c r="T43" s="625">
        <f t="shared" si="43"/>
        <v>0.25</v>
      </c>
      <c r="U43" s="992">
        <v>47</v>
      </c>
      <c r="V43" s="626">
        <f t="shared" si="44"/>
        <v>47</v>
      </c>
      <c r="W43" s="594">
        <f t="shared" si="45"/>
        <v>204.34782608695653</v>
      </c>
      <c r="X43" s="594">
        <f t="shared" si="4"/>
        <v>100</v>
      </c>
      <c r="Y43" s="594">
        <f t="shared" si="40"/>
        <v>4.1250000000000002E-2</v>
      </c>
      <c r="Z43" s="594">
        <f t="shared" si="6"/>
        <v>100</v>
      </c>
      <c r="AA43" s="546">
        <v>435000000</v>
      </c>
      <c r="AB43" s="546">
        <v>115000000</v>
      </c>
      <c r="AC43" s="546">
        <v>0</v>
      </c>
      <c r="AD43" s="546">
        <v>0</v>
      </c>
      <c r="AE43" s="546">
        <v>0</v>
      </c>
      <c r="AF43" s="546">
        <v>0</v>
      </c>
      <c r="AG43" s="546">
        <v>0</v>
      </c>
      <c r="AH43" s="546">
        <v>320000000</v>
      </c>
      <c r="AI43" s="546">
        <v>0</v>
      </c>
      <c r="AJ43" s="546">
        <v>0</v>
      </c>
      <c r="AK43" s="546">
        <v>0</v>
      </c>
      <c r="AL43" s="546">
        <v>0</v>
      </c>
      <c r="AM43" s="546">
        <v>0</v>
      </c>
      <c r="AN43" s="546">
        <v>0</v>
      </c>
      <c r="AO43" s="546">
        <v>0</v>
      </c>
      <c r="AP43" s="546">
        <v>0</v>
      </c>
      <c r="AQ43" s="546">
        <v>0</v>
      </c>
      <c r="AR43" s="546">
        <v>18182000</v>
      </c>
      <c r="AS43" s="546" t="s">
        <v>2240</v>
      </c>
      <c r="AT43" s="570">
        <f t="shared" si="7"/>
        <v>4.1250000000000002E-2</v>
      </c>
      <c r="AU43" s="570">
        <v>23</v>
      </c>
      <c r="AV43" s="625">
        <f t="shared" si="46"/>
        <v>0.25</v>
      </c>
      <c r="AW43" s="1003">
        <v>74</v>
      </c>
      <c r="AX43" s="724">
        <f t="shared" si="47"/>
        <v>74</v>
      </c>
      <c r="AY43" s="724">
        <f t="shared" si="48"/>
        <v>321.73913043478262</v>
      </c>
      <c r="AZ43" s="724">
        <f t="shared" si="11"/>
        <v>100</v>
      </c>
      <c r="BA43" s="594">
        <f t="shared" si="12"/>
        <v>4.1250000000000002E-2</v>
      </c>
      <c r="BB43" s="594">
        <f t="shared" si="13"/>
        <v>100</v>
      </c>
      <c r="BC43" s="546">
        <v>435000000</v>
      </c>
      <c r="BD43" s="546">
        <v>0</v>
      </c>
      <c r="BE43" s="546">
        <v>115000000</v>
      </c>
      <c r="BF43" s="546">
        <v>0</v>
      </c>
      <c r="BG43" s="546">
        <v>0</v>
      </c>
      <c r="BH43" s="546">
        <v>0</v>
      </c>
      <c r="BI43" s="546">
        <v>0</v>
      </c>
      <c r="BJ43" s="546">
        <v>320000000</v>
      </c>
      <c r="BK43" s="723">
        <v>119737498</v>
      </c>
      <c r="BL43" s="722">
        <v>119737498</v>
      </c>
      <c r="BM43" s="722">
        <v>0</v>
      </c>
      <c r="BN43" s="722">
        <v>0</v>
      </c>
      <c r="BO43" s="722">
        <v>0</v>
      </c>
      <c r="BP43" s="722">
        <v>0</v>
      </c>
      <c r="BQ43" s="722">
        <v>0</v>
      </c>
      <c r="BR43" s="722">
        <v>0</v>
      </c>
      <c r="BS43" s="722">
        <v>0</v>
      </c>
      <c r="BT43" s="722">
        <v>0</v>
      </c>
      <c r="BU43" s="722">
        <v>0</v>
      </c>
      <c r="BV43" s="580">
        <f t="shared" si="14"/>
        <v>4.1250000000000002E-2</v>
      </c>
      <c r="BW43" s="588">
        <v>23</v>
      </c>
      <c r="BX43" s="623">
        <f t="shared" si="49"/>
        <v>0.25</v>
      </c>
      <c r="BY43" s="607">
        <v>100</v>
      </c>
      <c r="BZ43" s="629">
        <v>100</v>
      </c>
      <c r="CA43" s="1017">
        <v>120</v>
      </c>
      <c r="CB43" s="721">
        <f t="shared" si="50"/>
        <v>120</v>
      </c>
      <c r="CC43" s="721">
        <f t="shared" si="51"/>
        <v>521.73913043478262</v>
      </c>
      <c r="CD43" s="720">
        <f t="shared" si="18"/>
        <v>100</v>
      </c>
      <c r="CE43" s="618">
        <f t="shared" si="19"/>
        <v>4.1250000000000002E-2</v>
      </c>
      <c r="CF43" s="719">
        <f t="shared" si="20"/>
        <v>100</v>
      </c>
      <c r="CG43" s="618">
        <f t="shared" si="21"/>
        <v>0.21521739130434786</v>
      </c>
      <c r="CH43" s="718">
        <f t="shared" si="22"/>
        <v>4.1250000000000002E-2</v>
      </c>
      <c r="CI43" s="552">
        <v>23</v>
      </c>
      <c r="CJ43" s="551">
        <f t="shared" si="52"/>
        <v>0.25</v>
      </c>
      <c r="CK43" s="874">
        <v>110</v>
      </c>
      <c r="CL43" s="533">
        <f t="shared" si="53"/>
        <v>-87</v>
      </c>
      <c r="CM43" s="619">
        <f t="shared" si="54"/>
        <v>110</v>
      </c>
      <c r="CN43" s="619">
        <f t="shared" si="55"/>
        <v>478.26086956521738</v>
      </c>
      <c r="CO43" s="549">
        <f t="shared" si="27"/>
        <v>100</v>
      </c>
      <c r="CP43" s="619">
        <f t="shared" si="28"/>
        <v>4.1250000000000002E-2</v>
      </c>
      <c r="CQ43" s="619">
        <f t="shared" si="29"/>
        <v>0.19728260869565217</v>
      </c>
      <c r="CR43" s="546">
        <v>435000000</v>
      </c>
      <c r="CS43" s="546">
        <v>115000000</v>
      </c>
      <c r="CT43" s="546">
        <v>0</v>
      </c>
      <c r="CU43" s="546">
        <v>0</v>
      </c>
      <c r="CV43" s="546">
        <v>0</v>
      </c>
      <c r="CW43" s="546">
        <v>0</v>
      </c>
      <c r="CX43" s="546">
        <v>0</v>
      </c>
      <c r="CY43" s="546">
        <v>320000000</v>
      </c>
      <c r="CZ43" s="618">
        <v>0</v>
      </c>
      <c r="DA43" s="618">
        <v>0</v>
      </c>
      <c r="DB43" s="618">
        <v>0</v>
      </c>
      <c r="DC43" s="618">
        <v>0</v>
      </c>
      <c r="DD43" s="618">
        <v>0</v>
      </c>
      <c r="DE43" s="618">
        <v>0</v>
      </c>
      <c r="DF43" s="618">
        <v>0</v>
      </c>
      <c r="DG43" s="618">
        <v>0</v>
      </c>
      <c r="DH43" s="618">
        <v>0</v>
      </c>
      <c r="DI43" s="618">
        <v>0</v>
      </c>
      <c r="DJ43" s="618">
        <v>0</v>
      </c>
      <c r="DK43" s="1034">
        <f t="shared" si="56"/>
        <v>351</v>
      </c>
      <c r="DL43" s="543">
        <f t="shared" si="31"/>
        <v>0.16500000000000001</v>
      </c>
      <c r="DM43" s="542">
        <f t="shared" si="32"/>
        <v>381.52173913043481</v>
      </c>
      <c r="DN43" s="594">
        <f t="shared" si="33"/>
        <v>100</v>
      </c>
      <c r="DO43" s="540">
        <f t="shared" si="34"/>
        <v>0.16500000000000001</v>
      </c>
      <c r="DP43" s="597">
        <f>+IF(((DN43*Q43)/100)&lt;Q43, ((DN43*Q43)/100),Q43)</f>
        <v>0.16500000000000001</v>
      </c>
      <c r="DQ43" s="538">
        <f t="shared" si="35"/>
        <v>0.16500000000000001</v>
      </c>
      <c r="DR43" s="617">
        <f t="shared" si="36"/>
        <v>1</v>
      </c>
      <c r="DS43" s="616">
        <f t="shared" si="37"/>
        <v>0</v>
      </c>
      <c r="DT43" s="259">
        <v>39</v>
      </c>
      <c r="DU43" s="260" t="s">
        <v>376</v>
      </c>
      <c r="DV43" s="259"/>
      <c r="DW43" s="260" t="s">
        <v>242</v>
      </c>
      <c r="DX43" s="259"/>
      <c r="DY43" s="259"/>
      <c r="DZ43" s="259"/>
      <c r="EA43" s="987"/>
      <c r="EB43" s="1041" t="s">
        <v>2392</v>
      </c>
      <c r="EC43" s="802">
        <v>435000000</v>
      </c>
      <c r="EE43" s="1047"/>
    </row>
    <row r="44" spans="4:135" s="534" customFormat="1" ht="72" hidden="1" x14ac:dyDescent="0.3">
      <c r="D44" s="783">
        <v>41</v>
      </c>
      <c r="E44" s="799">
        <v>60</v>
      </c>
      <c r="F44" s="787" t="s">
        <v>200</v>
      </c>
      <c r="G44" s="787" t="s">
        <v>8</v>
      </c>
      <c r="H44" s="788" t="s">
        <v>132</v>
      </c>
      <c r="I44" s="712" t="s">
        <v>346</v>
      </c>
      <c r="J44" s="573" t="s">
        <v>415</v>
      </c>
      <c r="K44" s="573" t="s">
        <v>416</v>
      </c>
      <c r="L44" s="701" t="s">
        <v>2272</v>
      </c>
      <c r="M44" s="570" t="s">
        <v>2032</v>
      </c>
      <c r="N44" s="570">
        <v>100</v>
      </c>
      <c r="O44" s="570">
        <f t="shared" ref="O44:O49" si="57">+P44</f>
        <v>100</v>
      </c>
      <c r="P44" s="569">
        <v>100</v>
      </c>
      <c r="Q44" s="595">
        <v>8.8999999999999996E-2</v>
      </c>
      <c r="R44" s="580">
        <f t="shared" si="0"/>
        <v>2.2249999999999999E-2</v>
      </c>
      <c r="S44" s="708">
        <v>100</v>
      </c>
      <c r="T44" s="625">
        <f t="shared" si="43"/>
        <v>0.25</v>
      </c>
      <c r="U44" s="992">
        <v>86</v>
      </c>
      <c r="V44" s="626">
        <f t="shared" si="44"/>
        <v>21.5</v>
      </c>
      <c r="W44" s="594">
        <f t="shared" si="45"/>
        <v>86</v>
      </c>
      <c r="X44" s="594">
        <f t="shared" si="4"/>
        <v>86</v>
      </c>
      <c r="Y44" s="594">
        <f t="shared" si="40"/>
        <v>1.9134999999999999E-2</v>
      </c>
      <c r="Z44" s="594">
        <f t="shared" si="6"/>
        <v>86</v>
      </c>
      <c r="AA44" s="546">
        <v>3572000000</v>
      </c>
      <c r="AB44" s="546">
        <v>0</v>
      </c>
      <c r="AC44" s="546">
        <v>3572000000</v>
      </c>
      <c r="AD44" s="546">
        <v>0</v>
      </c>
      <c r="AE44" s="546">
        <v>0</v>
      </c>
      <c r="AF44" s="546">
        <v>0</v>
      </c>
      <c r="AG44" s="546">
        <v>0</v>
      </c>
      <c r="AH44" s="546">
        <v>0</v>
      </c>
      <c r="AI44" s="546">
        <v>199808000</v>
      </c>
      <c r="AJ44" s="546">
        <v>0</v>
      </c>
      <c r="AK44" s="546">
        <v>199808000</v>
      </c>
      <c r="AL44" s="546">
        <v>0</v>
      </c>
      <c r="AM44" s="546">
        <v>0</v>
      </c>
      <c r="AN44" s="546">
        <v>0</v>
      </c>
      <c r="AO44" s="546">
        <v>0</v>
      </c>
      <c r="AP44" s="546">
        <v>0</v>
      </c>
      <c r="AQ44" s="546">
        <v>0</v>
      </c>
      <c r="AR44" s="546">
        <v>0</v>
      </c>
      <c r="AS44" s="546" t="s">
        <v>2045</v>
      </c>
      <c r="AT44" s="570">
        <f t="shared" si="7"/>
        <v>2.2249999999999999E-2</v>
      </c>
      <c r="AU44" s="570">
        <v>100</v>
      </c>
      <c r="AV44" s="625">
        <f t="shared" si="46"/>
        <v>0.25</v>
      </c>
      <c r="AW44" s="1003">
        <v>100</v>
      </c>
      <c r="AX44" s="724">
        <f t="shared" si="47"/>
        <v>25</v>
      </c>
      <c r="AY44" s="724">
        <f t="shared" si="48"/>
        <v>100</v>
      </c>
      <c r="AZ44" s="724">
        <f t="shared" si="11"/>
        <v>100</v>
      </c>
      <c r="BA44" s="594">
        <f t="shared" si="12"/>
        <v>2.2250000000000002E-2</v>
      </c>
      <c r="BB44" s="594">
        <f t="shared" si="13"/>
        <v>100</v>
      </c>
      <c r="BC44" s="546">
        <v>3572000000</v>
      </c>
      <c r="BD44" s="546">
        <v>3572000000</v>
      </c>
      <c r="BE44" s="546">
        <v>0</v>
      </c>
      <c r="BF44" s="546">
        <v>0</v>
      </c>
      <c r="BG44" s="546">
        <v>0</v>
      </c>
      <c r="BH44" s="546">
        <v>0</v>
      </c>
      <c r="BI44" s="546">
        <v>0</v>
      </c>
      <c r="BJ44" s="546">
        <v>0</v>
      </c>
      <c r="BK44" s="723">
        <v>4430423090</v>
      </c>
      <c r="BL44" s="722">
        <v>0</v>
      </c>
      <c r="BM44" s="722">
        <v>4430423090</v>
      </c>
      <c r="BN44" s="722">
        <v>0</v>
      </c>
      <c r="BO44" s="722">
        <v>0</v>
      </c>
      <c r="BP44" s="722">
        <v>0</v>
      </c>
      <c r="BQ44" s="722">
        <v>0</v>
      </c>
      <c r="BR44" s="722">
        <v>0</v>
      </c>
      <c r="BS44" s="722">
        <v>0</v>
      </c>
      <c r="BT44" s="722">
        <v>0</v>
      </c>
      <c r="BU44" s="722">
        <v>0</v>
      </c>
      <c r="BV44" s="580">
        <f t="shared" si="14"/>
        <v>2.2249999999999999E-2</v>
      </c>
      <c r="BW44" s="588">
        <v>100</v>
      </c>
      <c r="BX44" s="623">
        <f t="shared" si="49"/>
        <v>0.25</v>
      </c>
      <c r="BY44" s="607">
        <v>100</v>
      </c>
      <c r="BZ44" s="629">
        <v>100</v>
      </c>
      <c r="CA44" s="1017">
        <v>100</v>
      </c>
      <c r="CB44" s="721">
        <f t="shared" si="50"/>
        <v>25</v>
      </c>
      <c r="CC44" s="721">
        <f t="shared" si="51"/>
        <v>100</v>
      </c>
      <c r="CD44" s="720">
        <f t="shared" si="18"/>
        <v>100</v>
      </c>
      <c r="CE44" s="618">
        <f t="shared" si="19"/>
        <v>2.2250000000000002E-2</v>
      </c>
      <c r="CF44" s="719">
        <f t="shared" si="20"/>
        <v>100</v>
      </c>
      <c r="CG44" s="618">
        <f t="shared" si="21"/>
        <v>2.2250000000000002E-2</v>
      </c>
      <c r="CH44" s="718">
        <f t="shared" si="22"/>
        <v>2.2249999999999999E-2</v>
      </c>
      <c r="CI44" s="552">
        <v>100</v>
      </c>
      <c r="CJ44" s="551">
        <f t="shared" si="52"/>
        <v>0.25</v>
      </c>
      <c r="CK44" s="874">
        <v>100</v>
      </c>
      <c r="CL44" s="533">
        <f t="shared" si="53"/>
        <v>0</v>
      </c>
      <c r="CM44" s="619">
        <f t="shared" si="54"/>
        <v>25</v>
      </c>
      <c r="CN44" s="619">
        <f t="shared" si="55"/>
        <v>100</v>
      </c>
      <c r="CO44" s="619">
        <f t="shared" si="27"/>
        <v>100</v>
      </c>
      <c r="CP44" s="619">
        <f t="shared" si="28"/>
        <v>2.2250000000000002E-2</v>
      </c>
      <c r="CQ44" s="619">
        <f t="shared" si="29"/>
        <v>2.2250000000000002E-2</v>
      </c>
      <c r="CR44" s="546">
        <v>3948000000</v>
      </c>
      <c r="CS44" s="546">
        <v>0</v>
      </c>
      <c r="CT44" s="546">
        <v>3948000000</v>
      </c>
      <c r="CU44" s="546">
        <v>0</v>
      </c>
      <c r="CV44" s="546">
        <v>0</v>
      </c>
      <c r="CW44" s="546">
        <v>0</v>
      </c>
      <c r="CX44" s="546">
        <v>0</v>
      </c>
      <c r="CY44" s="546">
        <v>0</v>
      </c>
      <c r="CZ44" s="618">
        <v>0</v>
      </c>
      <c r="DA44" s="618">
        <v>0</v>
      </c>
      <c r="DB44" s="618">
        <v>0</v>
      </c>
      <c r="DC44" s="618">
        <v>0</v>
      </c>
      <c r="DD44" s="618">
        <v>0</v>
      </c>
      <c r="DE44" s="618">
        <v>0</v>
      </c>
      <c r="DF44" s="618">
        <v>0</v>
      </c>
      <c r="DG44" s="618">
        <v>0</v>
      </c>
      <c r="DH44" s="618">
        <v>0</v>
      </c>
      <c r="DI44" s="618">
        <v>0</v>
      </c>
      <c r="DJ44" s="618">
        <v>0</v>
      </c>
      <c r="DK44" s="1034">
        <f t="shared" si="56"/>
        <v>96.5</v>
      </c>
      <c r="DL44" s="543">
        <f t="shared" si="31"/>
        <v>8.8999999999999996E-2</v>
      </c>
      <c r="DM44" s="542">
        <f t="shared" si="32"/>
        <v>96.5</v>
      </c>
      <c r="DN44" s="594">
        <f t="shared" si="33"/>
        <v>96.5</v>
      </c>
      <c r="DO44" s="540">
        <f t="shared" si="34"/>
        <v>8.5885000000000003E-2</v>
      </c>
      <c r="DP44" s="597">
        <f t="shared" ref="DP44:DP49" si="58">+IF(M44="M",DO44,0)</f>
        <v>8.5885000000000003E-2</v>
      </c>
      <c r="DQ44" s="538">
        <f t="shared" si="35"/>
        <v>8.5885000000000003E-2</v>
      </c>
      <c r="DR44" s="617">
        <f t="shared" si="36"/>
        <v>1</v>
      </c>
      <c r="DS44" s="616">
        <f t="shared" si="37"/>
        <v>0</v>
      </c>
      <c r="DT44" s="259">
        <v>77</v>
      </c>
      <c r="DU44" s="260" t="s">
        <v>288</v>
      </c>
      <c r="DV44" s="259"/>
      <c r="DW44" s="260" t="s">
        <v>242</v>
      </c>
      <c r="DX44" s="259"/>
      <c r="DY44" s="259"/>
      <c r="DZ44" s="259"/>
      <c r="EA44" s="987"/>
      <c r="EB44" s="1041" t="s">
        <v>2393</v>
      </c>
      <c r="EC44" s="802">
        <v>3760000000</v>
      </c>
      <c r="EE44" s="1047"/>
    </row>
    <row r="45" spans="4:135" s="534" customFormat="1" ht="72" hidden="1" x14ac:dyDescent="0.3">
      <c r="D45" s="783">
        <v>42</v>
      </c>
      <c r="E45" s="799">
        <v>61</v>
      </c>
      <c r="F45" s="787" t="s">
        <v>200</v>
      </c>
      <c r="G45" s="787" t="s">
        <v>8</v>
      </c>
      <c r="H45" s="788" t="s">
        <v>132</v>
      </c>
      <c r="I45" s="712" t="s">
        <v>346</v>
      </c>
      <c r="J45" s="573" t="s">
        <v>417</v>
      </c>
      <c r="K45" s="573" t="s">
        <v>418</v>
      </c>
      <c r="L45" s="701" t="s">
        <v>2272</v>
      </c>
      <c r="M45" s="570" t="s">
        <v>2032</v>
      </c>
      <c r="N45" s="570">
        <v>100</v>
      </c>
      <c r="O45" s="570">
        <f t="shared" si="57"/>
        <v>100</v>
      </c>
      <c r="P45" s="569">
        <v>100</v>
      </c>
      <c r="Q45" s="595">
        <v>8.8999999999999996E-2</v>
      </c>
      <c r="R45" s="580">
        <f t="shared" si="0"/>
        <v>2.2249999999999999E-2</v>
      </c>
      <c r="S45" s="708">
        <v>100</v>
      </c>
      <c r="T45" s="625">
        <f t="shared" si="43"/>
        <v>0.25</v>
      </c>
      <c r="U45" s="992">
        <v>80</v>
      </c>
      <c r="V45" s="626">
        <f t="shared" si="44"/>
        <v>20</v>
      </c>
      <c r="W45" s="594">
        <f t="shared" si="45"/>
        <v>80</v>
      </c>
      <c r="X45" s="594">
        <f t="shared" si="4"/>
        <v>80</v>
      </c>
      <c r="Y45" s="594">
        <f t="shared" si="40"/>
        <v>1.7799999999999996E-2</v>
      </c>
      <c r="Z45" s="594">
        <f t="shared" si="6"/>
        <v>80</v>
      </c>
      <c r="AA45" s="546">
        <v>1672000000</v>
      </c>
      <c r="AB45" s="546">
        <v>0</v>
      </c>
      <c r="AC45" s="546">
        <v>1672000000</v>
      </c>
      <c r="AD45" s="546">
        <v>0</v>
      </c>
      <c r="AE45" s="546">
        <v>0</v>
      </c>
      <c r="AF45" s="546">
        <v>0</v>
      </c>
      <c r="AG45" s="546">
        <v>0</v>
      </c>
      <c r="AH45" s="546">
        <v>0</v>
      </c>
      <c r="AI45" s="546">
        <v>473261000</v>
      </c>
      <c r="AJ45" s="546">
        <v>98903000</v>
      </c>
      <c r="AK45" s="546">
        <v>374358000</v>
      </c>
      <c r="AL45" s="546">
        <v>0</v>
      </c>
      <c r="AM45" s="546">
        <v>0</v>
      </c>
      <c r="AN45" s="546">
        <v>0</v>
      </c>
      <c r="AO45" s="546">
        <v>0</v>
      </c>
      <c r="AP45" s="546">
        <v>0</v>
      </c>
      <c r="AQ45" s="546">
        <v>0</v>
      </c>
      <c r="AR45" s="546">
        <v>0</v>
      </c>
      <c r="AS45" s="546" t="s">
        <v>2045</v>
      </c>
      <c r="AT45" s="570">
        <f t="shared" si="7"/>
        <v>2.2249999999999999E-2</v>
      </c>
      <c r="AU45" s="570">
        <v>100</v>
      </c>
      <c r="AV45" s="625">
        <f t="shared" si="46"/>
        <v>0.25</v>
      </c>
      <c r="AW45" s="1003">
        <v>100</v>
      </c>
      <c r="AX45" s="724">
        <f t="shared" si="47"/>
        <v>25</v>
      </c>
      <c r="AY45" s="724">
        <f t="shared" si="48"/>
        <v>100</v>
      </c>
      <c r="AZ45" s="724">
        <f t="shared" si="11"/>
        <v>100</v>
      </c>
      <c r="BA45" s="594">
        <f t="shared" si="12"/>
        <v>2.2250000000000002E-2</v>
      </c>
      <c r="BB45" s="594">
        <f t="shared" si="13"/>
        <v>100</v>
      </c>
      <c r="BC45" s="546">
        <v>1672000000</v>
      </c>
      <c r="BD45" s="546">
        <v>1672000000</v>
      </c>
      <c r="BE45" s="546">
        <v>0</v>
      </c>
      <c r="BF45" s="546">
        <v>0</v>
      </c>
      <c r="BG45" s="546">
        <v>0</v>
      </c>
      <c r="BH45" s="546">
        <v>0</v>
      </c>
      <c r="BI45" s="546">
        <v>0</v>
      </c>
      <c r="BJ45" s="546">
        <v>0</v>
      </c>
      <c r="BK45" s="723">
        <v>2821146760</v>
      </c>
      <c r="BL45" s="722">
        <v>0</v>
      </c>
      <c r="BM45" s="722">
        <v>2821146760</v>
      </c>
      <c r="BN45" s="722">
        <v>0</v>
      </c>
      <c r="BO45" s="722">
        <v>0</v>
      </c>
      <c r="BP45" s="722">
        <v>0</v>
      </c>
      <c r="BQ45" s="722">
        <v>0</v>
      </c>
      <c r="BR45" s="722">
        <v>0</v>
      </c>
      <c r="BS45" s="722">
        <v>0</v>
      </c>
      <c r="BT45" s="722">
        <v>0</v>
      </c>
      <c r="BU45" s="722">
        <v>0</v>
      </c>
      <c r="BV45" s="580">
        <f t="shared" si="14"/>
        <v>2.2249999999999999E-2</v>
      </c>
      <c r="BW45" s="588">
        <v>100</v>
      </c>
      <c r="BX45" s="623">
        <f t="shared" si="49"/>
        <v>0.25</v>
      </c>
      <c r="BY45" s="607">
        <v>100</v>
      </c>
      <c r="BZ45" s="629">
        <v>100</v>
      </c>
      <c r="CA45" s="1017">
        <v>100</v>
      </c>
      <c r="CB45" s="721">
        <f t="shared" si="50"/>
        <v>25</v>
      </c>
      <c r="CC45" s="721">
        <f t="shared" si="51"/>
        <v>100</v>
      </c>
      <c r="CD45" s="720">
        <f t="shared" si="18"/>
        <v>100</v>
      </c>
      <c r="CE45" s="618">
        <f t="shared" si="19"/>
        <v>2.2250000000000002E-2</v>
      </c>
      <c r="CF45" s="719">
        <f t="shared" si="20"/>
        <v>100</v>
      </c>
      <c r="CG45" s="618">
        <f t="shared" si="21"/>
        <v>2.2250000000000002E-2</v>
      </c>
      <c r="CH45" s="718">
        <f t="shared" si="22"/>
        <v>2.2249999999999999E-2</v>
      </c>
      <c r="CI45" s="552">
        <v>100</v>
      </c>
      <c r="CJ45" s="551">
        <f t="shared" si="52"/>
        <v>0.25</v>
      </c>
      <c r="CK45" s="874">
        <v>63</v>
      </c>
      <c r="CL45" s="533">
        <f t="shared" si="53"/>
        <v>37</v>
      </c>
      <c r="CM45" s="619">
        <f t="shared" si="54"/>
        <v>15.75</v>
      </c>
      <c r="CN45" s="619">
        <f t="shared" si="55"/>
        <v>63</v>
      </c>
      <c r="CO45" s="619">
        <f t="shared" si="27"/>
        <v>63</v>
      </c>
      <c r="CP45" s="619">
        <f t="shared" si="28"/>
        <v>1.4017499999999999E-2</v>
      </c>
      <c r="CQ45" s="619">
        <f t="shared" si="29"/>
        <v>1.4017499999999999E-2</v>
      </c>
      <c r="CR45" s="546">
        <v>1848000000</v>
      </c>
      <c r="CS45" s="546">
        <v>0</v>
      </c>
      <c r="CT45" s="546">
        <v>1848000000</v>
      </c>
      <c r="CU45" s="546">
        <v>0</v>
      </c>
      <c r="CV45" s="546">
        <v>0</v>
      </c>
      <c r="CW45" s="546">
        <v>0</v>
      </c>
      <c r="CX45" s="546">
        <v>0</v>
      </c>
      <c r="CY45" s="546">
        <v>0</v>
      </c>
      <c r="CZ45" s="618">
        <v>0</v>
      </c>
      <c r="DA45" s="618">
        <v>0</v>
      </c>
      <c r="DB45" s="618">
        <v>0</v>
      </c>
      <c r="DC45" s="618">
        <v>0</v>
      </c>
      <c r="DD45" s="618">
        <v>0</v>
      </c>
      <c r="DE45" s="618">
        <v>0</v>
      </c>
      <c r="DF45" s="618">
        <v>0</v>
      </c>
      <c r="DG45" s="618">
        <v>0</v>
      </c>
      <c r="DH45" s="618">
        <v>0</v>
      </c>
      <c r="DI45" s="618">
        <v>0</v>
      </c>
      <c r="DJ45" s="618">
        <v>0</v>
      </c>
      <c r="DK45" s="1034">
        <f t="shared" si="56"/>
        <v>85.75</v>
      </c>
      <c r="DL45" s="543">
        <f t="shared" si="31"/>
        <v>8.8999999999999996E-2</v>
      </c>
      <c r="DM45" s="542">
        <f t="shared" si="32"/>
        <v>85.75</v>
      </c>
      <c r="DN45" s="594">
        <f t="shared" si="33"/>
        <v>85.75</v>
      </c>
      <c r="DO45" s="540">
        <f t="shared" si="34"/>
        <v>7.6317499999999996E-2</v>
      </c>
      <c r="DP45" s="597">
        <f t="shared" si="58"/>
        <v>7.6317499999999996E-2</v>
      </c>
      <c r="DQ45" s="538">
        <f t="shared" si="35"/>
        <v>7.6317499999999996E-2</v>
      </c>
      <c r="DR45" s="617">
        <f t="shared" si="36"/>
        <v>1</v>
      </c>
      <c r="DS45" s="616">
        <f t="shared" si="37"/>
        <v>0</v>
      </c>
      <c r="DT45" s="259">
        <v>77</v>
      </c>
      <c r="DU45" s="260" t="s">
        <v>288</v>
      </c>
      <c r="DV45" s="259"/>
      <c r="DW45" s="260" t="s">
        <v>242</v>
      </c>
      <c r="DX45" s="259"/>
      <c r="DY45" s="259"/>
      <c r="DZ45" s="259"/>
      <c r="EA45" s="987"/>
      <c r="EB45" s="1041" t="s">
        <v>2394</v>
      </c>
      <c r="EC45" s="802">
        <v>1760000000</v>
      </c>
      <c r="EE45" s="1047"/>
    </row>
    <row r="46" spans="4:135" s="534" customFormat="1" ht="72" hidden="1" x14ac:dyDescent="0.3">
      <c r="D46" s="783">
        <v>43</v>
      </c>
      <c r="E46" s="799">
        <v>62</v>
      </c>
      <c r="F46" s="787" t="s">
        <v>200</v>
      </c>
      <c r="G46" s="787" t="s">
        <v>8</v>
      </c>
      <c r="H46" s="788" t="s">
        <v>132</v>
      </c>
      <c r="I46" s="712" t="s">
        <v>346</v>
      </c>
      <c r="J46" s="573" t="s">
        <v>419</v>
      </c>
      <c r="K46" s="573" t="s">
        <v>420</v>
      </c>
      <c r="L46" s="701" t="s">
        <v>2272</v>
      </c>
      <c r="M46" s="570" t="s">
        <v>2032</v>
      </c>
      <c r="N46" s="570">
        <v>52</v>
      </c>
      <c r="O46" s="570">
        <f t="shared" si="57"/>
        <v>52</v>
      </c>
      <c r="P46" s="569">
        <v>52</v>
      </c>
      <c r="Q46" s="595">
        <v>8.8999999999999996E-2</v>
      </c>
      <c r="R46" s="580">
        <f t="shared" si="0"/>
        <v>2.2249999999999999E-2</v>
      </c>
      <c r="S46" s="708">
        <v>52</v>
      </c>
      <c r="T46" s="625">
        <f t="shared" si="43"/>
        <v>0.25</v>
      </c>
      <c r="U46" s="992">
        <v>0</v>
      </c>
      <c r="V46" s="626">
        <f t="shared" si="44"/>
        <v>0</v>
      </c>
      <c r="W46" s="594">
        <f t="shared" si="45"/>
        <v>0</v>
      </c>
      <c r="X46" s="594">
        <f t="shared" si="4"/>
        <v>0</v>
      </c>
      <c r="Y46" s="594">
        <f t="shared" si="40"/>
        <v>0</v>
      </c>
      <c r="Z46" s="594">
        <f t="shared" si="6"/>
        <v>0</v>
      </c>
      <c r="AA46" s="546">
        <v>3600000000</v>
      </c>
      <c r="AB46" s="546">
        <v>3600000000</v>
      </c>
      <c r="AC46" s="546">
        <v>0</v>
      </c>
      <c r="AD46" s="546">
        <v>0</v>
      </c>
      <c r="AE46" s="546">
        <v>0</v>
      </c>
      <c r="AF46" s="546">
        <v>0</v>
      </c>
      <c r="AG46" s="546">
        <v>0</v>
      </c>
      <c r="AH46" s="546">
        <v>0</v>
      </c>
      <c r="AI46" s="546">
        <v>0</v>
      </c>
      <c r="AJ46" s="546">
        <v>0</v>
      </c>
      <c r="AK46" s="546">
        <v>0</v>
      </c>
      <c r="AL46" s="546">
        <v>0</v>
      </c>
      <c r="AM46" s="546">
        <v>0</v>
      </c>
      <c r="AN46" s="546">
        <v>0</v>
      </c>
      <c r="AO46" s="546">
        <v>0</v>
      </c>
      <c r="AP46" s="546">
        <v>0</v>
      </c>
      <c r="AQ46" s="546">
        <v>0</v>
      </c>
      <c r="AR46" s="546">
        <v>0</v>
      </c>
      <c r="AS46" s="546" t="s">
        <v>2045</v>
      </c>
      <c r="AT46" s="570">
        <f t="shared" si="7"/>
        <v>2.2249999999999999E-2</v>
      </c>
      <c r="AU46" s="570">
        <v>52</v>
      </c>
      <c r="AV46" s="625">
        <f t="shared" si="46"/>
        <v>0.25</v>
      </c>
      <c r="AW46" s="1003">
        <v>100</v>
      </c>
      <c r="AX46" s="724">
        <f t="shared" si="47"/>
        <v>25</v>
      </c>
      <c r="AY46" s="724">
        <f t="shared" si="48"/>
        <v>192.30769230769232</v>
      </c>
      <c r="AZ46" s="724">
        <f t="shared" si="11"/>
        <v>100</v>
      </c>
      <c r="BA46" s="594">
        <f t="shared" si="12"/>
        <v>2.2250000000000002E-2</v>
      </c>
      <c r="BB46" s="594">
        <f t="shared" si="13"/>
        <v>100</v>
      </c>
      <c r="BC46" s="546">
        <v>2600000000</v>
      </c>
      <c r="BD46" s="546">
        <v>0</v>
      </c>
      <c r="BE46" s="546">
        <v>2600000000</v>
      </c>
      <c r="BF46" s="546">
        <v>0</v>
      </c>
      <c r="BG46" s="546">
        <v>0</v>
      </c>
      <c r="BH46" s="546">
        <v>0</v>
      </c>
      <c r="BI46" s="546">
        <v>0</v>
      </c>
      <c r="BJ46" s="546">
        <v>0</v>
      </c>
      <c r="BK46" s="723">
        <v>3311742063</v>
      </c>
      <c r="BL46" s="722">
        <v>2803802024</v>
      </c>
      <c r="BM46" s="722">
        <v>507940039</v>
      </c>
      <c r="BN46" s="722">
        <v>0</v>
      </c>
      <c r="BO46" s="722">
        <v>0</v>
      </c>
      <c r="BP46" s="722">
        <v>0</v>
      </c>
      <c r="BQ46" s="722">
        <v>0</v>
      </c>
      <c r="BR46" s="722">
        <v>0</v>
      </c>
      <c r="BS46" s="722">
        <v>0</v>
      </c>
      <c r="BT46" s="722">
        <v>290500000</v>
      </c>
      <c r="BU46" s="722" t="s">
        <v>2273</v>
      </c>
      <c r="BV46" s="580">
        <f t="shared" si="14"/>
        <v>2.2249999999999999E-2</v>
      </c>
      <c r="BW46" s="588">
        <v>52</v>
      </c>
      <c r="BX46" s="623">
        <f t="shared" si="49"/>
        <v>0.25</v>
      </c>
      <c r="BY46" s="607">
        <v>100</v>
      </c>
      <c r="BZ46" s="629">
        <v>100</v>
      </c>
      <c r="CA46" s="1017">
        <v>100</v>
      </c>
      <c r="CB46" s="721">
        <f t="shared" si="50"/>
        <v>25</v>
      </c>
      <c r="CC46" s="721">
        <f t="shared" si="51"/>
        <v>192.30769230769232</v>
      </c>
      <c r="CD46" s="720">
        <f t="shared" si="18"/>
        <v>100</v>
      </c>
      <c r="CE46" s="618">
        <f t="shared" si="19"/>
        <v>2.2250000000000002E-2</v>
      </c>
      <c r="CF46" s="719">
        <f t="shared" si="20"/>
        <v>100</v>
      </c>
      <c r="CG46" s="618">
        <f t="shared" si="21"/>
        <v>4.2788461538461539E-2</v>
      </c>
      <c r="CH46" s="718">
        <f t="shared" si="22"/>
        <v>2.2249999999999999E-2</v>
      </c>
      <c r="CI46" s="552">
        <v>52</v>
      </c>
      <c r="CJ46" s="551">
        <f t="shared" si="52"/>
        <v>0.25</v>
      </c>
      <c r="CK46" s="874">
        <v>100</v>
      </c>
      <c r="CL46" s="533">
        <f t="shared" si="53"/>
        <v>-48</v>
      </c>
      <c r="CM46" s="619">
        <f t="shared" si="54"/>
        <v>25</v>
      </c>
      <c r="CN46" s="619">
        <f t="shared" si="55"/>
        <v>192.30769230769232</v>
      </c>
      <c r="CO46" s="619">
        <f t="shared" si="27"/>
        <v>100</v>
      </c>
      <c r="CP46" s="619">
        <f t="shared" si="28"/>
        <v>2.2250000000000002E-2</v>
      </c>
      <c r="CQ46" s="619">
        <f t="shared" si="29"/>
        <v>4.2788461538461539E-2</v>
      </c>
      <c r="CR46" s="546">
        <v>6000000000</v>
      </c>
      <c r="CS46" s="546">
        <v>6000000000</v>
      </c>
      <c r="CT46" s="546">
        <v>0</v>
      </c>
      <c r="CU46" s="546">
        <v>0</v>
      </c>
      <c r="CV46" s="546">
        <v>0</v>
      </c>
      <c r="CW46" s="546">
        <v>0</v>
      </c>
      <c r="CX46" s="546">
        <v>0</v>
      </c>
      <c r="CY46" s="546">
        <v>0</v>
      </c>
      <c r="CZ46" s="618">
        <v>0</v>
      </c>
      <c r="DA46" s="618">
        <v>0</v>
      </c>
      <c r="DB46" s="618">
        <v>0</v>
      </c>
      <c r="DC46" s="618">
        <v>0</v>
      </c>
      <c r="DD46" s="618">
        <v>0</v>
      </c>
      <c r="DE46" s="618">
        <v>0</v>
      </c>
      <c r="DF46" s="618">
        <v>0</v>
      </c>
      <c r="DG46" s="618">
        <v>0</v>
      </c>
      <c r="DH46" s="618">
        <v>0</v>
      </c>
      <c r="DI46" s="618">
        <v>0</v>
      </c>
      <c r="DJ46" s="618">
        <v>0</v>
      </c>
      <c r="DK46" s="1034">
        <f t="shared" si="56"/>
        <v>75</v>
      </c>
      <c r="DL46" s="543">
        <f t="shared" si="31"/>
        <v>8.8999999999999996E-2</v>
      </c>
      <c r="DM46" s="542">
        <f t="shared" si="32"/>
        <v>144.23076923076923</v>
      </c>
      <c r="DN46" s="594">
        <f t="shared" si="33"/>
        <v>100</v>
      </c>
      <c r="DO46" s="540">
        <f t="shared" si="34"/>
        <v>8.900000000000001E-2</v>
      </c>
      <c r="DP46" s="597">
        <f t="shared" si="58"/>
        <v>8.900000000000001E-2</v>
      </c>
      <c r="DQ46" s="538">
        <f t="shared" si="35"/>
        <v>8.900000000000001E-2</v>
      </c>
      <c r="DR46" s="617">
        <f t="shared" si="36"/>
        <v>1</v>
      </c>
      <c r="DS46" s="616">
        <f t="shared" si="37"/>
        <v>0</v>
      </c>
      <c r="DT46" s="259">
        <v>77</v>
      </c>
      <c r="DU46" s="260" t="s">
        <v>288</v>
      </c>
      <c r="DV46" s="259"/>
      <c r="DW46" s="260" t="s">
        <v>242</v>
      </c>
      <c r="DX46" s="259"/>
      <c r="DY46" s="259"/>
      <c r="DZ46" s="259"/>
      <c r="EA46" s="987"/>
      <c r="EB46" s="1041" t="s">
        <v>2395</v>
      </c>
      <c r="EC46" s="802">
        <v>6000000000</v>
      </c>
      <c r="EE46" s="1047"/>
    </row>
    <row r="47" spans="4:135" s="534" customFormat="1" ht="72" hidden="1" x14ac:dyDescent="0.3">
      <c r="D47" s="783">
        <v>44</v>
      </c>
      <c r="E47" s="799">
        <v>63</v>
      </c>
      <c r="F47" s="787" t="s">
        <v>200</v>
      </c>
      <c r="G47" s="787" t="s">
        <v>8</v>
      </c>
      <c r="H47" s="788" t="s">
        <v>132</v>
      </c>
      <c r="I47" s="712" t="s">
        <v>346</v>
      </c>
      <c r="J47" s="573" t="s">
        <v>421</v>
      </c>
      <c r="K47" s="573" t="s">
        <v>422</v>
      </c>
      <c r="L47" s="702" t="s">
        <v>2272</v>
      </c>
      <c r="M47" s="570" t="s">
        <v>2032</v>
      </c>
      <c r="N47" s="570">
        <v>93</v>
      </c>
      <c r="O47" s="570">
        <f t="shared" si="57"/>
        <v>100</v>
      </c>
      <c r="P47" s="569">
        <v>100</v>
      </c>
      <c r="Q47" s="595">
        <v>0.25</v>
      </c>
      <c r="R47" s="580">
        <f t="shared" si="0"/>
        <v>6.25E-2</v>
      </c>
      <c r="S47" s="708">
        <v>100</v>
      </c>
      <c r="T47" s="625">
        <f t="shared" si="43"/>
        <v>0.25</v>
      </c>
      <c r="U47" s="992">
        <v>100</v>
      </c>
      <c r="V47" s="626">
        <f t="shared" si="44"/>
        <v>25</v>
      </c>
      <c r="W47" s="594">
        <f t="shared" si="45"/>
        <v>100</v>
      </c>
      <c r="X47" s="594">
        <f t="shared" si="4"/>
        <v>100</v>
      </c>
      <c r="Y47" s="594">
        <f t="shared" si="40"/>
        <v>6.25E-2</v>
      </c>
      <c r="Z47" s="594">
        <f t="shared" si="6"/>
        <v>100</v>
      </c>
      <c r="AA47" s="546">
        <v>236237000000</v>
      </c>
      <c r="AB47" s="546">
        <v>0</v>
      </c>
      <c r="AC47" s="546">
        <v>236237000000</v>
      </c>
      <c r="AD47" s="546">
        <v>0</v>
      </c>
      <c r="AE47" s="546">
        <v>0</v>
      </c>
      <c r="AF47" s="546">
        <v>0</v>
      </c>
      <c r="AG47" s="546">
        <v>0</v>
      </c>
      <c r="AH47" s="546">
        <v>0</v>
      </c>
      <c r="AI47" s="546">
        <v>358948948000</v>
      </c>
      <c r="AJ47" s="546">
        <v>0</v>
      </c>
      <c r="AK47" s="546">
        <v>358948948000</v>
      </c>
      <c r="AL47" s="546">
        <v>0</v>
      </c>
      <c r="AM47" s="546">
        <v>0</v>
      </c>
      <c r="AN47" s="546">
        <v>0</v>
      </c>
      <c r="AO47" s="546">
        <v>0</v>
      </c>
      <c r="AP47" s="546">
        <v>0</v>
      </c>
      <c r="AQ47" s="546">
        <v>0</v>
      </c>
      <c r="AR47" s="546">
        <v>0</v>
      </c>
      <c r="AS47" s="546" t="s">
        <v>2045</v>
      </c>
      <c r="AT47" s="570">
        <f t="shared" si="7"/>
        <v>6.25E-2</v>
      </c>
      <c r="AU47" s="570">
        <v>100</v>
      </c>
      <c r="AV47" s="625">
        <f t="shared" si="46"/>
        <v>0.25</v>
      </c>
      <c r="AW47" s="1003">
        <v>100</v>
      </c>
      <c r="AX47" s="724">
        <f t="shared" si="47"/>
        <v>25</v>
      </c>
      <c r="AY47" s="724">
        <f t="shared" si="48"/>
        <v>100</v>
      </c>
      <c r="AZ47" s="724">
        <f t="shared" si="11"/>
        <v>100</v>
      </c>
      <c r="BA47" s="594">
        <f t="shared" si="12"/>
        <v>6.25E-2</v>
      </c>
      <c r="BB47" s="594">
        <f t="shared" si="13"/>
        <v>100</v>
      </c>
      <c r="BC47" s="546">
        <v>236237000000</v>
      </c>
      <c r="BD47" s="546">
        <v>236237000</v>
      </c>
      <c r="BE47" s="546">
        <v>0</v>
      </c>
      <c r="BF47" s="546">
        <v>0</v>
      </c>
      <c r="BG47" s="546">
        <v>0</v>
      </c>
      <c r="BH47" s="546">
        <v>0</v>
      </c>
      <c r="BI47" s="546">
        <v>0</v>
      </c>
      <c r="BJ47" s="546">
        <v>0</v>
      </c>
      <c r="BK47" s="723">
        <v>360799432021</v>
      </c>
      <c r="BL47" s="722">
        <v>63565986</v>
      </c>
      <c r="BM47" s="722">
        <v>360735866035</v>
      </c>
      <c r="BN47" s="722">
        <v>0</v>
      </c>
      <c r="BO47" s="722">
        <v>0</v>
      </c>
      <c r="BP47" s="722">
        <v>0</v>
      </c>
      <c r="BQ47" s="722">
        <v>0</v>
      </c>
      <c r="BR47" s="722">
        <v>0</v>
      </c>
      <c r="BS47" s="722">
        <v>0</v>
      </c>
      <c r="BT47" s="722">
        <v>0</v>
      </c>
      <c r="BU47" s="722">
        <v>0</v>
      </c>
      <c r="BV47" s="580">
        <f t="shared" si="14"/>
        <v>6.25E-2</v>
      </c>
      <c r="BW47" s="588">
        <v>100</v>
      </c>
      <c r="BX47" s="623">
        <f t="shared" si="49"/>
        <v>0.25</v>
      </c>
      <c r="BY47" s="607">
        <v>99.879997253417969</v>
      </c>
      <c r="BZ47" s="629">
        <v>99.879997253417969</v>
      </c>
      <c r="CA47" s="1017">
        <v>99.879997253417969</v>
      </c>
      <c r="CB47" s="721">
        <f t="shared" si="50"/>
        <v>24.969999313354492</v>
      </c>
      <c r="CC47" s="721">
        <f t="shared" si="51"/>
        <v>99.879997253417969</v>
      </c>
      <c r="CD47" s="720">
        <f t="shared" si="18"/>
        <v>99.879997253417969</v>
      </c>
      <c r="CE47" s="618">
        <f t="shared" si="19"/>
        <v>6.2424998283386234E-2</v>
      </c>
      <c r="CF47" s="719">
        <f t="shared" si="20"/>
        <v>99.879997253417969</v>
      </c>
      <c r="CG47" s="618">
        <f t="shared" si="21"/>
        <v>6.2424998283386234E-2</v>
      </c>
      <c r="CH47" s="718">
        <f t="shared" si="22"/>
        <v>6.25E-2</v>
      </c>
      <c r="CI47" s="552">
        <v>100</v>
      </c>
      <c r="CJ47" s="551">
        <f t="shared" si="52"/>
        <v>0.25</v>
      </c>
      <c r="CK47" s="874">
        <v>96.910003662109375</v>
      </c>
      <c r="CL47" s="533">
        <f t="shared" si="53"/>
        <v>3.089996337890625</v>
      </c>
      <c r="CM47" s="619">
        <f t="shared" si="54"/>
        <v>24.227500915527344</v>
      </c>
      <c r="CN47" s="619">
        <f t="shared" si="55"/>
        <v>96.910003662109375</v>
      </c>
      <c r="CO47" s="619">
        <f t="shared" si="27"/>
        <v>96.910003662109375</v>
      </c>
      <c r="CP47" s="619">
        <f t="shared" si="28"/>
        <v>6.0568752288818362E-2</v>
      </c>
      <c r="CQ47" s="619">
        <f t="shared" si="29"/>
        <v>6.0568752288818362E-2</v>
      </c>
      <c r="CR47" s="546">
        <v>248670000000</v>
      </c>
      <c r="CS47" s="546">
        <v>0</v>
      </c>
      <c r="CT47" s="546">
        <v>248670000</v>
      </c>
      <c r="CU47" s="546">
        <v>0</v>
      </c>
      <c r="CV47" s="546">
        <v>0</v>
      </c>
      <c r="CW47" s="546">
        <v>0</v>
      </c>
      <c r="CX47" s="546">
        <v>0</v>
      </c>
      <c r="CY47" s="546">
        <v>0</v>
      </c>
      <c r="CZ47" s="618">
        <v>0</v>
      </c>
      <c r="DA47" s="618">
        <v>0</v>
      </c>
      <c r="DB47" s="618">
        <v>0</v>
      </c>
      <c r="DC47" s="618">
        <v>0</v>
      </c>
      <c r="DD47" s="618">
        <v>0</v>
      </c>
      <c r="DE47" s="618">
        <v>0</v>
      </c>
      <c r="DF47" s="618">
        <v>0</v>
      </c>
      <c r="DG47" s="618">
        <v>0</v>
      </c>
      <c r="DH47" s="618">
        <v>0</v>
      </c>
      <c r="DI47" s="618">
        <v>0</v>
      </c>
      <c r="DJ47" s="618">
        <v>0</v>
      </c>
      <c r="DK47" s="1034">
        <f t="shared" si="56"/>
        <v>99.197500228881836</v>
      </c>
      <c r="DL47" s="543">
        <f t="shared" si="31"/>
        <v>0.25</v>
      </c>
      <c r="DM47" s="542">
        <f t="shared" si="32"/>
        <v>99.197500228881836</v>
      </c>
      <c r="DN47" s="594">
        <f t="shared" si="33"/>
        <v>99.197500228881836</v>
      </c>
      <c r="DO47" s="540">
        <f t="shared" si="34"/>
        <v>0.2479937505722046</v>
      </c>
      <c r="DP47" s="597">
        <f t="shared" si="58"/>
        <v>0.2479937505722046</v>
      </c>
      <c r="DQ47" s="538">
        <f t="shared" si="35"/>
        <v>0.2479937505722046</v>
      </c>
      <c r="DR47" s="617">
        <f t="shared" si="36"/>
        <v>1</v>
      </c>
      <c r="DS47" s="616">
        <f t="shared" si="37"/>
        <v>0</v>
      </c>
      <c r="DT47" s="259">
        <v>77</v>
      </c>
      <c r="DU47" s="260" t="s">
        <v>288</v>
      </c>
      <c r="DV47" s="259"/>
      <c r="DW47" s="260" t="s">
        <v>242</v>
      </c>
      <c r="DX47" s="259"/>
      <c r="DY47" s="259"/>
      <c r="DZ47" s="259"/>
      <c r="EA47" s="987"/>
      <c r="EB47" s="1041" t="s">
        <v>2396</v>
      </c>
      <c r="EC47" s="802">
        <v>248670000000</v>
      </c>
      <c r="EE47" s="1047"/>
    </row>
    <row r="48" spans="4:135" s="534" customFormat="1" ht="72" hidden="1" x14ac:dyDescent="0.3">
      <c r="D48" s="783">
        <v>45</v>
      </c>
      <c r="E48" s="799">
        <v>64</v>
      </c>
      <c r="F48" s="787" t="s">
        <v>200</v>
      </c>
      <c r="G48" s="787" t="s">
        <v>8</v>
      </c>
      <c r="H48" s="788" t="s">
        <v>132</v>
      </c>
      <c r="I48" s="712" t="s">
        <v>346</v>
      </c>
      <c r="J48" s="573" t="s">
        <v>423</v>
      </c>
      <c r="K48" s="573" t="s">
        <v>424</v>
      </c>
      <c r="L48" s="702" t="s">
        <v>2271</v>
      </c>
      <c r="M48" s="570" t="s">
        <v>2032</v>
      </c>
      <c r="N48" s="570">
        <v>100</v>
      </c>
      <c r="O48" s="570">
        <f t="shared" si="57"/>
        <v>100</v>
      </c>
      <c r="P48" s="569">
        <v>100</v>
      </c>
      <c r="Q48" s="595">
        <v>8.8999999999999996E-2</v>
      </c>
      <c r="R48" s="580">
        <f t="shared" si="0"/>
        <v>2.2249999999999999E-2</v>
      </c>
      <c r="S48" s="708">
        <v>100</v>
      </c>
      <c r="T48" s="625">
        <f t="shared" si="43"/>
        <v>0.25</v>
      </c>
      <c r="U48" s="992">
        <v>100</v>
      </c>
      <c r="V48" s="626">
        <f t="shared" si="44"/>
        <v>25</v>
      </c>
      <c r="W48" s="594">
        <f t="shared" si="45"/>
        <v>100</v>
      </c>
      <c r="X48" s="594">
        <f t="shared" si="4"/>
        <v>100</v>
      </c>
      <c r="Y48" s="594">
        <f t="shared" si="40"/>
        <v>2.2250000000000002E-2</v>
      </c>
      <c r="Z48" s="594">
        <f t="shared" si="6"/>
        <v>100</v>
      </c>
      <c r="AA48" s="546">
        <v>56050000000</v>
      </c>
      <c r="AB48" s="546">
        <v>0</v>
      </c>
      <c r="AC48" s="546">
        <v>56050000000</v>
      </c>
      <c r="AD48" s="546">
        <v>0</v>
      </c>
      <c r="AE48" s="546">
        <v>0</v>
      </c>
      <c r="AF48" s="546">
        <v>0</v>
      </c>
      <c r="AG48" s="546">
        <v>0</v>
      </c>
      <c r="AH48" s="546">
        <v>0</v>
      </c>
      <c r="AI48" s="546">
        <v>65164951000</v>
      </c>
      <c r="AJ48" s="546">
        <v>0</v>
      </c>
      <c r="AK48" s="546">
        <v>65164951000</v>
      </c>
      <c r="AL48" s="546">
        <v>0</v>
      </c>
      <c r="AM48" s="546">
        <v>0</v>
      </c>
      <c r="AN48" s="546">
        <v>0</v>
      </c>
      <c r="AO48" s="546">
        <v>0</v>
      </c>
      <c r="AP48" s="546">
        <v>0</v>
      </c>
      <c r="AQ48" s="546">
        <v>0</v>
      </c>
      <c r="AR48" s="546">
        <v>0</v>
      </c>
      <c r="AS48" s="546" t="s">
        <v>2045</v>
      </c>
      <c r="AT48" s="570">
        <f t="shared" si="7"/>
        <v>2.2249999999999999E-2</v>
      </c>
      <c r="AU48" s="570">
        <v>100</v>
      </c>
      <c r="AV48" s="625">
        <f t="shared" si="46"/>
        <v>0.25</v>
      </c>
      <c r="AW48" s="1003">
        <v>100</v>
      </c>
      <c r="AX48" s="724">
        <f t="shared" si="47"/>
        <v>25</v>
      </c>
      <c r="AY48" s="724">
        <f t="shared" si="48"/>
        <v>100</v>
      </c>
      <c r="AZ48" s="724">
        <f t="shared" si="11"/>
        <v>100</v>
      </c>
      <c r="BA48" s="594">
        <f t="shared" si="12"/>
        <v>2.2250000000000002E-2</v>
      </c>
      <c r="BB48" s="594">
        <f t="shared" si="13"/>
        <v>100</v>
      </c>
      <c r="BC48" s="546">
        <v>56050000000</v>
      </c>
      <c r="BD48" s="546">
        <v>56050000</v>
      </c>
      <c r="BE48" s="546">
        <v>0</v>
      </c>
      <c r="BF48" s="546">
        <v>0</v>
      </c>
      <c r="BG48" s="546">
        <v>0</v>
      </c>
      <c r="BH48" s="546">
        <v>0</v>
      </c>
      <c r="BI48" s="546">
        <v>0</v>
      </c>
      <c r="BJ48" s="546">
        <v>0</v>
      </c>
      <c r="BK48" s="723">
        <v>69681787037</v>
      </c>
      <c r="BL48" s="722">
        <v>0</v>
      </c>
      <c r="BM48" s="722">
        <v>69681787037</v>
      </c>
      <c r="BN48" s="722">
        <v>0</v>
      </c>
      <c r="BO48" s="722">
        <v>0</v>
      </c>
      <c r="BP48" s="722">
        <v>0</v>
      </c>
      <c r="BQ48" s="722">
        <v>0</v>
      </c>
      <c r="BR48" s="722">
        <v>0</v>
      </c>
      <c r="BS48" s="722">
        <v>0</v>
      </c>
      <c r="BT48" s="722">
        <v>0</v>
      </c>
      <c r="BU48" s="722">
        <v>0</v>
      </c>
      <c r="BV48" s="580">
        <f t="shared" si="14"/>
        <v>2.2249999999999999E-2</v>
      </c>
      <c r="BW48" s="588">
        <v>100</v>
      </c>
      <c r="BX48" s="623">
        <f t="shared" si="49"/>
        <v>0.25</v>
      </c>
      <c r="BY48" s="607">
        <v>100</v>
      </c>
      <c r="BZ48" s="629">
        <v>100</v>
      </c>
      <c r="CA48" s="1017">
        <v>100</v>
      </c>
      <c r="CB48" s="721">
        <f t="shared" si="50"/>
        <v>25</v>
      </c>
      <c r="CC48" s="721">
        <f t="shared" si="51"/>
        <v>100</v>
      </c>
      <c r="CD48" s="720">
        <f t="shared" si="18"/>
        <v>100</v>
      </c>
      <c r="CE48" s="618">
        <f t="shared" si="19"/>
        <v>2.2250000000000002E-2</v>
      </c>
      <c r="CF48" s="719">
        <f t="shared" si="20"/>
        <v>100</v>
      </c>
      <c r="CG48" s="618">
        <f t="shared" si="21"/>
        <v>2.2250000000000002E-2</v>
      </c>
      <c r="CH48" s="718">
        <f t="shared" si="22"/>
        <v>2.2249999999999999E-2</v>
      </c>
      <c r="CI48" s="552">
        <v>100</v>
      </c>
      <c r="CJ48" s="551">
        <f t="shared" si="52"/>
        <v>0.25</v>
      </c>
      <c r="CK48" s="874">
        <v>50</v>
      </c>
      <c r="CL48" s="533">
        <f t="shared" si="53"/>
        <v>50</v>
      </c>
      <c r="CM48" s="619">
        <f t="shared" si="54"/>
        <v>12.5</v>
      </c>
      <c r="CN48" s="619">
        <f t="shared" si="55"/>
        <v>50</v>
      </c>
      <c r="CO48" s="619">
        <f t="shared" si="27"/>
        <v>50</v>
      </c>
      <c r="CP48" s="619">
        <f t="shared" si="28"/>
        <v>1.1125000000000001E-2</v>
      </c>
      <c r="CQ48" s="619">
        <f t="shared" si="29"/>
        <v>1.1125000000000001E-2</v>
      </c>
      <c r="CR48" s="546">
        <v>59000000000</v>
      </c>
      <c r="CS48" s="546">
        <v>0</v>
      </c>
      <c r="CT48" s="546">
        <v>59000000</v>
      </c>
      <c r="CU48" s="546">
        <v>0</v>
      </c>
      <c r="CV48" s="546">
        <v>0</v>
      </c>
      <c r="CW48" s="546">
        <v>0</v>
      </c>
      <c r="CX48" s="546">
        <v>0</v>
      </c>
      <c r="CY48" s="546">
        <v>0</v>
      </c>
      <c r="CZ48" s="618">
        <v>0</v>
      </c>
      <c r="DA48" s="618">
        <v>0</v>
      </c>
      <c r="DB48" s="618">
        <v>0</v>
      </c>
      <c r="DC48" s="618">
        <v>0</v>
      </c>
      <c r="DD48" s="618">
        <v>0</v>
      </c>
      <c r="DE48" s="618">
        <v>0</v>
      </c>
      <c r="DF48" s="618">
        <v>0</v>
      </c>
      <c r="DG48" s="618">
        <v>0</v>
      </c>
      <c r="DH48" s="618">
        <v>0</v>
      </c>
      <c r="DI48" s="618">
        <v>0</v>
      </c>
      <c r="DJ48" s="618">
        <v>0</v>
      </c>
      <c r="DK48" s="1034">
        <f t="shared" si="56"/>
        <v>87.5</v>
      </c>
      <c r="DL48" s="543">
        <f t="shared" si="31"/>
        <v>8.8999999999999996E-2</v>
      </c>
      <c r="DM48" s="542">
        <f t="shared" si="32"/>
        <v>87.5</v>
      </c>
      <c r="DN48" s="594">
        <f t="shared" si="33"/>
        <v>87.5</v>
      </c>
      <c r="DO48" s="540">
        <f t="shared" si="34"/>
        <v>7.7875E-2</v>
      </c>
      <c r="DP48" s="597">
        <f t="shared" si="58"/>
        <v>7.7875E-2</v>
      </c>
      <c r="DQ48" s="538">
        <f t="shared" si="35"/>
        <v>7.7875E-2</v>
      </c>
      <c r="DR48" s="617">
        <f t="shared" si="36"/>
        <v>1</v>
      </c>
      <c r="DS48" s="616">
        <f t="shared" si="37"/>
        <v>0</v>
      </c>
      <c r="DT48" s="259">
        <v>77</v>
      </c>
      <c r="DU48" s="260" t="s">
        <v>288</v>
      </c>
      <c r="DV48" s="259"/>
      <c r="DW48" s="260" t="s">
        <v>242</v>
      </c>
      <c r="DX48" s="259"/>
      <c r="DY48" s="259"/>
      <c r="DZ48" s="259"/>
      <c r="EA48" s="987"/>
      <c r="EB48" s="1041" t="s">
        <v>2397</v>
      </c>
      <c r="EC48" s="802">
        <v>59000000000</v>
      </c>
      <c r="EE48" s="1047"/>
    </row>
    <row r="49" spans="4:135" s="534" customFormat="1" ht="72" hidden="1" x14ac:dyDescent="0.3">
      <c r="D49" s="783">
        <v>46</v>
      </c>
      <c r="E49" s="799">
        <v>65</v>
      </c>
      <c r="F49" s="787" t="s">
        <v>200</v>
      </c>
      <c r="G49" s="787" t="s">
        <v>7</v>
      </c>
      <c r="H49" s="788" t="s">
        <v>132</v>
      </c>
      <c r="I49" s="712" t="s">
        <v>366</v>
      </c>
      <c r="J49" s="573" t="s">
        <v>425</v>
      </c>
      <c r="K49" s="573" t="s">
        <v>426</v>
      </c>
      <c r="L49" s="701" t="s">
        <v>2201</v>
      </c>
      <c r="M49" s="570" t="s">
        <v>2032</v>
      </c>
      <c r="N49" s="570">
        <v>0</v>
      </c>
      <c r="O49" s="570">
        <f t="shared" si="57"/>
        <v>100</v>
      </c>
      <c r="P49" s="569">
        <v>100</v>
      </c>
      <c r="Q49" s="595">
        <v>0.16500000000000001</v>
      </c>
      <c r="R49" s="580">
        <f t="shared" si="0"/>
        <v>4.1250000000000002E-2</v>
      </c>
      <c r="S49" s="708">
        <v>100</v>
      </c>
      <c r="T49" s="625">
        <f t="shared" si="43"/>
        <v>0.25</v>
      </c>
      <c r="U49" s="992">
        <v>100</v>
      </c>
      <c r="V49" s="626">
        <f t="shared" si="44"/>
        <v>25</v>
      </c>
      <c r="W49" s="594">
        <f t="shared" si="45"/>
        <v>100</v>
      </c>
      <c r="X49" s="594">
        <f t="shared" si="4"/>
        <v>100</v>
      </c>
      <c r="Y49" s="594">
        <f t="shared" si="40"/>
        <v>4.1250000000000002E-2</v>
      </c>
      <c r="Z49" s="594">
        <f t="shared" si="6"/>
        <v>100</v>
      </c>
      <c r="AA49" s="546">
        <v>4000000</v>
      </c>
      <c r="AB49" s="546">
        <v>4000000</v>
      </c>
      <c r="AC49" s="546">
        <v>0</v>
      </c>
      <c r="AD49" s="546">
        <v>0</v>
      </c>
      <c r="AE49" s="546">
        <v>0</v>
      </c>
      <c r="AF49" s="546">
        <v>0</v>
      </c>
      <c r="AG49" s="546">
        <v>0</v>
      </c>
      <c r="AH49" s="546">
        <v>0</v>
      </c>
      <c r="AI49" s="546">
        <v>0</v>
      </c>
      <c r="AJ49" s="546">
        <v>0</v>
      </c>
      <c r="AK49" s="546">
        <v>0</v>
      </c>
      <c r="AL49" s="546">
        <v>0</v>
      </c>
      <c r="AM49" s="546">
        <v>0</v>
      </c>
      <c r="AN49" s="546">
        <v>0</v>
      </c>
      <c r="AO49" s="546">
        <v>0</v>
      </c>
      <c r="AP49" s="546">
        <v>0</v>
      </c>
      <c r="AQ49" s="546">
        <v>0</v>
      </c>
      <c r="AR49" s="546">
        <v>0</v>
      </c>
      <c r="AS49" s="546" t="s">
        <v>2045</v>
      </c>
      <c r="AT49" s="570">
        <f t="shared" si="7"/>
        <v>4.1250000000000002E-2</v>
      </c>
      <c r="AU49" s="570">
        <v>100</v>
      </c>
      <c r="AV49" s="625">
        <f t="shared" si="46"/>
        <v>0.25</v>
      </c>
      <c r="AW49" s="1003">
        <v>100</v>
      </c>
      <c r="AX49" s="724">
        <f t="shared" si="47"/>
        <v>25</v>
      </c>
      <c r="AY49" s="724">
        <f t="shared" si="48"/>
        <v>100</v>
      </c>
      <c r="AZ49" s="724">
        <f t="shared" si="11"/>
        <v>100</v>
      </c>
      <c r="BA49" s="594">
        <f t="shared" si="12"/>
        <v>4.1250000000000002E-2</v>
      </c>
      <c r="BB49" s="594">
        <f t="shared" si="13"/>
        <v>100</v>
      </c>
      <c r="BC49" s="546">
        <v>3000000</v>
      </c>
      <c r="BD49" s="546">
        <v>0</v>
      </c>
      <c r="BE49" s="546">
        <v>3000000</v>
      </c>
      <c r="BF49" s="546">
        <v>0</v>
      </c>
      <c r="BG49" s="546">
        <v>0</v>
      </c>
      <c r="BH49" s="546">
        <v>0</v>
      </c>
      <c r="BI49" s="546">
        <v>0</v>
      </c>
      <c r="BJ49" s="546">
        <v>0</v>
      </c>
      <c r="BK49" s="723">
        <v>0</v>
      </c>
      <c r="BL49" s="722">
        <v>0</v>
      </c>
      <c r="BM49" s="722">
        <v>0</v>
      </c>
      <c r="BN49" s="722">
        <v>0</v>
      </c>
      <c r="BO49" s="722">
        <v>0</v>
      </c>
      <c r="BP49" s="722">
        <v>0</v>
      </c>
      <c r="BQ49" s="722">
        <v>0</v>
      </c>
      <c r="BR49" s="722">
        <v>0</v>
      </c>
      <c r="BS49" s="722">
        <v>0</v>
      </c>
      <c r="BT49" s="722">
        <v>0</v>
      </c>
      <c r="BU49" s="722">
        <v>0</v>
      </c>
      <c r="BV49" s="580">
        <f t="shared" si="14"/>
        <v>4.1250000000000002E-2</v>
      </c>
      <c r="BW49" s="588">
        <v>100</v>
      </c>
      <c r="BX49" s="623">
        <f t="shared" si="49"/>
        <v>0.25</v>
      </c>
      <c r="BY49" s="639">
        <v>0</v>
      </c>
      <c r="BZ49" s="638">
        <v>99</v>
      </c>
      <c r="CA49" s="1018">
        <v>100</v>
      </c>
      <c r="CB49" s="721">
        <f t="shared" si="50"/>
        <v>25</v>
      </c>
      <c r="CC49" s="721">
        <f t="shared" si="51"/>
        <v>100</v>
      </c>
      <c r="CD49" s="720">
        <f t="shared" si="18"/>
        <v>100</v>
      </c>
      <c r="CE49" s="618">
        <f t="shared" si="19"/>
        <v>4.1250000000000002E-2</v>
      </c>
      <c r="CF49" s="719">
        <f t="shared" si="20"/>
        <v>100</v>
      </c>
      <c r="CG49" s="618">
        <f t="shared" si="21"/>
        <v>4.1250000000000002E-2</v>
      </c>
      <c r="CH49" s="718">
        <f t="shared" si="22"/>
        <v>4.1250000000000002E-2</v>
      </c>
      <c r="CI49" s="552">
        <v>100</v>
      </c>
      <c r="CJ49" s="551">
        <f t="shared" si="52"/>
        <v>0.25</v>
      </c>
      <c r="CK49" s="874">
        <v>0</v>
      </c>
      <c r="CL49" s="533">
        <f t="shared" si="53"/>
        <v>100</v>
      </c>
      <c r="CM49" s="619">
        <f t="shared" si="54"/>
        <v>0</v>
      </c>
      <c r="CN49" s="619">
        <f t="shared" si="55"/>
        <v>0</v>
      </c>
      <c r="CO49" s="619">
        <f t="shared" si="27"/>
        <v>0</v>
      </c>
      <c r="CP49" s="619">
        <f t="shared" si="28"/>
        <v>0</v>
      </c>
      <c r="CQ49" s="619">
        <f t="shared" si="29"/>
        <v>0</v>
      </c>
      <c r="CR49" s="546">
        <v>6000000</v>
      </c>
      <c r="CS49" s="546">
        <v>6000000</v>
      </c>
      <c r="CT49" s="546">
        <v>0</v>
      </c>
      <c r="CU49" s="546">
        <v>0</v>
      </c>
      <c r="CV49" s="546">
        <v>0</v>
      </c>
      <c r="CW49" s="546">
        <v>0</v>
      </c>
      <c r="CX49" s="546">
        <v>0</v>
      </c>
      <c r="CY49" s="546">
        <v>0</v>
      </c>
      <c r="CZ49" s="618">
        <v>0</v>
      </c>
      <c r="DA49" s="618">
        <v>0</v>
      </c>
      <c r="DB49" s="618">
        <v>0</v>
      </c>
      <c r="DC49" s="618">
        <v>0</v>
      </c>
      <c r="DD49" s="618">
        <v>0</v>
      </c>
      <c r="DE49" s="618">
        <v>0</v>
      </c>
      <c r="DF49" s="618">
        <v>0</v>
      </c>
      <c r="DG49" s="618">
        <v>0</v>
      </c>
      <c r="DH49" s="618">
        <v>0</v>
      </c>
      <c r="DI49" s="618">
        <v>0</v>
      </c>
      <c r="DJ49" s="618">
        <v>0</v>
      </c>
      <c r="DK49" s="1034">
        <f t="shared" si="56"/>
        <v>75</v>
      </c>
      <c r="DL49" s="543">
        <f t="shared" si="31"/>
        <v>0.16500000000000001</v>
      </c>
      <c r="DM49" s="542">
        <f t="shared" si="32"/>
        <v>75</v>
      </c>
      <c r="DN49" s="594">
        <f t="shared" si="33"/>
        <v>75</v>
      </c>
      <c r="DO49" s="540">
        <f t="shared" si="34"/>
        <v>0.12375</v>
      </c>
      <c r="DP49" s="597">
        <f t="shared" si="58"/>
        <v>0.12375</v>
      </c>
      <c r="DQ49" s="538">
        <f t="shared" si="35"/>
        <v>0.12375</v>
      </c>
      <c r="DR49" s="617">
        <f t="shared" si="36"/>
        <v>1</v>
      </c>
      <c r="DS49" s="616">
        <f t="shared" si="37"/>
        <v>0</v>
      </c>
      <c r="DT49" s="259">
        <v>40</v>
      </c>
      <c r="DU49" s="260" t="s">
        <v>292</v>
      </c>
      <c r="DV49" s="259"/>
      <c r="DW49" s="260" t="s">
        <v>242</v>
      </c>
      <c r="DX49" s="259"/>
      <c r="DY49" s="259"/>
      <c r="DZ49" s="259"/>
      <c r="EA49" s="987"/>
      <c r="EB49" s="1041" t="s">
        <v>2398</v>
      </c>
      <c r="EC49" s="802">
        <v>6000000</v>
      </c>
      <c r="EE49" s="1047"/>
    </row>
    <row r="50" spans="4:135" s="534" customFormat="1" ht="120" hidden="1" x14ac:dyDescent="0.3">
      <c r="D50" s="783">
        <v>47</v>
      </c>
      <c r="E50" s="799">
        <v>66</v>
      </c>
      <c r="F50" s="787" t="s">
        <v>200</v>
      </c>
      <c r="G50" s="787" t="s">
        <v>7</v>
      </c>
      <c r="H50" s="788" t="s">
        <v>132</v>
      </c>
      <c r="I50" s="712" t="s">
        <v>366</v>
      </c>
      <c r="J50" s="573" t="s">
        <v>427</v>
      </c>
      <c r="K50" s="573" t="s">
        <v>428</v>
      </c>
      <c r="L50" s="702" t="s">
        <v>1593</v>
      </c>
      <c r="M50" s="570" t="s">
        <v>2017</v>
      </c>
      <c r="N50" s="570">
        <v>0</v>
      </c>
      <c r="O50" s="570">
        <f>+N50+P50</f>
        <v>35</v>
      </c>
      <c r="P50" s="569">
        <v>35</v>
      </c>
      <c r="Q50" s="595">
        <v>0.25</v>
      </c>
      <c r="R50" s="580">
        <f t="shared" si="0"/>
        <v>0</v>
      </c>
      <c r="S50" s="708">
        <v>0</v>
      </c>
      <c r="T50" s="625">
        <f t="shared" si="43"/>
        <v>0</v>
      </c>
      <c r="U50" s="992">
        <v>0</v>
      </c>
      <c r="V50" s="626">
        <f t="shared" si="44"/>
        <v>0</v>
      </c>
      <c r="W50" s="594">
        <f t="shared" si="45"/>
        <v>0</v>
      </c>
      <c r="X50" s="594">
        <f t="shared" si="4"/>
        <v>0</v>
      </c>
      <c r="Y50" s="594">
        <f t="shared" si="40"/>
        <v>0</v>
      </c>
      <c r="Z50" s="594">
        <f t="shared" si="6"/>
        <v>0</v>
      </c>
      <c r="AA50" s="546">
        <v>9000000</v>
      </c>
      <c r="AB50" s="546">
        <v>9000000</v>
      </c>
      <c r="AC50" s="546">
        <v>0</v>
      </c>
      <c r="AD50" s="546">
        <v>0</v>
      </c>
      <c r="AE50" s="546">
        <v>0</v>
      </c>
      <c r="AF50" s="546">
        <v>0</v>
      </c>
      <c r="AG50" s="546">
        <v>0</v>
      </c>
      <c r="AH50" s="546">
        <v>0</v>
      </c>
      <c r="AI50" s="546">
        <v>0</v>
      </c>
      <c r="AJ50" s="546">
        <v>0</v>
      </c>
      <c r="AK50" s="546">
        <v>0</v>
      </c>
      <c r="AL50" s="546">
        <v>0</v>
      </c>
      <c r="AM50" s="546">
        <v>0</v>
      </c>
      <c r="AN50" s="546">
        <v>0</v>
      </c>
      <c r="AO50" s="546">
        <v>0</v>
      </c>
      <c r="AP50" s="546">
        <v>0</v>
      </c>
      <c r="AQ50" s="546">
        <v>0</v>
      </c>
      <c r="AR50" s="546">
        <v>0</v>
      </c>
      <c r="AS50" s="546" t="s">
        <v>2045</v>
      </c>
      <c r="AT50" s="570">
        <f t="shared" si="7"/>
        <v>0</v>
      </c>
      <c r="AU50" s="570">
        <v>0</v>
      </c>
      <c r="AV50" s="625">
        <f t="shared" si="46"/>
        <v>0</v>
      </c>
      <c r="AW50" s="1003">
        <v>0</v>
      </c>
      <c r="AX50" s="724">
        <f t="shared" si="47"/>
        <v>0</v>
      </c>
      <c r="AY50" s="724">
        <f t="shared" si="48"/>
        <v>0</v>
      </c>
      <c r="AZ50" s="724">
        <f t="shared" si="11"/>
        <v>0</v>
      </c>
      <c r="BA50" s="594">
        <f t="shared" si="12"/>
        <v>0</v>
      </c>
      <c r="BB50" s="594">
        <f t="shared" si="13"/>
        <v>0</v>
      </c>
      <c r="BC50" s="546">
        <v>7000000</v>
      </c>
      <c r="BD50" s="546">
        <v>0</v>
      </c>
      <c r="BE50" s="546">
        <v>7000000</v>
      </c>
      <c r="BF50" s="546">
        <v>0</v>
      </c>
      <c r="BG50" s="546">
        <v>0</v>
      </c>
      <c r="BH50" s="546">
        <v>0</v>
      </c>
      <c r="BI50" s="546">
        <v>0</v>
      </c>
      <c r="BJ50" s="546">
        <v>0</v>
      </c>
      <c r="BK50" s="723">
        <v>20000000</v>
      </c>
      <c r="BL50" s="722">
        <v>20000000</v>
      </c>
      <c r="BM50" s="722">
        <v>0</v>
      </c>
      <c r="BN50" s="722">
        <v>0</v>
      </c>
      <c r="BO50" s="722">
        <v>0</v>
      </c>
      <c r="BP50" s="722">
        <v>0</v>
      </c>
      <c r="BQ50" s="722">
        <v>0</v>
      </c>
      <c r="BR50" s="722">
        <v>0</v>
      </c>
      <c r="BS50" s="722">
        <v>0</v>
      </c>
      <c r="BT50" s="722">
        <v>0</v>
      </c>
      <c r="BU50" s="722">
        <v>0</v>
      </c>
      <c r="BV50" s="580">
        <f t="shared" si="14"/>
        <v>0</v>
      </c>
      <c r="BW50" s="588">
        <v>0</v>
      </c>
      <c r="BX50" s="623">
        <f t="shared" si="49"/>
        <v>0</v>
      </c>
      <c r="BY50" s="639">
        <v>0</v>
      </c>
      <c r="BZ50" s="638">
        <v>0</v>
      </c>
      <c r="CA50" s="1018">
        <v>0</v>
      </c>
      <c r="CB50" s="721">
        <f t="shared" si="50"/>
        <v>0</v>
      </c>
      <c r="CC50" s="721">
        <f t="shared" si="51"/>
        <v>0</v>
      </c>
      <c r="CD50" s="720">
        <f t="shared" si="18"/>
        <v>0</v>
      </c>
      <c r="CE50" s="618">
        <f t="shared" si="19"/>
        <v>0</v>
      </c>
      <c r="CF50" s="719">
        <f t="shared" si="20"/>
        <v>0</v>
      </c>
      <c r="CG50" s="618">
        <f t="shared" si="21"/>
        <v>0</v>
      </c>
      <c r="CH50" s="718">
        <f t="shared" si="22"/>
        <v>0.25</v>
      </c>
      <c r="CI50" s="552">
        <v>35</v>
      </c>
      <c r="CJ50" s="551">
        <f t="shared" si="52"/>
        <v>1</v>
      </c>
      <c r="CK50" s="874">
        <v>0</v>
      </c>
      <c r="CL50" s="533">
        <f t="shared" si="53"/>
        <v>35</v>
      </c>
      <c r="CM50" s="619">
        <f t="shared" si="54"/>
        <v>0</v>
      </c>
      <c r="CN50" s="619">
        <f t="shared" si="55"/>
        <v>0</v>
      </c>
      <c r="CO50" s="549">
        <f t="shared" si="27"/>
        <v>0</v>
      </c>
      <c r="CP50" s="619">
        <f t="shared" si="28"/>
        <v>0</v>
      </c>
      <c r="CQ50" s="619">
        <f t="shared" si="29"/>
        <v>0</v>
      </c>
      <c r="CR50" s="546">
        <v>15000000</v>
      </c>
      <c r="CS50" s="546">
        <v>15000000</v>
      </c>
      <c r="CT50" s="546">
        <v>0</v>
      </c>
      <c r="CU50" s="546">
        <v>0</v>
      </c>
      <c r="CV50" s="546">
        <v>0</v>
      </c>
      <c r="CW50" s="546">
        <v>0</v>
      </c>
      <c r="CX50" s="546">
        <v>0</v>
      </c>
      <c r="CY50" s="546">
        <v>0</v>
      </c>
      <c r="CZ50" s="618">
        <v>0</v>
      </c>
      <c r="DA50" s="618">
        <v>0</v>
      </c>
      <c r="DB50" s="618">
        <v>0</v>
      </c>
      <c r="DC50" s="618">
        <v>0</v>
      </c>
      <c r="DD50" s="618">
        <v>0</v>
      </c>
      <c r="DE50" s="618">
        <v>0</v>
      </c>
      <c r="DF50" s="618">
        <v>0</v>
      </c>
      <c r="DG50" s="618">
        <v>0</v>
      </c>
      <c r="DH50" s="618">
        <v>0</v>
      </c>
      <c r="DI50" s="618">
        <v>0</v>
      </c>
      <c r="DJ50" s="618">
        <v>0</v>
      </c>
      <c r="DK50" s="1034">
        <f t="shared" si="56"/>
        <v>0</v>
      </c>
      <c r="DL50" s="543">
        <f t="shared" si="31"/>
        <v>0.25</v>
      </c>
      <c r="DM50" s="542">
        <f t="shared" si="32"/>
        <v>0</v>
      </c>
      <c r="DN50" s="594">
        <f t="shared" si="33"/>
        <v>0</v>
      </c>
      <c r="DO50" s="540">
        <f t="shared" si="34"/>
        <v>0</v>
      </c>
      <c r="DP50" s="597">
        <f>+IF(((DN50*Q50)/100)&lt;Q50, ((DN50*Q50)/100),Q50)</f>
        <v>0</v>
      </c>
      <c r="DQ50" s="538">
        <f t="shared" si="35"/>
        <v>0</v>
      </c>
      <c r="DR50" s="617">
        <f t="shared" si="36"/>
        <v>1</v>
      </c>
      <c r="DS50" s="616">
        <f t="shared" si="37"/>
        <v>0</v>
      </c>
      <c r="DT50" s="259">
        <v>9</v>
      </c>
      <c r="DU50" s="260" t="s">
        <v>352</v>
      </c>
      <c r="DV50" s="259">
        <v>39</v>
      </c>
      <c r="DW50" s="260" t="s">
        <v>376</v>
      </c>
      <c r="DX50" s="259">
        <v>40</v>
      </c>
      <c r="DY50" s="259"/>
      <c r="DZ50" s="259"/>
      <c r="EA50" s="987"/>
      <c r="EB50" s="1041" t="s">
        <v>2399</v>
      </c>
      <c r="EC50" s="802">
        <v>15000000</v>
      </c>
      <c r="EE50" s="1047"/>
    </row>
    <row r="51" spans="4:135" s="534" customFormat="1" ht="127.5" hidden="1" x14ac:dyDescent="0.3">
      <c r="D51" s="783">
        <v>48</v>
      </c>
      <c r="E51" s="799">
        <v>67</v>
      </c>
      <c r="F51" s="787" t="s">
        <v>200</v>
      </c>
      <c r="G51" s="787" t="s">
        <v>12</v>
      </c>
      <c r="H51" s="788" t="s">
        <v>132</v>
      </c>
      <c r="I51" s="712" t="s">
        <v>366</v>
      </c>
      <c r="J51" s="573" t="s">
        <v>429</v>
      </c>
      <c r="K51" s="573" t="s">
        <v>430</v>
      </c>
      <c r="L51" s="701" t="s">
        <v>1724</v>
      </c>
      <c r="M51" s="570" t="s">
        <v>2017</v>
      </c>
      <c r="N51" s="570">
        <v>0</v>
      </c>
      <c r="O51" s="570">
        <f>+N51+P51</f>
        <v>100</v>
      </c>
      <c r="P51" s="569">
        <v>100</v>
      </c>
      <c r="Q51" s="595">
        <v>0.25</v>
      </c>
      <c r="R51" s="580">
        <f t="shared" si="0"/>
        <v>1.2500000000000001E-2</v>
      </c>
      <c r="S51" s="708">
        <v>5</v>
      </c>
      <c r="T51" s="625">
        <f t="shared" si="43"/>
        <v>0.05</v>
      </c>
      <c r="U51" s="992">
        <v>6.5</v>
      </c>
      <c r="V51" s="626">
        <f t="shared" si="44"/>
        <v>6.5</v>
      </c>
      <c r="W51" s="594">
        <f t="shared" si="45"/>
        <v>130</v>
      </c>
      <c r="X51" s="594">
        <f t="shared" si="4"/>
        <v>100</v>
      </c>
      <c r="Y51" s="594">
        <f t="shared" si="40"/>
        <v>1.2500000000000001E-2</v>
      </c>
      <c r="Z51" s="594">
        <f t="shared" si="6"/>
        <v>100</v>
      </c>
      <c r="AA51" s="546">
        <v>0</v>
      </c>
      <c r="AB51" s="546">
        <v>0</v>
      </c>
      <c r="AC51" s="546">
        <v>0</v>
      </c>
      <c r="AD51" s="546">
        <v>0</v>
      </c>
      <c r="AE51" s="546">
        <v>0</v>
      </c>
      <c r="AF51" s="546">
        <v>0</v>
      </c>
      <c r="AG51" s="546">
        <v>0</v>
      </c>
      <c r="AH51" s="546">
        <v>0</v>
      </c>
      <c r="AI51" s="546">
        <v>17500000</v>
      </c>
      <c r="AJ51" s="546">
        <v>17500000</v>
      </c>
      <c r="AK51" s="546">
        <v>0</v>
      </c>
      <c r="AL51" s="546">
        <v>0</v>
      </c>
      <c r="AM51" s="546">
        <v>0</v>
      </c>
      <c r="AN51" s="546">
        <v>0</v>
      </c>
      <c r="AO51" s="546">
        <v>0</v>
      </c>
      <c r="AP51" s="546">
        <v>0</v>
      </c>
      <c r="AQ51" s="546">
        <v>0</v>
      </c>
      <c r="AR51" s="546">
        <v>0</v>
      </c>
      <c r="AS51" s="546" t="s">
        <v>2045</v>
      </c>
      <c r="AT51" s="570">
        <f t="shared" si="7"/>
        <v>7.4999999999999997E-2</v>
      </c>
      <c r="AU51" s="570">
        <v>30</v>
      </c>
      <c r="AV51" s="625">
        <f t="shared" si="46"/>
        <v>0.3</v>
      </c>
      <c r="AW51" s="1003">
        <v>8</v>
      </c>
      <c r="AX51" s="724">
        <f t="shared" si="47"/>
        <v>8</v>
      </c>
      <c r="AY51" s="724">
        <f t="shared" si="48"/>
        <v>26.666666666666668</v>
      </c>
      <c r="AZ51" s="724">
        <f t="shared" si="11"/>
        <v>26.666666666666668</v>
      </c>
      <c r="BA51" s="594">
        <f t="shared" si="12"/>
        <v>0.02</v>
      </c>
      <c r="BB51" s="594">
        <f t="shared" si="13"/>
        <v>26.666666666666668</v>
      </c>
      <c r="BC51" s="546">
        <v>0</v>
      </c>
      <c r="BD51" s="546">
        <v>0</v>
      </c>
      <c r="BE51" s="546">
        <v>0</v>
      </c>
      <c r="BF51" s="546">
        <v>0</v>
      </c>
      <c r="BG51" s="546">
        <v>0</v>
      </c>
      <c r="BH51" s="546">
        <v>0</v>
      </c>
      <c r="BI51" s="546">
        <v>0</v>
      </c>
      <c r="BJ51" s="546">
        <v>0</v>
      </c>
      <c r="BK51" s="723">
        <v>0</v>
      </c>
      <c r="BL51" s="722">
        <v>0</v>
      </c>
      <c r="BM51" s="722">
        <v>0</v>
      </c>
      <c r="BN51" s="722">
        <v>0</v>
      </c>
      <c r="BO51" s="722">
        <v>0</v>
      </c>
      <c r="BP51" s="722">
        <v>0</v>
      </c>
      <c r="BQ51" s="722">
        <v>0</v>
      </c>
      <c r="BR51" s="722">
        <v>0</v>
      </c>
      <c r="BS51" s="722">
        <v>0</v>
      </c>
      <c r="BT51" s="722">
        <v>0</v>
      </c>
      <c r="BU51" s="722">
        <v>0</v>
      </c>
      <c r="BV51" s="580">
        <f t="shared" si="14"/>
        <v>7.4999999999999997E-2</v>
      </c>
      <c r="BW51" s="588">
        <v>30</v>
      </c>
      <c r="BX51" s="623">
        <f t="shared" si="49"/>
        <v>0.3</v>
      </c>
      <c r="BY51" s="639">
        <v>14.08</v>
      </c>
      <c r="BZ51" s="629">
        <v>14.08</v>
      </c>
      <c r="CA51" s="1017">
        <v>60.049999237060547</v>
      </c>
      <c r="CB51" s="721">
        <f t="shared" si="50"/>
        <v>60.049999237060547</v>
      </c>
      <c r="CC51" s="721">
        <f t="shared" si="51"/>
        <v>200.16666412353516</v>
      </c>
      <c r="CD51" s="720">
        <f t="shared" si="18"/>
        <v>100</v>
      </c>
      <c r="CE51" s="618">
        <f t="shared" si="19"/>
        <v>7.4999999999999997E-2</v>
      </c>
      <c r="CF51" s="719">
        <f t="shared" si="20"/>
        <v>100</v>
      </c>
      <c r="CG51" s="618">
        <f t="shared" si="21"/>
        <v>0.15012499809265137</v>
      </c>
      <c r="CH51" s="718">
        <f t="shared" si="22"/>
        <v>8.7499999999999994E-2</v>
      </c>
      <c r="CI51" s="552">
        <v>35</v>
      </c>
      <c r="CJ51" s="551">
        <f t="shared" si="52"/>
        <v>0.35</v>
      </c>
      <c r="CK51" s="874">
        <v>42</v>
      </c>
      <c r="CL51" s="533">
        <f t="shared" si="53"/>
        <v>-7</v>
      </c>
      <c r="CM51" s="619">
        <f t="shared" si="54"/>
        <v>42</v>
      </c>
      <c r="CN51" s="619">
        <f t="shared" si="55"/>
        <v>120</v>
      </c>
      <c r="CO51" s="549">
        <f t="shared" si="27"/>
        <v>100</v>
      </c>
      <c r="CP51" s="619">
        <f t="shared" si="28"/>
        <v>8.7499999999999994E-2</v>
      </c>
      <c r="CQ51" s="619">
        <f t="shared" si="29"/>
        <v>0.105</v>
      </c>
      <c r="CR51" s="546">
        <v>0</v>
      </c>
      <c r="CS51" s="546">
        <v>0</v>
      </c>
      <c r="CT51" s="546">
        <v>0</v>
      </c>
      <c r="CU51" s="546">
        <v>0</v>
      </c>
      <c r="CV51" s="546">
        <v>0</v>
      </c>
      <c r="CW51" s="546">
        <v>0</v>
      </c>
      <c r="CX51" s="546">
        <v>0</v>
      </c>
      <c r="CY51" s="546">
        <v>0</v>
      </c>
      <c r="CZ51" s="618">
        <v>0</v>
      </c>
      <c r="DA51" s="618">
        <v>0</v>
      </c>
      <c r="DB51" s="618">
        <v>0</v>
      </c>
      <c r="DC51" s="618">
        <v>0</v>
      </c>
      <c r="DD51" s="618">
        <v>0</v>
      </c>
      <c r="DE51" s="618">
        <v>0</v>
      </c>
      <c r="DF51" s="618">
        <v>0</v>
      </c>
      <c r="DG51" s="618">
        <v>0</v>
      </c>
      <c r="DH51" s="618">
        <v>0</v>
      </c>
      <c r="DI51" s="618">
        <v>0</v>
      </c>
      <c r="DJ51" s="618">
        <v>0</v>
      </c>
      <c r="DK51" s="1034">
        <f t="shared" si="56"/>
        <v>116.54999923706055</v>
      </c>
      <c r="DL51" s="543">
        <f t="shared" si="31"/>
        <v>0.24999999999999997</v>
      </c>
      <c r="DM51" s="542">
        <f t="shared" si="32"/>
        <v>116.54999923706055</v>
      </c>
      <c r="DN51" s="594">
        <f t="shared" si="33"/>
        <v>100</v>
      </c>
      <c r="DO51" s="540">
        <f t="shared" si="34"/>
        <v>0.25</v>
      </c>
      <c r="DP51" s="597">
        <f>+IF(((DN51*Q51)/100)&lt;Q51, ((DN51*Q51)/100),Q51)</f>
        <v>0.25</v>
      </c>
      <c r="DQ51" s="538">
        <f t="shared" si="35"/>
        <v>0.25</v>
      </c>
      <c r="DR51" s="617">
        <f t="shared" si="36"/>
        <v>0.99999999999999989</v>
      </c>
      <c r="DS51" s="616">
        <f t="shared" si="37"/>
        <v>0</v>
      </c>
      <c r="DT51" s="259">
        <v>619</v>
      </c>
      <c r="DU51" s="260" t="s">
        <v>431</v>
      </c>
      <c r="DV51" s="259"/>
      <c r="DW51" s="260" t="s">
        <v>242</v>
      </c>
      <c r="DX51" s="259"/>
      <c r="DY51" s="259"/>
      <c r="DZ51" s="259"/>
      <c r="EA51" s="987"/>
      <c r="EB51" s="1041" t="s">
        <v>2400</v>
      </c>
      <c r="EC51" s="802">
        <v>0</v>
      </c>
      <c r="EE51" s="1047"/>
    </row>
    <row r="52" spans="4:135" s="534" customFormat="1" ht="96" hidden="1" x14ac:dyDescent="0.3">
      <c r="D52" s="783">
        <v>49</v>
      </c>
      <c r="E52" s="799">
        <v>68</v>
      </c>
      <c r="F52" s="787" t="s">
        <v>200</v>
      </c>
      <c r="G52" s="787" t="s">
        <v>7</v>
      </c>
      <c r="H52" s="788" t="s">
        <v>132</v>
      </c>
      <c r="I52" s="712" t="s">
        <v>366</v>
      </c>
      <c r="J52" s="573" t="s">
        <v>432</v>
      </c>
      <c r="K52" s="573" t="s">
        <v>433</v>
      </c>
      <c r="L52" s="702" t="s">
        <v>1593</v>
      </c>
      <c r="M52" s="570" t="s">
        <v>2017</v>
      </c>
      <c r="N52" s="570">
        <v>50</v>
      </c>
      <c r="O52" s="570">
        <v>116</v>
      </c>
      <c r="P52" s="569">
        <v>116</v>
      </c>
      <c r="Q52" s="595">
        <v>0.16500000000000001</v>
      </c>
      <c r="R52" s="580">
        <f t="shared" si="0"/>
        <v>7.9655172413793107E-2</v>
      </c>
      <c r="S52" s="708">
        <v>56</v>
      </c>
      <c r="T52" s="625">
        <f t="shared" si="43"/>
        <v>0.48275862068965519</v>
      </c>
      <c r="U52" s="992">
        <v>53</v>
      </c>
      <c r="V52" s="626">
        <f t="shared" si="44"/>
        <v>53</v>
      </c>
      <c r="W52" s="594">
        <f t="shared" si="45"/>
        <v>94.642857142857139</v>
      </c>
      <c r="X52" s="594">
        <f t="shared" si="4"/>
        <v>94.642857142857139</v>
      </c>
      <c r="Y52" s="594">
        <f t="shared" si="40"/>
        <v>7.5387931034482755E-2</v>
      </c>
      <c r="Z52" s="594">
        <f t="shared" si="6"/>
        <v>94.642857142857139</v>
      </c>
      <c r="AA52" s="546">
        <v>0</v>
      </c>
      <c r="AB52" s="546">
        <v>0</v>
      </c>
      <c r="AC52" s="546">
        <v>0</v>
      </c>
      <c r="AD52" s="546">
        <v>0</v>
      </c>
      <c r="AE52" s="546">
        <v>0</v>
      </c>
      <c r="AF52" s="546">
        <v>0</v>
      </c>
      <c r="AG52" s="546">
        <v>0</v>
      </c>
      <c r="AH52" s="546">
        <v>0</v>
      </c>
      <c r="AI52" s="546">
        <v>50000000</v>
      </c>
      <c r="AJ52" s="546">
        <v>50000000</v>
      </c>
      <c r="AK52" s="546">
        <v>0</v>
      </c>
      <c r="AL52" s="546">
        <v>0</v>
      </c>
      <c r="AM52" s="546">
        <v>0</v>
      </c>
      <c r="AN52" s="546">
        <v>0</v>
      </c>
      <c r="AO52" s="546">
        <v>0</v>
      </c>
      <c r="AP52" s="546">
        <v>0</v>
      </c>
      <c r="AQ52" s="546">
        <v>0</v>
      </c>
      <c r="AR52" s="546">
        <v>0</v>
      </c>
      <c r="AS52" s="546" t="s">
        <v>2045</v>
      </c>
      <c r="AT52" s="570">
        <f t="shared" si="7"/>
        <v>2.1336206896551725E-2</v>
      </c>
      <c r="AU52" s="570">
        <v>15</v>
      </c>
      <c r="AV52" s="625">
        <f t="shared" si="46"/>
        <v>0.12931034482758622</v>
      </c>
      <c r="AW52" s="1003">
        <v>9</v>
      </c>
      <c r="AX52" s="724">
        <f t="shared" si="47"/>
        <v>9</v>
      </c>
      <c r="AY52" s="724">
        <f t="shared" si="48"/>
        <v>60</v>
      </c>
      <c r="AZ52" s="724">
        <f t="shared" si="11"/>
        <v>60</v>
      </c>
      <c r="BA52" s="594">
        <f t="shared" si="12"/>
        <v>1.2801724137931035E-2</v>
      </c>
      <c r="BB52" s="594">
        <f t="shared" si="13"/>
        <v>60</v>
      </c>
      <c r="BC52" s="546">
        <v>0</v>
      </c>
      <c r="BD52" s="546">
        <v>0</v>
      </c>
      <c r="BE52" s="546">
        <v>0</v>
      </c>
      <c r="BF52" s="546">
        <v>0</v>
      </c>
      <c r="BG52" s="546">
        <v>0</v>
      </c>
      <c r="BH52" s="546">
        <v>0</v>
      </c>
      <c r="BI52" s="546">
        <v>0</v>
      </c>
      <c r="BJ52" s="546">
        <v>0</v>
      </c>
      <c r="BK52" s="723">
        <v>0</v>
      </c>
      <c r="BL52" s="722">
        <v>0</v>
      </c>
      <c r="BM52" s="722">
        <v>0</v>
      </c>
      <c r="BN52" s="722">
        <v>0</v>
      </c>
      <c r="BO52" s="722">
        <v>0</v>
      </c>
      <c r="BP52" s="722">
        <v>0</v>
      </c>
      <c r="BQ52" s="722">
        <v>0</v>
      </c>
      <c r="BR52" s="722">
        <v>0</v>
      </c>
      <c r="BS52" s="722">
        <v>0</v>
      </c>
      <c r="BT52" s="722">
        <v>0</v>
      </c>
      <c r="BU52" s="722">
        <v>0</v>
      </c>
      <c r="BV52" s="580">
        <f t="shared" si="14"/>
        <v>2.844827586206897E-2</v>
      </c>
      <c r="BW52" s="588">
        <v>20</v>
      </c>
      <c r="BX52" s="623">
        <f t="shared" si="49"/>
        <v>0.17241379310344829</v>
      </c>
      <c r="BY52" s="639">
        <v>0</v>
      </c>
      <c r="BZ52" s="638">
        <v>39</v>
      </c>
      <c r="CA52" s="1018">
        <v>10</v>
      </c>
      <c r="CB52" s="721">
        <f t="shared" si="50"/>
        <v>10</v>
      </c>
      <c r="CC52" s="721">
        <f t="shared" si="51"/>
        <v>50</v>
      </c>
      <c r="CD52" s="720">
        <f t="shared" si="18"/>
        <v>50</v>
      </c>
      <c r="CE52" s="618">
        <f t="shared" si="19"/>
        <v>1.4224137931034487E-2</v>
      </c>
      <c r="CF52" s="719">
        <f t="shared" si="20"/>
        <v>100</v>
      </c>
      <c r="CG52" s="618">
        <f t="shared" si="21"/>
        <v>1.4224137931034487E-2</v>
      </c>
      <c r="CH52" s="718">
        <f t="shared" si="22"/>
        <v>3.5560344827586209E-2</v>
      </c>
      <c r="CI52" s="552">
        <v>25</v>
      </c>
      <c r="CJ52" s="551">
        <f t="shared" si="52"/>
        <v>0.21551724137931033</v>
      </c>
      <c r="CK52" s="874">
        <v>0</v>
      </c>
      <c r="CL52" s="533">
        <f t="shared" si="53"/>
        <v>25</v>
      </c>
      <c r="CM52" s="619">
        <f t="shared" si="54"/>
        <v>0</v>
      </c>
      <c r="CN52" s="619">
        <f t="shared" si="55"/>
        <v>0</v>
      </c>
      <c r="CO52" s="549">
        <f t="shared" si="27"/>
        <v>0</v>
      </c>
      <c r="CP52" s="619">
        <f t="shared" si="28"/>
        <v>0</v>
      </c>
      <c r="CQ52" s="619">
        <f t="shared" si="29"/>
        <v>0</v>
      </c>
      <c r="CR52" s="546">
        <v>0</v>
      </c>
      <c r="CS52" s="546">
        <v>0</v>
      </c>
      <c r="CT52" s="546">
        <v>0</v>
      </c>
      <c r="CU52" s="546">
        <v>0</v>
      </c>
      <c r="CV52" s="546">
        <v>0</v>
      </c>
      <c r="CW52" s="546">
        <v>0</v>
      </c>
      <c r="CX52" s="546">
        <v>0</v>
      </c>
      <c r="CY52" s="546">
        <v>0</v>
      </c>
      <c r="CZ52" s="618">
        <v>0</v>
      </c>
      <c r="DA52" s="618">
        <v>0</v>
      </c>
      <c r="DB52" s="618">
        <v>0</v>
      </c>
      <c r="DC52" s="618">
        <v>0</v>
      </c>
      <c r="DD52" s="618">
        <v>0</v>
      </c>
      <c r="DE52" s="618">
        <v>0</v>
      </c>
      <c r="DF52" s="618">
        <v>0</v>
      </c>
      <c r="DG52" s="618">
        <v>0</v>
      </c>
      <c r="DH52" s="618">
        <v>0</v>
      </c>
      <c r="DI52" s="618">
        <v>0</v>
      </c>
      <c r="DJ52" s="618">
        <v>0</v>
      </c>
      <c r="DK52" s="1034">
        <f t="shared" si="56"/>
        <v>72</v>
      </c>
      <c r="DL52" s="543">
        <f t="shared" si="31"/>
        <v>0.16500000000000001</v>
      </c>
      <c r="DM52" s="542">
        <f t="shared" si="32"/>
        <v>62.068965517241381</v>
      </c>
      <c r="DN52" s="594">
        <f t="shared" si="33"/>
        <v>62.068965517241381</v>
      </c>
      <c r="DO52" s="540">
        <f t="shared" si="34"/>
        <v>0.10241379310344829</v>
      </c>
      <c r="DP52" s="597">
        <f>+IF(((DN52*Q52)/100)&lt;Q52, ((DN52*Q52)/100),Q52)</f>
        <v>0.10241379310344829</v>
      </c>
      <c r="DQ52" s="538">
        <f t="shared" si="35"/>
        <v>0.10241379310344829</v>
      </c>
      <c r="DR52" s="617">
        <f t="shared" si="36"/>
        <v>1</v>
      </c>
      <c r="DS52" s="616">
        <f t="shared" si="37"/>
        <v>0</v>
      </c>
      <c r="DT52" s="259">
        <v>619</v>
      </c>
      <c r="DU52" s="260" t="s">
        <v>431</v>
      </c>
      <c r="DV52" s="259"/>
      <c r="DW52" s="260" t="s">
        <v>242</v>
      </c>
      <c r="DX52" s="259"/>
      <c r="DY52" s="259"/>
      <c r="DZ52" s="259"/>
      <c r="EA52" s="987"/>
      <c r="EB52" s="1041" t="s">
        <v>2401</v>
      </c>
      <c r="EC52" s="802">
        <v>0</v>
      </c>
      <c r="EE52" s="1047"/>
    </row>
    <row r="53" spans="4:135" s="534" customFormat="1" ht="89.25" hidden="1" x14ac:dyDescent="0.3">
      <c r="D53" s="783">
        <v>50</v>
      </c>
      <c r="E53" s="799">
        <v>69</v>
      </c>
      <c r="F53" s="787" t="s">
        <v>200</v>
      </c>
      <c r="G53" s="787" t="s">
        <v>7</v>
      </c>
      <c r="H53" s="788" t="s">
        <v>132</v>
      </c>
      <c r="I53" s="712" t="s">
        <v>369</v>
      </c>
      <c r="J53" s="573" t="s">
        <v>434</v>
      </c>
      <c r="K53" s="573" t="s">
        <v>435</v>
      </c>
      <c r="L53" s="702" t="s">
        <v>1593</v>
      </c>
      <c r="M53" s="570" t="s">
        <v>2032</v>
      </c>
      <c r="N53" s="570">
        <v>0</v>
      </c>
      <c r="O53" s="570">
        <f>+P53</f>
        <v>116</v>
      </c>
      <c r="P53" s="569">
        <v>116</v>
      </c>
      <c r="Q53" s="595">
        <v>0.25</v>
      </c>
      <c r="R53" s="580">
        <f t="shared" si="0"/>
        <v>6.25E-2</v>
      </c>
      <c r="S53" s="708">
        <v>116</v>
      </c>
      <c r="T53" s="625">
        <f t="shared" si="43"/>
        <v>0.25</v>
      </c>
      <c r="U53" s="992">
        <v>0</v>
      </c>
      <c r="V53" s="626">
        <f t="shared" si="44"/>
        <v>0</v>
      </c>
      <c r="W53" s="594">
        <f t="shared" si="45"/>
        <v>0</v>
      </c>
      <c r="X53" s="594">
        <f t="shared" si="4"/>
        <v>0</v>
      </c>
      <c r="Y53" s="594">
        <f t="shared" si="40"/>
        <v>0</v>
      </c>
      <c r="Z53" s="594">
        <f t="shared" si="6"/>
        <v>0</v>
      </c>
      <c r="AA53" s="546">
        <v>21000000</v>
      </c>
      <c r="AB53" s="546">
        <v>21000000</v>
      </c>
      <c r="AC53" s="546">
        <v>0</v>
      </c>
      <c r="AD53" s="546">
        <v>0</v>
      </c>
      <c r="AE53" s="546">
        <v>0</v>
      </c>
      <c r="AF53" s="546">
        <v>0</v>
      </c>
      <c r="AG53" s="546">
        <v>0</v>
      </c>
      <c r="AH53" s="546">
        <v>0</v>
      </c>
      <c r="AI53" s="546">
        <v>0</v>
      </c>
      <c r="AJ53" s="546">
        <v>0</v>
      </c>
      <c r="AK53" s="546">
        <v>0</v>
      </c>
      <c r="AL53" s="546">
        <v>0</v>
      </c>
      <c r="AM53" s="546">
        <v>0</v>
      </c>
      <c r="AN53" s="546">
        <v>0</v>
      </c>
      <c r="AO53" s="546">
        <v>0</v>
      </c>
      <c r="AP53" s="546">
        <v>0</v>
      </c>
      <c r="AQ53" s="546">
        <v>0</v>
      </c>
      <c r="AR53" s="546">
        <v>0</v>
      </c>
      <c r="AS53" s="546" t="s">
        <v>2045</v>
      </c>
      <c r="AT53" s="570">
        <f t="shared" si="7"/>
        <v>6.25E-2</v>
      </c>
      <c r="AU53" s="570">
        <v>116</v>
      </c>
      <c r="AV53" s="625">
        <f t="shared" si="46"/>
        <v>0.25</v>
      </c>
      <c r="AW53" s="1003">
        <v>116</v>
      </c>
      <c r="AX53" s="724">
        <f t="shared" si="47"/>
        <v>29</v>
      </c>
      <c r="AY53" s="724">
        <f t="shared" si="48"/>
        <v>100</v>
      </c>
      <c r="AZ53" s="724">
        <f t="shared" si="11"/>
        <v>100</v>
      </c>
      <c r="BA53" s="594">
        <f t="shared" si="12"/>
        <v>6.25E-2</v>
      </c>
      <c r="BB53" s="594">
        <f t="shared" si="13"/>
        <v>100</v>
      </c>
      <c r="BC53" s="546">
        <v>15000000</v>
      </c>
      <c r="BD53" s="546">
        <v>0</v>
      </c>
      <c r="BE53" s="546">
        <v>15000000</v>
      </c>
      <c r="BF53" s="546">
        <v>0</v>
      </c>
      <c r="BG53" s="546">
        <v>0</v>
      </c>
      <c r="BH53" s="546">
        <v>0</v>
      </c>
      <c r="BI53" s="546">
        <v>0</v>
      </c>
      <c r="BJ53" s="546">
        <v>0</v>
      </c>
      <c r="BK53" s="723">
        <v>0</v>
      </c>
      <c r="BL53" s="722">
        <v>0</v>
      </c>
      <c r="BM53" s="722">
        <v>0</v>
      </c>
      <c r="BN53" s="722">
        <v>0</v>
      </c>
      <c r="BO53" s="722">
        <v>0</v>
      </c>
      <c r="BP53" s="722">
        <v>0</v>
      </c>
      <c r="BQ53" s="722">
        <v>0</v>
      </c>
      <c r="BR53" s="722">
        <v>0</v>
      </c>
      <c r="BS53" s="722">
        <v>0</v>
      </c>
      <c r="BT53" s="722">
        <v>0</v>
      </c>
      <c r="BU53" s="722">
        <v>0</v>
      </c>
      <c r="BV53" s="580">
        <f t="shared" si="14"/>
        <v>6.25E-2</v>
      </c>
      <c r="BW53" s="588">
        <v>116</v>
      </c>
      <c r="BX53" s="623">
        <f t="shared" si="49"/>
        <v>0.25</v>
      </c>
      <c r="BY53" s="639">
        <v>0</v>
      </c>
      <c r="BZ53" s="638">
        <v>123</v>
      </c>
      <c r="CA53" s="1018">
        <v>116</v>
      </c>
      <c r="CB53" s="721">
        <f t="shared" si="50"/>
        <v>29</v>
      </c>
      <c r="CC53" s="721">
        <f t="shared" si="51"/>
        <v>100</v>
      </c>
      <c r="CD53" s="720">
        <f t="shared" si="18"/>
        <v>100</v>
      </c>
      <c r="CE53" s="618">
        <f t="shared" si="19"/>
        <v>6.25E-2</v>
      </c>
      <c r="CF53" s="719">
        <f t="shared" si="20"/>
        <v>100</v>
      </c>
      <c r="CG53" s="618">
        <f t="shared" si="21"/>
        <v>6.25E-2</v>
      </c>
      <c r="CH53" s="718">
        <f t="shared" si="22"/>
        <v>6.25E-2</v>
      </c>
      <c r="CI53" s="552">
        <v>116</v>
      </c>
      <c r="CJ53" s="551">
        <f t="shared" si="52"/>
        <v>0.25</v>
      </c>
      <c r="CK53" s="874">
        <v>0</v>
      </c>
      <c r="CL53" s="533">
        <f t="shared" si="53"/>
        <v>116</v>
      </c>
      <c r="CM53" s="619">
        <f t="shared" si="54"/>
        <v>0</v>
      </c>
      <c r="CN53" s="619">
        <f t="shared" si="55"/>
        <v>0</v>
      </c>
      <c r="CO53" s="619">
        <f t="shared" si="27"/>
        <v>0</v>
      </c>
      <c r="CP53" s="619">
        <f t="shared" si="28"/>
        <v>0</v>
      </c>
      <c r="CQ53" s="619">
        <f t="shared" si="29"/>
        <v>0</v>
      </c>
      <c r="CR53" s="546">
        <v>35000000</v>
      </c>
      <c r="CS53" s="546">
        <v>35000000</v>
      </c>
      <c r="CT53" s="546">
        <v>0</v>
      </c>
      <c r="CU53" s="546">
        <v>0</v>
      </c>
      <c r="CV53" s="546">
        <v>0</v>
      </c>
      <c r="CW53" s="546">
        <v>0</v>
      </c>
      <c r="CX53" s="546">
        <v>0</v>
      </c>
      <c r="CY53" s="546">
        <v>0</v>
      </c>
      <c r="CZ53" s="618">
        <v>0</v>
      </c>
      <c r="DA53" s="618">
        <v>0</v>
      </c>
      <c r="DB53" s="618">
        <v>0</v>
      </c>
      <c r="DC53" s="618">
        <v>0</v>
      </c>
      <c r="DD53" s="618">
        <v>0</v>
      </c>
      <c r="DE53" s="618">
        <v>0</v>
      </c>
      <c r="DF53" s="618">
        <v>0</v>
      </c>
      <c r="DG53" s="618">
        <v>0</v>
      </c>
      <c r="DH53" s="618">
        <v>0</v>
      </c>
      <c r="DI53" s="618">
        <v>0</v>
      </c>
      <c r="DJ53" s="618">
        <v>0</v>
      </c>
      <c r="DK53" s="1034">
        <f t="shared" si="56"/>
        <v>58</v>
      </c>
      <c r="DL53" s="543">
        <f t="shared" si="31"/>
        <v>0.25</v>
      </c>
      <c r="DM53" s="542">
        <f t="shared" si="32"/>
        <v>50</v>
      </c>
      <c r="DN53" s="594">
        <f t="shared" si="33"/>
        <v>50</v>
      </c>
      <c r="DO53" s="540">
        <f t="shared" si="34"/>
        <v>0.125</v>
      </c>
      <c r="DP53" s="597">
        <f>+IF(M53="M",DO53,0)</f>
        <v>0.125</v>
      </c>
      <c r="DQ53" s="538">
        <f t="shared" si="35"/>
        <v>0.125</v>
      </c>
      <c r="DR53" s="617">
        <f t="shared" si="36"/>
        <v>1</v>
      </c>
      <c r="DS53" s="616">
        <f t="shared" si="37"/>
        <v>0</v>
      </c>
      <c r="DT53" s="259">
        <v>33</v>
      </c>
      <c r="DU53" s="260" t="s">
        <v>297</v>
      </c>
      <c r="DV53" s="259"/>
      <c r="DW53" s="260" t="s">
        <v>242</v>
      </c>
      <c r="DX53" s="259"/>
      <c r="DY53" s="259"/>
      <c r="DZ53" s="259"/>
      <c r="EA53" s="987"/>
      <c r="EB53" s="1041" t="s">
        <v>2402</v>
      </c>
      <c r="EC53" s="802">
        <v>35000000</v>
      </c>
      <c r="EE53" s="1047"/>
    </row>
    <row r="54" spans="4:135" s="534" customFormat="1" ht="89.25" hidden="1" x14ac:dyDescent="0.3">
      <c r="D54" s="783">
        <v>51</v>
      </c>
      <c r="E54" s="799">
        <v>70</v>
      </c>
      <c r="F54" s="787" t="s">
        <v>200</v>
      </c>
      <c r="G54" s="787" t="s">
        <v>7</v>
      </c>
      <c r="H54" s="788" t="s">
        <v>132</v>
      </c>
      <c r="I54" s="712" t="s">
        <v>369</v>
      </c>
      <c r="J54" s="573" t="s">
        <v>436</v>
      </c>
      <c r="K54" s="573" t="s">
        <v>437</v>
      </c>
      <c r="L54" s="702" t="s">
        <v>2043</v>
      </c>
      <c r="M54" s="570" t="s">
        <v>2017</v>
      </c>
      <c r="N54" s="570">
        <v>0</v>
      </c>
      <c r="O54" s="570">
        <f>+N54+P54</f>
        <v>1</v>
      </c>
      <c r="P54" s="569">
        <v>1</v>
      </c>
      <c r="Q54" s="595">
        <v>0.25</v>
      </c>
      <c r="R54" s="580">
        <f t="shared" si="0"/>
        <v>7.4999999999999997E-2</v>
      </c>
      <c r="S54" s="708">
        <v>0.3</v>
      </c>
      <c r="T54" s="625">
        <f t="shared" si="43"/>
        <v>0.3</v>
      </c>
      <c r="U54" s="994">
        <v>0.3</v>
      </c>
      <c r="V54" s="626">
        <f t="shared" si="44"/>
        <v>0.3</v>
      </c>
      <c r="W54" s="594">
        <f t="shared" si="45"/>
        <v>100</v>
      </c>
      <c r="X54" s="594">
        <f t="shared" si="4"/>
        <v>100</v>
      </c>
      <c r="Y54" s="594">
        <f t="shared" si="40"/>
        <v>7.4999999999999997E-2</v>
      </c>
      <c r="Z54" s="594">
        <f t="shared" si="6"/>
        <v>100</v>
      </c>
      <c r="AA54" s="546">
        <v>7000000</v>
      </c>
      <c r="AB54" s="546">
        <v>7000000</v>
      </c>
      <c r="AC54" s="546">
        <v>0</v>
      </c>
      <c r="AD54" s="546">
        <v>0</v>
      </c>
      <c r="AE54" s="546">
        <v>0</v>
      </c>
      <c r="AF54" s="546">
        <v>0</v>
      </c>
      <c r="AG54" s="546">
        <v>0</v>
      </c>
      <c r="AH54" s="546">
        <v>0</v>
      </c>
      <c r="AI54" s="546">
        <v>25000000</v>
      </c>
      <c r="AJ54" s="546">
        <v>25000000</v>
      </c>
      <c r="AK54" s="546">
        <v>0</v>
      </c>
      <c r="AL54" s="546">
        <v>0</v>
      </c>
      <c r="AM54" s="546">
        <v>0</v>
      </c>
      <c r="AN54" s="546">
        <v>0</v>
      </c>
      <c r="AO54" s="546">
        <v>0</v>
      </c>
      <c r="AP54" s="546">
        <v>0</v>
      </c>
      <c r="AQ54" s="546">
        <v>0</v>
      </c>
      <c r="AR54" s="546">
        <v>0</v>
      </c>
      <c r="AS54" s="546" t="s">
        <v>2045</v>
      </c>
      <c r="AT54" s="570">
        <f t="shared" si="7"/>
        <v>7.4999999999999997E-2</v>
      </c>
      <c r="AU54" s="570">
        <v>0.3</v>
      </c>
      <c r="AV54" s="625">
        <f t="shared" si="46"/>
        <v>0.3</v>
      </c>
      <c r="AW54" s="1010">
        <v>0.3</v>
      </c>
      <c r="AX54" s="724">
        <f t="shared" si="47"/>
        <v>0.3</v>
      </c>
      <c r="AY54" s="724">
        <f t="shared" si="48"/>
        <v>100</v>
      </c>
      <c r="AZ54" s="724">
        <f t="shared" si="11"/>
        <v>100</v>
      </c>
      <c r="BA54" s="594">
        <f t="shared" si="12"/>
        <v>7.4999999999999997E-2</v>
      </c>
      <c r="BB54" s="594">
        <f t="shared" si="13"/>
        <v>100</v>
      </c>
      <c r="BC54" s="546">
        <v>5000000</v>
      </c>
      <c r="BD54" s="546">
        <v>0</v>
      </c>
      <c r="BE54" s="546">
        <v>5000000</v>
      </c>
      <c r="BF54" s="546">
        <v>0</v>
      </c>
      <c r="BG54" s="546">
        <v>0</v>
      </c>
      <c r="BH54" s="546">
        <v>0</v>
      </c>
      <c r="BI54" s="546">
        <v>0</v>
      </c>
      <c r="BJ54" s="546">
        <v>0</v>
      </c>
      <c r="BK54" s="723">
        <v>40000000</v>
      </c>
      <c r="BL54" s="722">
        <v>40000000</v>
      </c>
      <c r="BM54" s="722">
        <v>0</v>
      </c>
      <c r="BN54" s="722">
        <v>0</v>
      </c>
      <c r="BO54" s="722">
        <v>0</v>
      </c>
      <c r="BP54" s="722">
        <v>0</v>
      </c>
      <c r="BQ54" s="722">
        <v>0</v>
      </c>
      <c r="BR54" s="722">
        <v>0</v>
      </c>
      <c r="BS54" s="722">
        <v>0</v>
      </c>
      <c r="BT54" s="722">
        <v>135500000</v>
      </c>
      <c r="BU54" s="722" t="s">
        <v>2270</v>
      </c>
      <c r="BV54" s="580">
        <f t="shared" si="14"/>
        <v>0.05</v>
      </c>
      <c r="BW54" s="588">
        <v>0.2</v>
      </c>
      <c r="BX54" s="623">
        <f t="shared" si="49"/>
        <v>0.2</v>
      </c>
      <c r="BY54" s="639">
        <v>0</v>
      </c>
      <c r="BZ54" s="638">
        <v>0.1</v>
      </c>
      <c r="CA54" s="1018">
        <v>0.20000000298023224</v>
      </c>
      <c r="CB54" s="721">
        <f t="shared" si="50"/>
        <v>0.20000000298023224</v>
      </c>
      <c r="CC54" s="721">
        <f t="shared" si="51"/>
        <v>100.00000149011612</v>
      </c>
      <c r="CD54" s="720">
        <f t="shared" si="18"/>
        <v>100</v>
      </c>
      <c r="CE54" s="618">
        <f t="shared" si="19"/>
        <v>0.05</v>
      </c>
      <c r="CF54" s="719">
        <f t="shared" si="20"/>
        <v>100</v>
      </c>
      <c r="CG54" s="618">
        <f t="shared" si="21"/>
        <v>5.000000074505806E-2</v>
      </c>
      <c r="CH54" s="718">
        <f t="shared" si="22"/>
        <v>0.05</v>
      </c>
      <c r="CI54" s="552">
        <v>0.2</v>
      </c>
      <c r="CJ54" s="551">
        <f t="shared" si="52"/>
        <v>0.2</v>
      </c>
      <c r="CK54" s="874">
        <v>5.000000074505806E-2</v>
      </c>
      <c r="CL54" s="533">
        <f t="shared" si="53"/>
        <v>0.14999999925494195</v>
      </c>
      <c r="CM54" s="619">
        <f t="shared" si="54"/>
        <v>5.000000074505806E-2</v>
      </c>
      <c r="CN54" s="619">
        <f t="shared" si="55"/>
        <v>25.00000037252903</v>
      </c>
      <c r="CO54" s="549">
        <f t="shared" si="27"/>
        <v>25.00000037252903</v>
      </c>
      <c r="CP54" s="619">
        <f t="shared" si="28"/>
        <v>1.2500000186264515E-2</v>
      </c>
      <c r="CQ54" s="619">
        <f t="shared" si="29"/>
        <v>1.2500000186264515E-2</v>
      </c>
      <c r="CR54" s="546">
        <v>12000000</v>
      </c>
      <c r="CS54" s="546">
        <v>12000000</v>
      </c>
      <c r="CT54" s="546">
        <v>0</v>
      </c>
      <c r="CU54" s="546">
        <v>0</v>
      </c>
      <c r="CV54" s="546">
        <v>0</v>
      </c>
      <c r="CW54" s="546">
        <v>0</v>
      </c>
      <c r="CX54" s="546">
        <v>0</v>
      </c>
      <c r="CY54" s="546">
        <v>0</v>
      </c>
      <c r="CZ54" s="618">
        <v>0</v>
      </c>
      <c r="DA54" s="618">
        <v>0</v>
      </c>
      <c r="DB54" s="618">
        <v>0</v>
      </c>
      <c r="DC54" s="618">
        <v>0</v>
      </c>
      <c r="DD54" s="618">
        <v>0</v>
      </c>
      <c r="DE54" s="618">
        <v>0</v>
      </c>
      <c r="DF54" s="618">
        <v>0</v>
      </c>
      <c r="DG54" s="618">
        <v>0</v>
      </c>
      <c r="DH54" s="618">
        <v>0</v>
      </c>
      <c r="DI54" s="618">
        <v>0</v>
      </c>
      <c r="DJ54" s="618">
        <v>0</v>
      </c>
      <c r="DK54" s="1034">
        <f t="shared" si="56"/>
        <v>0.85000000372529028</v>
      </c>
      <c r="DL54" s="543">
        <f t="shared" si="31"/>
        <v>0.25</v>
      </c>
      <c r="DM54" s="542">
        <f t="shared" si="32"/>
        <v>85.00000037252903</v>
      </c>
      <c r="DN54" s="594">
        <f t="shared" si="33"/>
        <v>85.00000037252903</v>
      </c>
      <c r="DO54" s="540">
        <f t="shared" si="34"/>
        <v>0.21250000093132257</v>
      </c>
      <c r="DP54" s="597">
        <f>+IF(((DN54*Q54)/100)&lt;Q54, ((DN54*Q54)/100),Q54)</f>
        <v>0.21250000093132257</v>
      </c>
      <c r="DQ54" s="538">
        <f t="shared" si="35"/>
        <v>0.21250000093132257</v>
      </c>
      <c r="DR54" s="617">
        <f t="shared" si="36"/>
        <v>1</v>
      </c>
      <c r="DS54" s="616">
        <f t="shared" si="37"/>
        <v>0</v>
      </c>
      <c r="DT54" s="259">
        <v>36</v>
      </c>
      <c r="DU54" s="260" t="s">
        <v>294</v>
      </c>
      <c r="DV54" s="259">
        <v>37</v>
      </c>
      <c r="DW54" s="260" t="s">
        <v>293</v>
      </c>
      <c r="DX54" s="259">
        <v>39</v>
      </c>
      <c r="DY54" s="259"/>
      <c r="DZ54" s="259"/>
      <c r="EA54" s="987"/>
      <c r="EB54" s="1041" t="s">
        <v>2403</v>
      </c>
      <c r="EC54" s="802">
        <v>12000000</v>
      </c>
      <c r="EE54" s="1047"/>
    </row>
    <row r="55" spans="4:135" s="534" customFormat="1" ht="63.75" hidden="1" x14ac:dyDescent="0.3">
      <c r="D55" s="783">
        <v>52</v>
      </c>
      <c r="E55" s="799">
        <v>71</v>
      </c>
      <c r="F55" s="787" t="s">
        <v>200</v>
      </c>
      <c r="G55" s="787" t="s">
        <v>9</v>
      </c>
      <c r="H55" s="788" t="s">
        <v>132</v>
      </c>
      <c r="I55" s="712" t="s">
        <v>369</v>
      </c>
      <c r="J55" s="573" t="s">
        <v>438</v>
      </c>
      <c r="K55" s="573" t="s">
        <v>439</v>
      </c>
      <c r="L55" s="701" t="s">
        <v>2201</v>
      </c>
      <c r="M55" s="570" t="s">
        <v>2032</v>
      </c>
      <c r="N55" s="570">
        <v>0</v>
      </c>
      <c r="O55" s="570">
        <f>+P55</f>
        <v>100</v>
      </c>
      <c r="P55" s="569">
        <v>100</v>
      </c>
      <c r="Q55" s="595">
        <v>0.16500000000000001</v>
      </c>
      <c r="R55" s="580">
        <f t="shared" si="0"/>
        <v>4.1250000000000002E-2</v>
      </c>
      <c r="S55" s="708">
        <v>100</v>
      </c>
      <c r="T55" s="625">
        <f t="shared" si="43"/>
        <v>0.25</v>
      </c>
      <c r="U55" s="992">
        <v>100</v>
      </c>
      <c r="V55" s="626">
        <f t="shared" si="44"/>
        <v>25</v>
      </c>
      <c r="W55" s="594">
        <f t="shared" si="45"/>
        <v>100</v>
      </c>
      <c r="X55" s="594">
        <f t="shared" si="4"/>
        <v>100</v>
      </c>
      <c r="Y55" s="594">
        <f t="shared" si="40"/>
        <v>4.1250000000000002E-2</v>
      </c>
      <c r="Z55" s="594">
        <f t="shared" si="6"/>
        <v>100</v>
      </c>
      <c r="AA55" s="546">
        <v>0</v>
      </c>
      <c r="AB55" s="546">
        <v>0</v>
      </c>
      <c r="AC55" s="546">
        <v>0</v>
      </c>
      <c r="AD55" s="546">
        <v>0</v>
      </c>
      <c r="AE55" s="546">
        <v>0</v>
      </c>
      <c r="AF55" s="546">
        <v>0</v>
      </c>
      <c r="AG55" s="546">
        <v>0</v>
      </c>
      <c r="AH55" s="546">
        <v>0</v>
      </c>
      <c r="AI55" s="546">
        <v>0</v>
      </c>
      <c r="AJ55" s="546">
        <v>0</v>
      </c>
      <c r="AK55" s="546">
        <v>0</v>
      </c>
      <c r="AL55" s="546">
        <v>0</v>
      </c>
      <c r="AM55" s="546">
        <v>0</v>
      </c>
      <c r="AN55" s="546">
        <v>0</v>
      </c>
      <c r="AO55" s="546">
        <v>0</v>
      </c>
      <c r="AP55" s="546">
        <v>0</v>
      </c>
      <c r="AQ55" s="546">
        <v>0</v>
      </c>
      <c r="AR55" s="546">
        <v>0</v>
      </c>
      <c r="AS55" s="546" t="s">
        <v>2045</v>
      </c>
      <c r="AT55" s="570">
        <f t="shared" si="7"/>
        <v>4.1250000000000002E-2</v>
      </c>
      <c r="AU55" s="570">
        <v>100</v>
      </c>
      <c r="AV55" s="625">
        <f t="shared" si="46"/>
        <v>0.25</v>
      </c>
      <c r="AW55" s="1003">
        <v>5</v>
      </c>
      <c r="AX55" s="724">
        <f t="shared" si="47"/>
        <v>1.25</v>
      </c>
      <c r="AY55" s="724">
        <f t="shared" si="48"/>
        <v>5</v>
      </c>
      <c r="AZ55" s="724">
        <f t="shared" si="11"/>
        <v>5</v>
      </c>
      <c r="BA55" s="594">
        <f t="shared" si="12"/>
        <v>2.0625000000000001E-3</v>
      </c>
      <c r="BB55" s="594">
        <f t="shared" si="13"/>
        <v>5</v>
      </c>
      <c r="BC55" s="546">
        <v>20000000</v>
      </c>
      <c r="BD55" s="546">
        <v>0</v>
      </c>
      <c r="BE55" s="546">
        <v>20000000</v>
      </c>
      <c r="BF55" s="546">
        <v>0</v>
      </c>
      <c r="BG55" s="546">
        <v>0</v>
      </c>
      <c r="BH55" s="546">
        <v>0</v>
      </c>
      <c r="BI55" s="546">
        <v>0</v>
      </c>
      <c r="BJ55" s="546">
        <v>0</v>
      </c>
      <c r="BK55" s="723">
        <v>20000000</v>
      </c>
      <c r="BL55" s="722">
        <v>20000000</v>
      </c>
      <c r="BM55" s="722">
        <v>0</v>
      </c>
      <c r="BN55" s="722">
        <v>0</v>
      </c>
      <c r="BO55" s="722">
        <v>0</v>
      </c>
      <c r="BP55" s="722">
        <v>0</v>
      </c>
      <c r="BQ55" s="722">
        <v>0</v>
      </c>
      <c r="BR55" s="722">
        <v>0</v>
      </c>
      <c r="BS55" s="722">
        <v>0</v>
      </c>
      <c r="BT55" s="722">
        <v>0</v>
      </c>
      <c r="BU55" s="722">
        <v>0</v>
      </c>
      <c r="BV55" s="580">
        <f t="shared" si="14"/>
        <v>4.1250000000000002E-2</v>
      </c>
      <c r="BW55" s="588">
        <v>100</v>
      </c>
      <c r="BX55" s="623">
        <f t="shared" si="49"/>
        <v>0.25</v>
      </c>
      <c r="BY55" s="639">
        <v>0</v>
      </c>
      <c r="BZ55" s="638">
        <v>100</v>
      </c>
      <c r="CA55" s="1018">
        <v>100</v>
      </c>
      <c r="CB55" s="721">
        <f t="shared" si="50"/>
        <v>25</v>
      </c>
      <c r="CC55" s="721">
        <f t="shared" si="51"/>
        <v>100</v>
      </c>
      <c r="CD55" s="720">
        <f t="shared" si="18"/>
        <v>100</v>
      </c>
      <c r="CE55" s="618">
        <f t="shared" si="19"/>
        <v>4.1250000000000002E-2</v>
      </c>
      <c r="CF55" s="719">
        <f t="shared" si="20"/>
        <v>100</v>
      </c>
      <c r="CG55" s="618">
        <f t="shared" si="21"/>
        <v>4.1250000000000002E-2</v>
      </c>
      <c r="CH55" s="718">
        <f t="shared" si="22"/>
        <v>4.1250000000000002E-2</v>
      </c>
      <c r="CI55" s="552">
        <v>100</v>
      </c>
      <c r="CJ55" s="551">
        <f t="shared" si="52"/>
        <v>0.25</v>
      </c>
      <c r="CK55" s="874">
        <v>100</v>
      </c>
      <c r="CL55" s="533">
        <f t="shared" si="53"/>
        <v>0</v>
      </c>
      <c r="CM55" s="619">
        <f t="shared" si="54"/>
        <v>25</v>
      </c>
      <c r="CN55" s="619">
        <f t="shared" si="55"/>
        <v>100</v>
      </c>
      <c r="CO55" s="619">
        <f t="shared" si="27"/>
        <v>100</v>
      </c>
      <c r="CP55" s="619">
        <f t="shared" si="28"/>
        <v>4.1250000000000002E-2</v>
      </c>
      <c r="CQ55" s="619">
        <f t="shared" si="29"/>
        <v>4.1250000000000002E-2</v>
      </c>
      <c r="CR55" s="546">
        <v>0</v>
      </c>
      <c r="CS55" s="546">
        <v>0</v>
      </c>
      <c r="CT55" s="546">
        <v>0</v>
      </c>
      <c r="CU55" s="546">
        <v>0</v>
      </c>
      <c r="CV55" s="546">
        <v>0</v>
      </c>
      <c r="CW55" s="546">
        <v>0</v>
      </c>
      <c r="CX55" s="546">
        <v>0</v>
      </c>
      <c r="CY55" s="546">
        <v>0</v>
      </c>
      <c r="CZ55" s="618">
        <v>0</v>
      </c>
      <c r="DA55" s="618">
        <v>0</v>
      </c>
      <c r="DB55" s="618">
        <v>0</v>
      </c>
      <c r="DC55" s="618">
        <v>0</v>
      </c>
      <c r="DD55" s="618">
        <v>0</v>
      </c>
      <c r="DE55" s="618">
        <v>0</v>
      </c>
      <c r="DF55" s="618">
        <v>0</v>
      </c>
      <c r="DG55" s="618">
        <v>0</v>
      </c>
      <c r="DH55" s="618">
        <v>0</v>
      </c>
      <c r="DI55" s="618">
        <v>0</v>
      </c>
      <c r="DJ55" s="618">
        <v>0</v>
      </c>
      <c r="DK55" s="1034">
        <f t="shared" si="56"/>
        <v>76.25</v>
      </c>
      <c r="DL55" s="543">
        <f t="shared" si="31"/>
        <v>0.16500000000000001</v>
      </c>
      <c r="DM55" s="542">
        <f t="shared" si="32"/>
        <v>76.25</v>
      </c>
      <c r="DN55" s="594">
        <f t="shared" si="33"/>
        <v>76.25</v>
      </c>
      <c r="DO55" s="540">
        <f t="shared" si="34"/>
        <v>0.12581249999999999</v>
      </c>
      <c r="DP55" s="597">
        <f>+IF(M55="M",DO55,0)</f>
        <v>0.12581249999999999</v>
      </c>
      <c r="DQ55" s="538">
        <f t="shared" si="35"/>
        <v>0.12581249999999999</v>
      </c>
      <c r="DR55" s="617">
        <f t="shared" si="36"/>
        <v>1</v>
      </c>
      <c r="DS55" s="616">
        <f t="shared" si="37"/>
        <v>0</v>
      </c>
      <c r="DT55" s="259">
        <v>1</v>
      </c>
      <c r="DU55" s="260" t="s">
        <v>345</v>
      </c>
      <c r="DV55" s="259"/>
      <c r="DW55" s="260" t="s">
        <v>242</v>
      </c>
      <c r="DX55" s="259"/>
      <c r="DY55" s="259"/>
      <c r="DZ55" s="259"/>
      <c r="EA55" s="987"/>
      <c r="EB55" s="1041" t="s">
        <v>2404</v>
      </c>
      <c r="EC55" s="802">
        <v>0</v>
      </c>
      <c r="EE55" s="1047"/>
    </row>
    <row r="56" spans="4:135" s="534" customFormat="1" ht="63.75" hidden="1" x14ac:dyDescent="0.3">
      <c r="D56" s="783">
        <v>53</v>
      </c>
      <c r="E56" s="799">
        <v>80</v>
      </c>
      <c r="F56" s="787" t="s">
        <v>200</v>
      </c>
      <c r="G56" s="787" t="s">
        <v>10</v>
      </c>
      <c r="H56" s="788" t="s">
        <v>140</v>
      </c>
      <c r="I56" s="712" t="s">
        <v>330</v>
      </c>
      <c r="J56" s="573" t="s">
        <v>440</v>
      </c>
      <c r="K56" s="573" t="s">
        <v>441</v>
      </c>
      <c r="L56" s="701" t="s">
        <v>1707</v>
      </c>
      <c r="M56" s="570" t="s">
        <v>2017</v>
      </c>
      <c r="N56" s="570">
        <v>0</v>
      </c>
      <c r="O56" s="570">
        <f>+N56+P56</f>
        <v>64</v>
      </c>
      <c r="P56" s="569">
        <v>64</v>
      </c>
      <c r="Q56" s="595">
        <v>0.25</v>
      </c>
      <c r="R56" s="580">
        <f t="shared" si="0"/>
        <v>5.078125E-2</v>
      </c>
      <c r="S56" s="708">
        <v>13</v>
      </c>
      <c r="T56" s="625">
        <f t="shared" si="43"/>
        <v>0.203125</v>
      </c>
      <c r="U56" s="992">
        <v>10</v>
      </c>
      <c r="V56" s="626">
        <f t="shared" si="44"/>
        <v>10</v>
      </c>
      <c r="W56" s="594">
        <f t="shared" si="45"/>
        <v>76.92307692307692</v>
      </c>
      <c r="X56" s="594">
        <f t="shared" si="4"/>
        <v>76.92307692307692</v>
      </c>
      <c r="Y56" s="594">
        <f t="shared" si="40"/>
        <v>3.90625E-2</v>
      </c>
      <c r="Z56" s="594">
        <f t="shared" si="6"/>
        <v>76.92307692307692</v>
      </c>
      <c r="AA56" s="546">
        <v>375000000</v>
      </c>
      <c r="AB56" s="546">
        <v>7000000</v>
      </c>
      <c r="AC56" s="546">
        <v>368000000</v>
      </c>
      <c r="AD56" s="546">
        <v>0</v>
      </c>
      <c r="AE56" s="546">
        <v>0</v>
      </c>
      <c r="AF56" s="546">
        <v>0</v>
      </c>
      <c r="AG56" s="546">
        <v>0</v>
      </c>
      <c r="AH56" s="546">
        <v>0</v>
      </c>
      <c r="AI56" s="546">
        <v>129900000</v>
      </c>
      <c r="AJ56" s="546">
        <v>0</v>
      </c>
      <c r="AK56" s="546">
        <v>129900000</v>
      </c>
      <c r="AL56" s="546">
        <v>0</v>
      </c>
      <c r="AM56" s="546">
        <v>0</v>
      </c>
      <c r="AN56" s="546">
        <v>0</v>
      </c>
      <c r="AO56" s="546">
        <v>0</v>
      </c>
      <c r="AP56" s="546">
        <v>0</v>
      </c>
      <c r="AQ56" s="546">
        <v>0</v>
      </c>
      <c r="AR56" s="546">
        <v>0</v>
      </c>
      <c r="AS56" s="546" t="s">
        <v>2045</v>
      </c>
      <c r="AT56" s="570">
        <f t="shared" si="7"/>
        <v>5.078125E-2</v>
      </c>
      <c r="AU56" s="570">
        <v>13</v>
      </c>
      <c r="AV56" s="625">
        <f t="shared" si="46"/>
        <v>0.203125</v>
      </c>
      <c r="AW56" s="1010">
        <v>16</v>
      </c>
      <c r="AX56" s="724">
        <f t="shared" si="47"/>
        <v>16</v>
      </c>
      <c r="AY56" s="724">
        <f t="shared" si="48"/>
        <v>123.07692307692308</v>
      </c>
      <c r="AZ56" s="724">
        <f t="shared" si="11"/>
        <v>100</v>
      </c>
      <c r="BA56" s="594">
        <f t="shared" si="12"/>
        <v>5.078125E-2</v>
      </c>
      <c r="BB56" s="594">
        <f t="shared" si="13"/>
        <v>100</v>
      </c>
      <c r="BC56" s="546">
        <v>371000000</v>
      </c>
      <c r="BD56" s="546">
        <v>100000000</v>
      </c>
      <c r="BE56" s="546">
        <v>271000000</v>
      </c>
      <c r="BF56" s="546">
        <v>0</v>
      </c>
      <c r="BG56" s="546">
        <v>0</v>
      </c>
      <c r="BH56" s="546">
        <v>0</v>
      </c>
      <c r="BI56" s="546">
        <v>0</v>
      </c>
      <c r="BJ56" s="546">
        <v>0</v>
      </c>
      <c r="BK56" s="723">
        <v>356907815</v>
      </c>
      <c r="BL56" s="722">
        <v>356907815</v>
      </c>
      <c r="BM56" s="722">
        <v>0</v>
      </c>
      <c r="BN56" s="722">
        <v>0</v>
      </c>
      <c r="BO56" s="722">
        <v>0</v>
      </c>
      <c r="BP56" s="722">
        <v>0</v>
      </c>
      <c r="BQ56" s="722">
        <v>0</v>
      </c>
      <c r="BR56" s="722">
        <v>0</v>
      </c>
      <c r="BS56" s="722">
        <v>0</v>
      </c>
      <c r="BT56" s="722">
        <v>0</v>
      </c>
      <c r="BU56" s="722">
        <v>0</v>
      </c>
      <c r="BV56" s="580">
        <f t="shared" si="14"/>
        <v>7.421875E-2</v>
      </c>
      <c r="BW56" s="588">
        <v>19</v>
      </c>
      <c r="BX56" s="623">
        <f t="shared" si="49"/>
        <v>0.296875</v>
      </c>
      <c r="BY56" s="607">
        <v>10</v>
      </c>
      <c r="BZ56" s="629">
        <v>57</v>
      </c>
      <c r="CA56" s="1017">
        <v>19</v>
      </c>
      <c r="CB56" s="721">
        <f t="shared" si="50"/>
        <v>19</v>
      </c>
      <c r="CC56" s="721">
        <f t="shared" si="51"/>
        <v>100</v>
      </c>
      <c r="CD56" s="720">
        <f t="shared" si="18"/>
        <v>100</v>
      </c>
      <c r="CE56" s="618">
        <f t="shared" si="19"/>
        <v>7.421875E-2</v>
      </c>
      <c r="CF56" s="719">
        <f t="shared" si="20"/>
        <v>100</v>
      </c>
      <c r="CG56" s="618">
        <f t="shared" si="21"/>
        <v>7.421875E-2</v>
      </c>
      <c r="CH56" s="718">
        <f t="shared" si="22"/>
        <v>7.421875E-2</v>
      </c>
      <c r="CI56" s="552">
        <v>19</v>
      </c>
      <c r="CJ56" s="551">
        <f t="shared" si="52"/>
        <v>0.296875</v>
      </c>
      <c r="CK56" s="871">
        <v>7</v>
      </c>
      <c r="CL56" s="533">
        <f t="shared" si="53"/>
        <v>12</v>
      </c>
      <c r="CM56" s="619">
        <f t="shared" si="54"/>
        <v>7</v>
      </c>
      <c r="CN56" s="619">
        <f t="shared" si="55"/>
        <v>36.842105263157897</v>
      </c>
      <c r="CO56" s="549">
        <f t="shared" si="27"/>
        <v>36.842105263157897</v>
      </c>
      <c r="CP56" s="619">
        <f t="shared" si="28"/>
        <v>2.734375E-2</v>
      </c>
      <c r="CQ56" s="619">
        <f t="shared" si="29"/>
        <v>2.734375E-2</v>
      </c>
      <c r="CR56" s="546">
        <v>724000000</v>
      </c>
      <c r="CS56" s="546">
        <v>624000000</v>
      </c>
      <c r="CT56" s="546">
        <v>100000000</v>
      </c>
      <c r="CU56" s="546">
        <v>0</v>
      </c>
      <c r="CV56" s="546">
        <v>0</v>
      </c>
      <c r="CW56" s="546">
        <v>0</v>
      </c>
      <c r="CX56" s="546">
        <v>0</v>
      </c>
      <c r="CY56" s="546">
        <v>0</v>
      </c>
      <c r="CZ56" s="618">
        <v>0</v>
      </c>
      <c r="DA56" s="618">
        <v>0</v>
      </c>
      <c r="DB56" s="618">
        <v>0</v>
      </c>
      <c r="DC56" s="618">
        <v>0</v>
      </c>
      <c r="DD56" s="618">
        <v>0</v>
      </c>
      <c r="DE56" s="618">
        <v>0</v>
      </c>
      <c r="DF56" s="618">
        <v>0</v>
      </c>
      <c r="DG56" s="618">
        <v>0</v>
      </c>
      <c r="DH56" s="618">
        <v>0</v>
      </c>
      <c r="DI56" s="618">
        <v>0</v>
      </c>
      <c r="DJ56" s="618">
        <v>0</v>
      </c>
      <c r="DK56" s="1034">
        <f t="shared" si="56"/>
        <v>52</v>
      </c>
      <c r="DL56" s="543">
        <f t="shared" si="31"/>
        <v>0.25</v>
      </c>
      <c r="DM56" s="542">
        <f t="shared" si="32"/>
        <v>81.25</v>
      </c>
      <c r="DN56" s="594">
        <f t="shared" si="33"/>
        <v>81.25</v>
      </c>
      <c r="DO56" s="540">
        <f t="shared" si="34"/>
        <v>0.203125</v>
      </c>
      <c r="DP56" s="597">
        <f>+IF(((DN56*Q56)/100)&lt;Q56, ((DN56*Q56)/100),Q56)</f>
        <v>0.203125</v>
      </c>
      <c r="DQ56" s="538">
        <f t="shared" si="35"/>
        <v>0.203125</v>
      </c>
      <c r="DR56" s="617">
        <f t="shared" si="36"/>
        <v>1</v>
      </c>
      <c r="DS56" s="616">
        <f t="shared" si="37"/>
        <v>0</v>
      </c>
      <c r="DT56" s="259">
        <v>74</v>
      </c>
      <c r="DU56" s="260" t="s">
        <v>442</v>
      </c>
      <c r="DV56" s="259"/>
      <c r="DW56" s="260" t="s">
        <v>242</v>
      </c>
      <c r="DX56" s="259"/>
      <c r="DY56" s="259"/>
      <c r="DZ56" s="259"/>
      <c r="EA56" s="987"/>
      <c r="EB56" s="1041" t="s">
        <v>2405</v>
      </c>
      <c r="EC56" s="802">
        <v>724000000</v>
      </c>
      <c r="EE56" s="1047"/>
    </row>
    <row r="57" spans="4:135" s="534" customFormat="1" ht="63.75" hidden="1" x14ac:dyDescent="0.3">
      <c r="D57" s="783">
        <v>54</v>
      </c>
      <c r="E57" s="799">
        <v>81</v>
      </c>
      <c r="F57" s="787" t="s">
        <v>200</v>
      </c>
      <c r="G57" s="787" t="s">
        <v>10</v>
      </c>
      <c r="H57" s="788" t="s">
        <v>140</v>
      </c>
      <c r="I57" s="712" t="s">
        <v>330</v>
      </c>
      <c r="J57" s="573" t="s">
        <v>443</v>
      </c>
      <c r="K57" s="573" t="s">
        <v>444</v>
      </c>
      <c r="L57" s="702" t="s">
        <v>2040</v>
      </c>
      <c r="M57" s="570" t="s">
        <v>2017</v>
      </c>
      <c r="N57" s="570">
        <v>0</v>
      </c>
      <c r="O57" s="570">
        <f>+N57+P57</f>
        <v>13</v>
      </c>
      <c r="P57" s="569">
        <v>13</v>
      </c>
      <c r="Q57" s="595">
        <v>0.25</v>
      </c>
      <c r="R57" s="580">
        <f t="shared" si="0"/>
        <v>1.9230769230769232E-2</v>
      </c>
      <c r="S57" s="708">
        <v>1</v>
      </c>
      <c r="T57" s="625">
        <f t="shared" si="43"/>
        <v>7.6923076923076927E-2</v>
      </c>
      <c r="U57" s="992">
        <v>3</v>
      </c>
      <c r="V57" s="626">
        <f t="shared" si="44"/>
        <v>3</v>
      </c>
      <c r="W57" s="594">
        <f t="shared" si="45"/>
        <v>300</v>
      </c>
      <c r="X57" s="594">
        <f t="shared" si="4"/>
        <v>100</v>
      </c>
      <c r="Y57" s="594">
        <f t="shared" si="40"/>
        <v>1.9230769230769232E-2</v>
      </c>
      <c r="Z57" s="594">
        <f t="shared" si="6"/>
        <v>100</v>
      </c>
      <c r="AA57" s="546">
        <v>252000000</v>
      </c>
      <c r="AB57" s="546">
        <v>7000000</v>
      </c>
      <c r="AC57" s="546">
        <v>245000000</v>
      </c>
      <c r="AD57" s="546">
        <v>0</v>
      </c>
      <c r="AE57" s="546">
        <v>0</v>
      </c>
      <c r="AF57" s="546">
        <v>0</v>
      </c>
      <c r="AG57" s="546">
        <v>0</v>
      </c>
      <c r="AH57" s="546">
        <v>0</v>
      </c>
      <c r="AI57" s="546">
        <v>303100000</v>
      </c>
      <c r="AJ57" s="546">
        <v>0</v>
      </c>
      <c r="AK57" s="546">
        <v>303100000</v>
      </c>
      <c r="AL57" s="546">
        <v>0</v>
      </c>
      <c r="AM57" s="546">
        <v>0</v>
      </c>
      <c r="AN57" s="546">
        <v>0</v>
      </c>
      <c r="AO57" s="546">
        <v>0</v>
      </c>
      <c r="AP57" s="546">
        <v>0</v>
      </c>
      <c r="AQ57" s="546">
        <v>0</v>
      </c>
      <c r="AR57" s="546">
        <v>0</v>
      </c>
      <c r="AS57" s="546" t="s">
        <v>2045</v>
      </c>
      <c r="AT57" s="570">
        <f t="shared" si="7"/>
        <v>3.8461538461538464E-2</v>
      </c>
      <c r="AU57" s="570">
        <v>2</v>
      </c>
      <c r="AV57" s="625">
        <f t="shared" si="46"/>
        <v>0.15384615384615385</v>
      </c>
      <c r="AW57" s="1003">
        <v>21</v>
      </c>
      <c r="AX57" s="724">
        <f t="shared" si="47"/>
        <v>21</v>
      </c>
      <c r="AY57" s="724">
        <f t="shared" si="48"/>
        <v>1050</v>
      </c>
      <c r="AZ57" s="724">
        <f t="shared" si="11"/>
        <v>100</v>
      </c>
      <c r="BA57" s="594">
        <f t="shared" si="12"/>
        <v>3.8461538461538464E-2</v>
      </c>
      <c r="BB57" s="594">
        <f t="shared" si="13"/>
        <v>100</v>
      </c>
      <c r="BC57" s="546">
        <v>580000000</v>
      </c>
      <c r="BD57" s="546">
        <v>160000000</v>
      </c>
      <c r="BE57" s="546">
        <v>420000000</v>
      </c>
      <c r="BF57" s="546">
        <v>0</v>
      </c>
      <c r="BG57" s="546">
        <v>0</v>
      </c>
      <c r="BH57" s="546">
        <v>0</v>
      </c>
      <c r="BI57" s="546">
        <v>0</v>
      </c>
      <c r="BJ57" s="546">
        <v>0</v>
      </c>
      <c r="BK57" s="723">
        <v>401795210</v>
      </c>
      <c r="BL57" s="722">
        <v>401795210</v>
      </c>
      <c r="BM57" s="722">
        <v>0</v>
      </c>
      <c r="BN57" s="722">
        <v>0</v>
      </c>
      <c r="BO57" s="722">
        <v>0</v>
      </c>
      <c r="BP57" s="722">
        <v>0</v>
      </c>
      <c r="BQ57" s="722">
        <v>0</v>
      </c>
      <c r="BR57" s="722">
        <v>0</v>
      </c>
      <c r="BS57" s="722">
        <v>0</v>
      </c>
      <c r="BT57" s="722">
        <v>0</v>
      </c>
      <c r="BU57" s="722">
        <v>0</v>
      </c>
      <c r="BV57" s="580">
        <f t="shared" si="14"/>
        <v>9.6153846153846159E-2</v>
      </c>
      <c r="BW57" s="588">
        <v>5</v>
      </c>
      <c r="BX57" s="623">
        <f t="shared" si="49"/>
        <v>0.38461538461538464</v>
      </c>
      <c r="BY57" s="607">
        <v>5</v>
      </c>
      <c r="BZ57" s="629">
        <v>5</v>
      </c>
      <c r="CA57" s="1017">
        <v>5</v>
      </c>
      <c r="CB57" s="721">
        <f t="shared" si="50"/>
        <v>5</v>
      </c>
      <c r="CC57" s="721">
        <f t="shared" si="51"/>
        <v>100</v>
      </c>
      <c r="CD57" s="720">
        <f t="shared" si="18"/>
        <v>100</v>
      </c>
      <c r="CE57" s="618">
        <f t="shared" si="19"/>
        <v>9.6153846153846173E-2</v>
      </c>
      <c r="CF57" s="719">
        <f t="shared" si="20"/>
        <v>100</v>
      </c>
      <c r="CG57" s="618">
        <f t="shared" si="21"/>
        <v>9.6153846153846173E-2</v>
      </c>
      <c r="CH57" s="718">
        <f t="shared" si="22"/>
        <v>9.6153846153846159E-2</v>
      </c>
      <c r="CI57" s="552">
        <v>5</v>
      </c>
      <c r="CJ57" s="551">
        <f t="shared" si="52"/>
        <v>0.38461538461538464</v>
      </c>
      <c r="CK57" s="874">
        <v>0</v>
      </c>
      <c r="CL57" s="533">
        <f t="shared" si="53"/>
        <v>5</v>
      </c>
      <c r="CM57" s="619">
        <f t="shared" si="54"/>
        <v>0</v>
      </c>
      <c r="CN57" s="619">
        <f t="shared" si="55"/>
        <v>0</v>
      </c>
      <c r="CO57" s="549">
        <f t="shared" si="27"/>
        <v>0</v>
      </c>
      <c r="CP57" s="619">
        <f t="shared" si="28"/>
        <v>0</v>
      </c>
      <c r="CQ57" s="619">
        <f t="shared" si="29"/>
        <v>0</v>
      </c>
      <c r="CR57" s="546">
        <v>1128000000</v>
      </c>
      <c r="CS57" s="546">
        <v>968000000</v>
      </c>
      <c r="CT57" s="546">
        <v>160000000</v>
      </c>
      <c r="CU57" s="546">
        <v>0</v>
      </c>
      <c r="CV57" s="546">
        <v>0</v>
      </c>
      <c r="CW57" s="546">
        <v>0</v>
      </c>
      <c r="CX57" s="546">
        <v>0</v>
      </c>
      <c r="CY57" s="546">
        <v>0</v>
      </c>
      <c r="CZ57" s="618">
        <v>0</v>
      </c>
      <c r="DA57" s="618">
        <v>0</v>
      </c>
      <c r="DB57" s="618">
        <v>0</v>
      </c>
      <c r="DC57" s="618">
        <v>0</v>
      </c>
      <c r="DD57" s="618">
        <v>0</v>
      </c>
      <c r="DE57" s="618">
        <v>0</v>
      </c>
      <c r="DF57" s="618">
        <v>0</v>
      </c>
      <c r="DG57" s="618">
        <v>0</v>
      </c>
      <c r="DH57" s="618">
        <v>0</v>
      </c>
      <c r="DI57" s="618">
        <v>0</v>
      </c>
      <c r="DJ57" s="618">
        <v>0</v>
      </c>
      <c r="DK57" s="1034">
        <f t="shared" si="56"/>
        <v>29</v>
      </c>
      <c r="DL57" s="543">
        <f t="shared" si="31"/>
        <v>0.25</v>
      </c>
      <c r="DM57" s="542">
        <f t="shared" si="32"/>
        <v>223.07692307692307</v>
      </c>
      <c r="DN57" s="594">
        <f t="shared" si="33"/>
        <v>100</v>
      </c>
      <c r="DO57" s="540">
        <f t="shared" si="34"/>
        <v>0.25</v>
      </c>
      <c r="DP57" s="597">
        <f>+IF(((DN57*Q57)/100)&lt;Q57, ((DN57*Q57)/100),Q57)</f>
        <v>0.25</v>
      </c>
      <c r="DQ57" s="538">
        <f t="shared" si="35"/>
        <v>0.25</v>
      </c>
      <c r="DR57" s="617">
        <f t="shared" si="36"/>
        <v>1</v>
      </c>
      <c r="DS57" s="616">
        <f t="shared" si="37"/>
        <v>0</v>
      </c>
      <c r="DT57" s="259">
        <v>74</v>
      </c>
      <c r="DU57" s="260" t="s">
        <v>442</v>
      </c>
      <c r="DV57" s="259"/>
      <c r="DW57" s="260" t="s">
        <v>242</v>
      </c>
      <c r="DX57" s="259"/>
      <c r="DY57" s="259"/>
      <c r="DZ57" s="259"/>
      <c r="EA57" s="987"/>
      <c r="EB57" s="1041" t="s">
        <v>2406</v>
      </c>
      <c r="EC57" s="802">
        <v>1128000000</v>
      </c>
      <c r="EE57" s="1047"/>
    </row>
    <row r="58" spans="4:135" s="534" customFormat="1" ht="120" hidden="1" x14ac:dyDescent="0.3">
      <c r="D58" s="783">
        <v>55</v>
      </c>
      <c r="E58" s="799">
        <v>82</v>
      </c>
      <c r="F58" s="787" t="s">
        <v>200</v>
      </c>
      <c r="G58" s="787" t="s">
        <v>7</v>
      </c>
      <c r="H58" s="788" t="s">
        <v>140</v>
      </c>
      <c r="I58" s="712" t="s">
        <v>330</v>
      </c>
      <c r="J58" s="573" t="s">
        <v>445</v>
      </c>
      <c r="K58" s="573" t="s">
        <v>446</v>
      </c>
      <c r="L58" s="702" t="s">
        <v>2072</v>
      </c>
      <c r="M58" s="570" t="s">
        <v>2032</v>
      </c>
      <c r="N58" s="570">
        <v>0</v>
      </c>
      <c r="O58" s="570">
        <f>+P58</f>
        <v>1</v>
      </c>
      <c r="P58" s="569">
        <v>1</v>
      </c>
      <c r="Q58" s="595">
        <v>0.25</v>
      </c>
      <c r="R58" s="580">
        <f t="shared" si="0"/>
        <v>6.25E-2</v>
      </c>
      <c r="S58" s="708">
        <v>1</v>
      </c>
      <c r="T58" s="625">
        <f t="shared" si="43"/>
        <v>0.25</v>
      </c>
      <c r="U58" s="992">
        <v>1</v>
      </c>
      <c r="V58" s="626">
        <f t="shared" si="44"/>
        <v>0.25</v>
      </c>
      <c r="W58" s="594">
        <f t="shared" si="45"/>
        <v>100</v>
      </c>
      <c r="X58" s="594">
        <f t="shared" si="4"/>
        <v>100</v>
      </c>
      <c r="Y58" s="594">
        <f t="shared" si="40"/>
        <v>6.25E-2</v>
      </c>
      <c r="Z58" s="594">
        <f t="shared" si="6"/>
        <v>100</v>
      </c>
      <c r="AA58" s="546">
        <v>200000000</v>
      </c>
      <c r="AB58" s="546">
        <v>100000000</v>
      </c>
      <c r="AC58" s="546">
        <v>0</v>
      </c>
      <c r="AD58" s="546">
        <v>0</v>
      </c>
      <c r="AE58" s="546">
        <v>0</v>
      </c>
      <c r="AF58" s="546">
        <v>0</v>
      </c>
      <c r="AG58" s="546">
        <v>0</v>
      </c>
      <c r="AH58" s="546">
        <v>100000000</v>
      </c>
      <c r="AI58" s="546">
        <v>50000000</v>
      </c>
      <c r="AJ58" s="546">
        <v>50000000</v>
      </c>
      <c r="AK58" s="546">
        <v>0</v>
      </c>
      <c r="AL58" s="546">
        <v>0</v>
      </c>
      <c r="AM58" s="546">
        <v>0</v>
      </c>
      <c r="AN58" s="546">
        <v>0</v>
      </c>
      <c r="AO58" s="546">
        <v>0</v>
      </c>
      <c r="AP58" s="546">
        <v>0</v>
      </c>
      <c r="AQ58" s="546">
        <v>0</v>
      </c>
      <c r="AR58" s="546">
        <v>150000000</v>
      </c>
      <c r="AS58" s="546" t="s">
        <v>2263</v>
      </c>
      <c r="AT58" s="570">
        <f t="shared" si="7"/>
        <v>6.25E-2</v>
      </c>
      <c r="AU58" s="570">
        <v>1</v>
      </c>
      <c r="AV58" s="625">
        <f t="shared" si="46"/>
        <v>0.25</v>
      </c>
      <c r="AW58" s="1010">
        <v>1</v>
      </c>
      <c r="AX58" s="724">
        <f t="shared" si="47"/>
        <v>0.25</v>
      </c>
      <c r="AY58" s="724">
        <f t="shared" si="48"/>
        <v>100</v>
      </c>
      <c r="AZ58" s="724">
        <f t="shared" si="11"/>
        <v>100</v>
      </c>
      <c r="BA58" s="594">
        <f t="shared" si="12"/>
        <v>6.25E-2</v>
      </c>
      <c r="BB58" s="594">
        <f t="shared" si="13"/>
        <v>100</v>
      </c>
      <c r="BC58" s="546">
        <v>8000000</v>
      </c>
      <c r="BD58" s="546">
        <v>0</v>
      </c>
      <c r="BE58" s="546">
        <v>8000000</v>
      </c>
      <c r="BF58" s="546">
        <v>0</v>
      </c>
      <c r="BG58" s="546">
        <v>0</v>
      </c>
      <c r="BH58" s="546">
        <v>0</v>
      </c>
      <c r="BI58" s="546">
        <v>0</v>
      </c>
      <c r="BJ58" s="546">
        <v>0</v>
      </c>
      <c r="BK58" s="723">
        <v>50000000</v>
      </c>
      <c r="BL58" s="722">
        <v>50000000</v>
      </c>
      <c r="BM58" s="722">
        <v>0</v>
      </c>
      <c r="BN58" s="722">
        <v>0</v>
      </c>
      <c r="BO58" s="722">
        <v>0</v>
      </c>
      <c r="BP58" s="722">
        <v>0</v>
      </c>
      <c r="BQ58" s="722">
        <v>0</v>
      </c>
      <c r="BR58" s="722">
        <v>0</v>
      </c>
      <c r="BS58" s="722">
        <v>0</v>
      </c>
      <c r="BT58" s="722">
        <v>0</v>
      </c>
      <c r="BU58" s="722">
        <v>0</v>
      </c>
      <c r="BV58" s="580">
        <f t="shared" si="14"/>
        <v>6.25E-2</v>
      </c>
      <c r="BW58" s="588">
        <v>1</v>
      </c>
      <c r="BX58" s="623">
        <f t="shared" si="49"/>
        <v>0.25</v>
      </c>
      <c r="BY58" s="639">
        <v>1</v>
      </c>
      <c r="BZ58" s="638">
        <v>1</v>
      </c>
      <c r="CA58" s="1018">
        <v>1</v>
      </c>
      <c r="CB58" s="721">
        <f t="shared" si="50"/>
        <v>0.25</v>
      </c>
      <c r="CC58" s="721">
        <f t="shared" si="51"/>
        <v>100</v>
      </c>
      <c r="CD58" s="720">
        <f t="shared" si="18"/>
        <v>100</v>
      </c>
      <c r="CE58" s="618">
        <f t="shared" si="19"/>
        <v>6.25E-2</v>
      </c>
      <c r="CF58" s="719">
        <f t="shared" si="20"/>
        <v>100</v>
      </c>
      <c r="CG58" s="618">
        <f t="shared" si="21"/>
        <v>6.25E-2</v>
      </c>
      <c r="CH58" s="718">
        <f t="shared" si="22"/>
        <v>6.25E-2</v>
      </c>
      <c r="CI58" s="552">
        <v>1</v>
      </c>
      <c r="CJ58" s="551">
        <f t="shared" si="52"/>
        <v>0.25</v>
      </c>
      <c r="CK58" s="874">
        <v>0.20000000298023224</v>
      </c>
      <c r="CL58" s="533">
        <f t="shared" si="53"/>
        <v>0.79999999701976776</v>
      </c>
      <c r="CM58" s="619">
        <f t="shared" si="54"/>
        <v>5.000000074505806E-2</v>
      </c>
      <c r="CN58" s="619">
        <f t="shared" si="55"/>
        <v>20.000000298023224</v>
      </c>
      <c r="CO58" s="619">
        <f t="shared" si="27"/>
        <v>20.000000298023224</v>
      </c>
      <c r="CP58" s="619">
        <f t="shared" si="28"/>
        <v>1.2500000186264515E-2</v>
      </c>
      <c r="CQ58" s="619">
        <f t="shared" si="29"/>
        <v>1.2500000186264515E-2</v>
      </c>
      <c r="CR58" s="546">
        <v>18000000</v>
      </c>
      <c r="CS58" s="546">
        <v>18000000</v>
      </c>
      <c r="CT58" s="546">
        <v>0</v>
      </c>
      <c r="CU58" s="546">
        <v>0</v>
      </c>
      <c r="CV58" s="546">
        <v>0</v>
      </c>
      <c r="CW58" s="546">
        <v>0</v>
      </c>
      <c r="CX58" s="546">
        <v>0</v>
      </c>
      <c r="CY58" s="546">
        <v>0</v>
      </c>
      <c r="CZ58" s="618">
        <v>0</v>
      </c>
      <c r="DA58" s="618">
        <v>0</v>
      </c>
      <c r="DB58" s="618">
        <v>0</v>
      </c>
      <c r="DC58" s="618">
        <v>0</v>
      </c>
      <c r="DD58" s="618">
        <v>0</v>
      </c>
      <c r="DE58" s="618">
        <v>0</v>
      </c>
      <c r="DF58" s="618">
        <v>0</v>
      </c>
      <c r="DG58" s="618">
        <v>0</v>
      </c>
      <c r="DH58" s="618">
        <v>0</v>
      </c>
      <c r="DI58" s="618">
        <v>0</v>
      </c>
      <c r="DJ58" s="618">
        <v>0</v>
      </c>
      <c r="DK58" s="1034">
        <f t="shared" si="56"/>
        <v>0.80000000074505806</v>
      </c>
      <c r="DL58" s="543">
        <f t="shared" si="31"/>
        <v>0.25</v>
      </c>
      <c r="DM58" s="542">
        <f t="shared" si="32"/>
        <v>80.000000074505806</v>
      </c>
      <c r="DN58" s="594">
        <f t="shared" si="33"/>
        <v>80.000000074505806</v>
      </c>
      <c r="DO58" s="540">
        <f t="shared" si="34"/>
        <v>0.20000000018626451</v>
      </c>
      <c r="DP58" s="597">
        <f>+IF(M58="M",DO58,0)</f>
        <v>0.20000000018626451</v>
      </c>
      <c r="DQ58" s="538">
        <f t="shared" si="35"/>
        <v>0.20000000018626451</v>
      </c>
      <c r="DR58" s="617">
        <f t="shared" si="36"/>
        <v>1</v>
      </c>
      <c r="DS58" s="616">
        <f t="shared" si="37"/>
        <v>0</v>
      </c>
      <c r="DT58" s="259">
        <v>72</v>
      </c>
      <c r="DU58" s="260" t="s">
        <v>291</v>
      </c>
      <c r="DV58" s="259">
        <v>74</v>
      </c>
      <c r="DW58" s="260" t="s">
        <v>442</v>
      </c>
      <c r="DX58" s="259">
        <v>79</v>
      </c>
      <c r="DY58" s="259"/>
      <c r="DZ58" s="259"/>
      <c r="EA58" s="987"/>
      <c r="EB58" s="1041" t="s">
        <v>2407</v>
      </c>
      <c r="EC58" s="802">
        <v>18000000</v>
      </c>
      <c r="EE58" s="1047"/>
    </row>
    <row r="59" spans="4:135" s="534" customFormat="1" ht="63.75" hidden="1" x14ac:dyDescent="0.3">
      <c r="D59" s="783">
        <v>56</v>
      </c>
      <c r="E59" s="799">
        <v>83</v>
      </c>
      <c r="F59" s="787" t="s">
        <v>200</v>
      </c>
      <c r="G59" s="787" t="s">
        <v>9</v>
      </c>
      <c r="H59" s="788" t="s">
        <v>140</v>
      </c>
      <c r="I59" s="712" t="s">
        <v>330</v>
      </c>
      <c r="J59" s="573" t="s">
        <v>447</v>
      </c>
      <c r="K59" s="573" t="s">
        <v>448</v>
      </c>
      <c r="L59" s="702" t="s">
        <v>1593</v>
      </c>
      <c r="M59" s="570" t="s">
        <v>2032</v>
      </c>
      <c r="N59" s="570">
        <v>0</v>
      </c>
      <c r="O59" s="570">
        <f>+P59</f>
        <v>116</v>
      </c>
      <c r="P59" s="569">
        <v>116</v>
      </c>
      <c r="Q59" s="595">
        <v>0.16500000000000001</v>
      </c>
      <c r="R59" s="580">
        <f t="shared" si="0"/>
        <v>4.1250000000000002E-2</v>
      </c>
      <c r="S59" s="708">
        <v>116</v>
      </c>
      <c r="T59" s="625">
        <f t="shared" si="43"/>
        <v>0.25</v>
      </c>
      <c r="U59" s="992">
        <v>0</v>
      </c>
      <c r="V59" s="626">
        <f t="shared" si="44"/>
        <v>0</v>
      </c>
      <c r="W59" s="594">
        <f t="shared" si="45"/>
        <v>0</v>
      </c>
      <c r="X59" s="594">
        <f t="shared" si="4"/>
        <v>0</v>
      </c>
      <c r="Y59" s="594">
        <f t="shared" si="40"/>
        <v>0</v>
      </c>
      <c r="Z59" s="594">
        <f t="shared" si="6"/>
        <v>0</v>
      </c>
      <c r="AA59" s="546">
        <v>0</v>
      </c>
      <c r="AB59" s="546">
        <v>0</v>
      </c>
      <c r="AC59" s="546">
        <v>0</v>
      </c>
      <c r="AD59" s="546">
        <v>0</v>
      </c>
      <c r="AE59" s="546">
        <v>0</v>
      </c>
      <c r="AF59" s="546">
        <v>0</v>
      </c>
      <c r="AG59" s="546">
        <v>0</v>
      </c>
      <c r="AH59" s="546">
        <v>0</v>
      </c>
      <c r="AI59" s="546">
        <v>0</v>
      </c>
      <c r="AJ59" s="546">
        <v>0</v>
      </c>
      <c r="AK59" s="546">
        <v>0</v>
      </c>
      <c r="AL59" s="546">
        <v>0</v>
      </c>
      <c r="AM59" s="546">
        <v>0</v>
      </c>
      <c r="AN59" s="546">
        <v>0</v>
      </c>
      <c r="AO59" s="546">
        <v>0</v>
      </c>
      <c r="AP59" s="546">
        <v>0</v>
      </c>
      <c r="AQ59" s="546">
        <v>0</v>
      </c>
      <c r="AR59" s="546">
        <v>0</v>
      </c>
      <c r="AS59" s="546" t="s">
        <v>2045</v>
      </c>
      <c r="AT59" s="570">
        <f t="shared" si="7"/>
        <v>4.1250000000000002E-2</v>
      </c>
      <c r="AU59" s="570">
        <v>116</v>
      </c>
      <c r="AV59" s="625">
        <f t="shared" si="46"/>
        <v>0.25</v>
      </c>
      <c r="AW59" s="1003">
        <v>116</v>
      </c>
      <c r="AX59" s="724">
        <f t="shared" si="47"/>
        <v>29</v>
      </c>
      <c r="AY59" s="724">
        <f t="shared" si="48"/>
        <v>100</v>
      </c>
      <c r="AZ59" s="724">
        <f t="shared" si="11"/>
        <v>100</v>
      </c>
      <c r="BA59" s="594">
        <f t="shared" si="12"/>
        <v>4.1250000000000002E-2</v>
      </c>
      <c r="BB59" s="594">
        <f t="shared" si="13"/>
        <v>100</v>
      </c>
      <c r="BC59" s="546">
        <v>116000000</v>
      </c>
      <c r="BD59" s="546">
        <v>0</v>
      </c>
      <c r="BE59" s="546">
        <v>116000000</v>
      </c>
      <c r="BF59" s="546">
        <v>0</v>
      </c>
      <c r="BG59" s="546">
        <v>0</v>
      </c>
      <c r="BH59" s="546">
        <v>0</v>
      </c>
      <c r="BI59" s="546">
        <v>0</v>
      </c>
      <c r="BJ59" s="546">
        <v>0</v>
      </c>
      <c r="BK59" s="723">
        <v>0</v>
      </c>
      <c r="BL59" s="722">
        <v>0</v>
      </c>
      <c r="BM59" s="722">
        <v>0</v>
      </c>
      <c r="BN59" s="722">
        <v>0</v>
      </c>
      <c r="BO59" s="722">
        <v>0</v>
      </c>
      <c r="BP59" s="722">
        <v>0</v>
      </c>
      <c r="BQ59" s="722">
        <v>0</v>
      </c>
      <c r="BR59" s="722">
        <v>0</v>
      </c>
      <c r="BS59" s="722">
        <v>0</v>
      </c>
      <c r="BT59" s="722">
        <v>0</v>
      </c>
      <c r="BU59" s="722">
        <v>0</v>
      </c>
      <c r="BV59" s="580">
        <f t="shared" si="14"/>
        <v>4.1250000000000002E-2</v>
      </c>
      <c r="BW59" s="588">
        <v>116</v>
      </c>
      <c r="BX59" s="623">
        <f t="shared" si="49"/>
        <v>0.25</v>
      </c>
      <c r="BY59" s="607">
        <v>116</v>
      </c>
      <c r="BZ59" s="629">
        <v>116</v>
      </c>
      <c r="CA59" s="1017">
        <v>116</v>
      </c>
      <c r="CB59" s="721">
        <f t="shared" si="50"/>
        <v>29</v>
      </c>
      <c r="CC59" s="721">
        <f t="shared" si="51"/>
        <v>100</v>
      </c>
      <c r="CD59" s="720">
        <f t="shared" si="18"/>
        <v>100</v>
      </c>
      <c r="CE59" s="618">
        <f t="shared" si="19"/>
        <v>4.1250000000000002E-2</v>
      </c>
      <c r="CF59" s="719">
        <f t="shared" si="20"/>
        <v>100</v>
      </c>
      <c r="CG59" s="618">
        <f t="shared" si="21"/>
        <v>4.1250000000000002E-2</v>
      </c>
      <c r="CH59" s="718">
        <f t="shared" si="22"/>
        <v>4.1250000000000002E-2</v>
      </c>
      <c r="CI59" s="552">
        <v>0</v>
      </c>
      <c r="CJ59" s="551">
        <f t="shared" si="52"/>
        <v>0.25</v>
      </c>
      <c r="CK59" s="871">
        <v>0</v>
      </c>
      <c r="CL59" s="533">
        <f t="shared" si="53"/>
        <v>0</v>
      </c>
      <c r="CM59" s="619">
        <f t="shared" si="54"/>
        <v>0</v>
      </c>
      <c r="CN59" s="619">
        <f t="shared" si="55"/>
        <v>0</v>
      </c>
      <c r="CO59" s="619">
        <f t="shared" si="27"/>
        <v>0</v>
      </c>
      <c r="CP59" s="619">
        <f t="shared" si="28"/>
        <v>0</v>
      </c>
      <c r="CQ59" s="619">
        <f t="shared" si="29"/>
        <v>0</v>
      </c>
      <c r="CR59" s="546">
        <v>0</v>
      </c>
      <c r="CS59" s="546">
        <v>0</v>
      </c>
      <c r="CT59" s="546">
        <v>0</v>
      </c>
      <c r="CU59" s="546">
        <v>0</v>
      </c>
      <c r="CV59" s="546">
        <v>0</v>
      </c>
      <c r="CW59" s="546">
        <v>0</v>
      </c>
      <c r="CX59" s="546">
        <v>0</v>
      </c>
      <c r="CY59" s="546">
        <v>0</v>
      </c>
      <c r="CZ59" s="618">
        <v>0</v>
      </c>
      <c r="DA59" s="618">
        <v>0</v>
      </c>
      <c r="DB59" s="618">
        <v>0</v>
      </c>
      <c r="DC59" s="618">
        <v>0</v>
      </c>
      <c r="DD59" s="618">
        <v>0</v>
      </c>
      <c r="DE59" s="618">
        <v>0</v>
      </c>
      <c r="DF59" s="618">
        <v>0</v>
      </c>
      <c r="DG59" s="618">
        <v>0</v>
      </c>
      <c r="DH59" s="618">
        <v>0</v>
      </c>
      <c r="DI59" s="618">
        <v>0</v>
      </c>
      <c r="DJ59" s="618">
        <v>0</v>
      </c>
      <c r="DK59" s="1034">
        <f t="shared" si="56"/>
        <v>58</v>
      </c>
      <c r="DL59" s="543">
        <f t="shared" si="31"/>
        <v>0.16500000000000001</v>
      </c>
      <c r="DM59" s="542">
        <f t="shared" si="32"/>
        <v>50</v>
      </c>
      <c r="DN59" s="594">
        <f t="shared" si="33"/>
        <v>50</v>
      </c>
      <c r="DO59" s="540">
        <f t="shared" si="34"/>
        <v>8.2500000000000004E-2</v>
      </c>
      <c r="DP59" s="597">
        <f>+IF(M59="M",DO59,0)</f>
        <v>8.2500000000000004E-2</v>
      </c>
      <c r="DQ59" s="538">
        <f t="shared" si="35"/>
        <v>8.2500000000000004E-2</v>
      </c>
      <c r="DR59" s="617">
        <f t="shared" si="36"/>
        <v>1</v>
      </c>
      <c r="DS59" s="616">
        <f t="shared" si="37"/>
        <v>0</v>
      </c>
      <c r="DT59" s="259">
        <v>73</v>
      </c>
      <c r="DU59" s="260" t="s">
        <v>290</v>
      </c>
      <c r="DV59" s="259"/>
      <c r="DW59" s="260" t="s">
        <v>242</v>
      </c>
      <c r="DX59" s="259"/>
      <c r="DY59" s="259"/>
      <c r="DZ59" s="259"/>
      <c r="EA59" s="987"/>
      <c r="EB59" s="1041" t="s">
        <v>2408</v>
      </c>
      <c r="EC59" s="802">
        <v>0</v>
      </c>
      <c r="EE59" s="1047"/>
    </row>
    <row r="60" spans="4:135" s="534" customFormat="1" ht="132" hidden="1" x14ac:dyDescent="0.3">
      <c r="D60" s="783">
        <v>57</v>
      </c>
      <c r="E60" s="799">
        <v>84</v>
      </c>
      <c r="F60" s="787" t="s">
        <v>200</v>
      </c>
      <c r="G60" s="787" t="s">
        <v>8</v>
      </c>
      <c r="H60" s="788" t="s">
        <v>140</v>
      </c>
      <c r="I60" s="712" t="s">
        <v>346</v>
      </c>
      <c r="J60" s="573" t="s">
        <v>449</v>
      </c>
      <c r="K60" s="573" t="s">
        <v>450</v>
      </c>
      <c r="L60" s="701" t="s">
        <v>1582</v>
      </c>
      <c r="M60" s="570" t="s">
        <v>2017</v>
      </c>
      <c r="N60" s="570">
        <v>19.2</v>
      </c>
      <c r="O60" s="570">
        <f t="shared" ref="O60:O68" si="59">+N60+P60</f>
        <v>25</v>
      </c>
      <c r="P60" s="569">
        <v>5.8</v>
      </c>
      <c r="Q60" s="595">
        <v>0.25</v>
      </c>
      <c r="R60" s="580">
        <f t="shared" si="0"/>
        <v>6.25E-2</v>
      </c>
      <c r="S60" s="708">
        <v>1.45</v>
      </c>
      <c r="T60" s="625">
        <f t="shared" si="43"/>
        <v>0.25</v>
      </c>
      <c r="U60" s="992">
        <v>0</v>
      </c>
      <c r="V60" s="626">
        <f t="shared" si="44"/>
        <v>0</v>
      </c>
      <c r="W60" s="594">
        <f t="shared" si="45"/>
        <v>0</v>
      </c>
      <c r="X60" s="594">
        <f t="shared" si="4"/>
        <v>0</v>
      </c>
      <c r="Y60" s="594">
        <f t="shared" si="40"/>
        <v>0</v>
      </c>
      <c r="Z60" s="594">
        <f t="shared" si="6"/>
        <v>0</v>
      </c>
      <c r="AA60" s="546">
        <v>413000000</v>
      </c>
      <c r="AB60" s="546">
        <v>413000000</v>
      </c>
      <c r="AC60" s="546">
        <v>0</v>
      </c>
      <c r="AD60" s="546">
        <v>0</v>
      </c>
      <c r="AE60" s="546">
        <v>0</v>
      </c>
      <c r="AF60" s="546">
        <v>0</v>
      </c>
      <c r="AG60" s="546">
        <v>0</v>
      </c>
      <c r="AH60" s="546">
        <v>0</v>
      </c>
      <c r="AI60" s="546">
        <v>586641000</v>
      </c>
      <c r="AJ60" s="546">
        <v>586641000</v>
      </c>
      <c r="AK60" s="546">
        <v>0</v>
      </c>
      <c r="AL60" s="546">
        <v>0</v>
      </c>
      <c r="AM60" s="546">
        <v>0</v>
      </c>
      <c r="AN60" s="546">
        <v>0</v>
      </c>
      <c r="AO60" s="546">
        <v>0</v>
      </c>
      <c r="AP60" s="546">
        <v>0</v>
      </c>
      <c r="AQ60" s="546">
        <v>0</v>
      </c>
      <c r="AR60" s="546">
        <v>0</v>
      </c>
      <c r="AS60" s="546" t="s">
        <v>2045</v>
      </c>
      <c r="AT60" s="570">
        <f t="shared" si="7"/>
        <v>6.25E-2</v>
      </c>
      <c r="AU60" s="570">
        <v>1.45</v>
      </c>
      <c r="AV60" s="625">
        <f t="shared" si="46"/>
        <v>0.25</v>
      </c>
      <c r="AW60" s="1003">
        <v>2.9</v>
      </c>
      <c r="AX60" s="724">
        <f t="shared" si="47"/>
        <v>2.9</v>
      </c>
      <c r="AY60" s="724">
        <f t="shared" si="48"/>
        <v>200</v>
      </c>
      <c r="AZ60" s="724">
        <f t="shared" si="11"/>
        <v>100</v>
      </c>
      <c r="BA60" s="594">
        <f t="shared" si="12"/>
        <v>6.25E-2</v>
      </c>
      <c r="BB60" s="594">
        <f t="shared" si="13"/>
        <v>100</v>
      </c>
      <c r="BC60" s="546">
        <v>159000000</v>
      </c>
      <c r="BD60" s="546">
        <v>0</v>
      </c>
      <c r="BE60" s="546">
        <v>159000000</v>
      </c>
      <c r="BF60" s="546">
        <v>0</v>
      </c>
      <c r="BG60" s="546">
        <v>0</v>
      </c>
      <c r="BH60" s="546">
        <v>0</v>
      </c>
      <c r="BI60" s="546">
        <v>0</v>
      </c>
      <c r="BJ60" s="546">
        <v>0</v>
      </c>
      <c r="BK60" s="723">
        <v>335638626</v>
      </c>
      <c r="BL60" s="722">
        <v>335638626</v>
      </c>
      <c r="BM60" s="722">
        <v>0</v>
      </c>
      <c r="BN60" s="722">
        <v>0</v>
      </c>
      <c r="BO60" s="722">
        <v>0</v>
      </c>
      <c r="BP60" s="722">
        <v>0</v>
      </c>
      <c r="BQ60" s="722">
        <v>0</v>
      </c>
      <c r="BR60" s="722">
        <v>0</v>
      </c>
      <c r="BS60" s="722">
        <v>0</v>
      </c>
      <c r="BT60" s="722">
        <v>1408844862</v>
      </c>
      <c r="BU60" s="722" t="s">
        <v>2269</v>
      </c>
      <c r="BV60" s="580">
        <f t="shared" si="14"/>
        <v>6.25E-2</v>
      </c>
      <c r="BW60" s="588">
        <v>1.45</v>
      </c>
      <c r="BX60" s="623">
        <f t="shared" si="49"/>
        <v>0.25</v>
      </c>
      <c r="BY60" s="607">
        <v>0.69999998807907104</v>
      </c>
      <c r="BZ60" s="629">
        <v>0.69999998807907104</v>
      </c>
      <c r="CA60" s="1017">
        <v>2.9200000762939453</v>
      </c>
      <c r="CB60" s="721">
        <f t="shared" si="50"/>
        <v>2.9200000762939453</v>
      </c>
      <c r="CC60" s="721">
        <f t="shared" si="51"/>
        <v>201.379315606479</v>
      </c>
      <c r="CD60" s="720">
        <f t="shared" si="18"/>
        <v>100</v>
      </c>
      <c r="CE60" s="618">
        <f t="shared" si="19"/>
        <v>6.25E-2</v>
      </c>
      <c r="CF60" s="719">
        <f t="shared" si="20"/>
        <v>100</v>
      </c>
      <c r="CG60" s="618">
        <f t="shared" si="21"/>
        <v>0.12586207225404938</v>
      </c>
      <c r="CH60" s="718">
        <f t="shared" si="22"/>
        <v>6.25E-2</v>
      </c>
      <c r="CI60" s="634">
        <v>1.45</v>
      </c>
      <c r="CJ60" s="551">
        <f t="shared" si="52"/>
        <v>0.25</v>
      </c>
      <c r="CK60" s="874">
        <v>0</v>
      </c>
      <c r="CL60" s="533">
        <f t="shared" si="53"/>
        <v>1.45</v>
      </c>
      <c r="CM60" s="619">
        <f t="shared" si="54"/>
        <v>0</v>
      </c>
      <c r="CN60" s="619">
        <f t="shared" si="55"/>
        <v>0</v>
      </c>
      <c r="CO60" s="549">
        <f t="shared" si="27"/>
        <v>0</v>
      </c>
      <c r="CP60" s="619">
        <f t="shared" si="28"/>
        <v>0</v>
      </c>
      <c r="CQ60" s="619">
        <f t="shared" si="29"/>
        <v>0</v>
      </c>
      <c r="CR60" s="546">
        <v>368000000</v>
      </c>
      <c r="CS60" s="546">
        <v>368000000</v>
      </c>
      <c r="CT60" s="546">
        <v>0</v>
      </c>
      <c r="CU60" s="546">
        <v>0</v>
      </c>
      <c r="CV60" s="546">
        <v>0</v>
      </c>
      <c r="CW60" s="546">
        <v>0</v>
      </c>
      <c r="CX60" s="546">
        <v>0</v>
      </c>
      <c r="CY60" s="546">
        <v>0</v>
      </c>
      <c r="CZ60" s="618">
        <v>0</v>
      </c>
      <c r="DA60" s="618">
        <v>0</v>
      </c>
      <c r="DB60" s="618">
        <v>0</v>
      </c>
      <c r="DC60" s="618">
        <v>0</v>
      </c>
      <c r="DD60" s="618">
        <v>0</v>
      </c>
      <c r="DE60" s="618">
        <v>0</v>
      </c>
      <c r="DF60" s="618">
        <v>0</v>
      </c>
      <c r="DG60" s="618">
        <v>0</v>
      </c>
      <c r="DH60" s="618">
        <v>0</v>
      </c>
      <c r="DI60" s="618">
        <v>0</v>
      </c>
      <c r="DJ60" s="618">
        <v>0</v>
      </c>
      <c r="DK60" s="1034">
        <f t="shared" si="56"/>
        <v>5.8200000762939457</v>
      </c>
      <c r="DL60" s="543">
        <f t="shared" si="31"/>
        <v>0.25</v>
      </c>
      <c r="DM60" s="542">
        <f t="shared" si="32"/>
        <v>100.34482890161975</v>
      </c>
      <c r="DN60" s="594">
        <f t="shared" si="33"/>
        <v>100</v>
      </c>
      <c r="DO60" s="540">
        <f t="shared" si="34"/>
        <v>0.25</v>
      </c>
      <c r="DP60" s="597">
        <f t="shared" ref="DP60:DP68" si="60">+IF(((DN60*Q60)/100)&lt;Q60, ((DN60*Q60)/100),Q60)</f>
        <v>0.25</v>
      </c>
      <c r="DQ60" s="538">
        <f t="shared" si="35"/>
        <v>0.25</v>
      </c>
      <c r="DR60" s="617">
        <f t="shared" si="36"/>
        <v>1</v>
      </c>
      <c r="DS60" s="616">
        <f t="shared" si="37"/>
        <v>0</v>
      </c>
      <c r="DT60" s="259">
        <v>37</v>
      </c>
      <c r="DU60" s="260" t="s">
        <v>293</v>
      </c>
      <c r="DV60" s="259">
        <v>75</v>
      </c>
      <c r="DW60" s="260" t="s">
        <v>390</v>
      </c>
      <c r="DX60" s="259">
        <v>76</v>
      </c>
      <c r="DY60" s="259">
        <v>77</v>
      </c>
      <c r="DZ60" s="259"/>
      <c r="EA60" s="987"/>
      <c r="EB60" s="1041" t="s">
        <v>2409</v>
      </c>
      <c r="EC60" s="802">
        <v>368000000</v>
      </c>
      <c r="EE60" s="1047"/>
    </row>
    <row r="61" spans="4:135" s="534" customFormat="1" ht="48" hidden="1" x14ac:dyDescent="0.3">
      <c r="D61" s="783">
        <v>58</v>
      </c>
      <c r="E61" s="799">
        <v>85</v>
      </c>
      <c r="F61" s="787" t="s">
        <v>200</v>
      </c>
      <c r="G61" s="787" t="s">
        <v>8</v>
      </c>
      <c r="H61" s="788" t="s">
        <v>140</v>
      </c>
      <c r="I61" s="712" t="s">
        <v>346</v>
      </c>
      <c r="J61" s="573" t="s">
        <v>451</v>
      </c>
      <c r="K61" s="573" t="s">
        <v>452</v>
      </c>
      <c r="L61" s="702" t="s">
        <v>2084</v>
      </c>
      <c r="M61" s="570" t="s">
        <v>2017</v>
      </c>
      <c r="N61" s="570">
        <v>0</v>
      </c>
      <c r="O61" s="570">
        <f t="shared" si="59"/>
        <v>1</v>
      </c>
      <c r="P61" s="569">
        <v>1</v>
      </c>
      <c r="Q61" s="595">
        <v>0.16500000000000001</v>
      </c>
      <c r="R61" s="580">
        <f t="shared" si="0"/>
        <v>0</v>
      </c>
      <c r="S61" s="708">
        <v>0</v>
      </c>
      <c r="T61" s="625">
        <f t="shared" si="43"/>
        <v>0</v>
      </c>
      <c r="U61" s="992">
        <v>0</v>
      </c>
      <c r="V61" s="626">
        <f t="shared" si="44"/>
        <v>0</v>
      </c>
      <c r="W61" s="594">
        <f t="shared" si="45"/>
        <v>0</v>
      </c>
      <c r="X61" s="594">
        <f t="shared" si="4"/>
        <v>0</v>
      </c>
      <c r="Y61" s="594">
        <f t="shared" si="40"/>
        <v>0</v>
      </c>
      <c r="Z61" s="594">
        <f t="shared" si="6"/>
        <v>0</v>
      </c>
      <c r="AA61" s="546">
        <v>400000000</v>
      </c>
      <c r="AB61" s="546">
        <v>400000000</v>
      </c>
      <c r="AC61" s="546">
        <v>0</v>
      </c>
      <c r="AD61" s="546">
        <v>0</v>
      </c>
      <c r="AE61" s="546">
        <v>0</v>
      </c>
      <c r="AF61" s="546">
        <v>0</v>
      </c>
      <c r="AG61" s="546">
        <v>0</v>
      </c>
      <c r="AH61" s="546">
        <v>0</v>
      </c>
      <c r="AI61" s="546">
        <v>0</v>
      </c>
      <c r="AJ61" s="546">
        <v>0</v>
      </c>
      <c r="AK61" s="546">
        <v>0</v>
      </c>
      <c r="AL61" s="546">
        <v>0</v>
      </c>
      <c r="AM61" s="546">
        <v>0</v>
      </c>
      <c r="AN61" s="546">
        <v>0</v>
      </c>
      <c r="AO61" s="546">
        <v>0</v>
      </c>
      <c r="AP61" s="546">
        <v>0</v>
      </c>
      <c r="AQ61" s="546">
        <v>0</v>
      </c>
      <c r="AR61" s="546">
        <v>0</v>
      </c>
      <c r="AS61" s="546" t="s">
        <v>2045</v>
      </c>
      <c r="AT61" s="570">
        <f t="shared" si="7"/>
        <v>0.13200000000000001</v>
      </c>
      <c r="AU61" s="570">
        <v>0.8</v>
      </c>
      <c r="AV61" s="625">
        <f t="shared" si="46"/>
        <v>0.8</v>
      </c>
      <c r="AW61" s="1003">
        <v>1</v>
      </c>
      <c r="AX61" s="724">
        <f t="shared" si="47"/>
        <v>1</v>
      </c>
      <c r="AY61" s="724">
        <f t="shared" si="48"/>
        <v>125</v>
      </c>
      <c r="AZ61" s="724">
        <f t="shared" si="11"/>
        <v>100</v>
      </c>
      <c r="BA61" s="594">
        <f t="shared" si="12"/>
        <v>0.13200000000000001</v>
      </c>
      <c r="BB61" s="594">
        <f t="shared" si="13"/>
        <v>100</v>
      </c>
      <c r="BC61" s="546">
        <v>0</v>
      </c>
      <c r="BD61" s="546">
        <v>0</v>
      </c>
      <c r="BE61" s="546">
        <v>0</v>
      </c>
      <c r="BF61" s="546">
        <v>0</v>
      </c>
      <c r="BG61" s="546">
        <v>0</v>
      </c>
      <c r="BH61" s="546">
        <v>0</v>
      </c>
      <c r="BI61" s="546">
        <v>0</v>
      </c>
      <c r="BJ61" s="546">
        <v>0</v>
      </c>
      <c r="BK61" s="723">
        <v>0</v>
      </c>
      <c r="BL61" s="722">
        <v>0</v>
      </c>
      <c r="BM61" s="722">
        <v>0</v>
      </c>
      <c r="BN61" s="722">
        <v>0</v>
      </c>
      <c r="BO61" s="722">
        <v>0</v>
      </c>
      <c r="BP61" s="722">
        <v>0</v>
      </c>
      <c r="BQ61" s="722">
        <v>0</v>
      </c>
      <c r="BR61" s="722">
        <v>0</v>
      </c>
      <c r="BS61" s="722">
        <v>0</v>
      </c>
      <c r="BT61" s="722">
        <v>0</v>
      </c>
      <c r="BU61" s="722">
        <v>0</v>
      </c>
      <c r="BV61" s="580">
        <f t="shared" si="14"/>
        <v>0</v>
      </c>
      <c r="BW61" s="588">
        <v>0</v>
      </c>
      <c r="BX61" s="623">
        <f t="shared" si="49"/>
        <v>0</v>
      </c>
      <c r="BY61" s="607">
        <v>0</v>
      </c>
      <c r="BZ61" s="629">
        <v>0.4</v>
      </c>
      <c r="CA61" s="1017">
        <v>0</v>
      </c>
      <c r="CB61" s="721">
        <f t="shared" si="50"/>
        <v>0</v>
      </c>
      <c r="CC61" s="721">
        <f t="shared" si="51"/>
        <v>0</v>
      </c>
      <c r="CD61" s="720">
        <f t="shared" si="18"/>
        <v>0</v>
      </c>
      <c r="CE61" s="618">
        <f t="shared" si="19"/>
        <v>0</v>
      </c>
      <c r="CF61" s="719">
        <f t="shared" si="20"/>
        <v>100</v>
      </c>
      <c r="CG61" s="618">
        <f t="shared" si="21"/>
        <v>0</v>
      </c>
      <c r="CH61" s="718">
        <f t="shared" si="22"/>
        <v>3.3000000000000002E-2</v>
      </c>
      <c r="CI61" s="680">
        <v>0.2</v>
      </c>
      <c r="CJ61" s="551">
        <f t="shared" si="52"/>
        <v>0.2</v>
      </c>
      <c r="CK61" s="874">
        <v>0</v>
      </c>
      <c r="CL61" s="533">
        <f t="shared" si="53"/>
        <v>0.2</v>
      </c>
      <c r="CM61" s="619">
        <f t="shared" si="54"/>
        <v>0</v>
      </c>
      <c r="CN61" s="619">
        <f t="shared" si="55"/>
        <v>0</v>
      </c>
      <c r="CO61" s="549">
        <f t="shared" si="27"/>
        <v>0</v>
      </c>
      <c r="CP61" s="619">
        <f t="shared" si="28"/>
        <v>0</v>
      </c>
      <c r="CQ61" s="619">
        <f t="shared" si="29"/>
        <v>0</v>
      </c>
      <c r="CR61" s="546">
        <v>500000</v>
      </c>
      <c r="CS61" s="546">
        <v>0</v>
      </c>
      <c r="CT61" s="546">
        <v>0</v>
      </c>
      <c r="CU61" s="546">
        <v>0</v>
      </c>
      <c r="CV61" s="546">
        <v>0</v>
      </c>
      <c r="CW61" s="546">
        <v>0</v>
      </c>
      <c r="CX61" s="546">
        <v>0</v>
      </c>
      <c r="CY61" s="546">
        <v>0</v>
      </c>
      <c r="CZ61" s="618">
        <v>0</v>
      </c>
      <c r="DA61" s="618">
        <v>0</v>
      </c>
      <c r="DB61" s="618">
        <v>0</v>
      </c>
      <c r="DC61" s="618">
        <v>0</v>
      </c>
      <c r="DD61" s="618">
        <v>0</v>
      </c>
      <c r="DE61" s="618">
        <v>0</v>
      </c>
      <c r="DF61" s="618">
        <v>0</v>
      </c>
      <c r="DG61" s="618">
        <v>0</v>
      </c>
      <c r="DH61" s="618">
        <v>0</v>
      </c>
      <c r="DI61" s="618">
        <v>0</v>
      </c>
      <c r="DJ61" s="618">
        <v>0</v>
      </c>
      <c r="DK61" s="1034">
        <f t="shared" si="56"/>
        <v>1</v>
      </c>
      <c r="DL61" s="543">
        <f t="shared" si="31"/>
        <v>0.16500000000000001</v>
      </c>
      <c r="DM61" s="542">
        <f t="shared" si="32"/>
        <v>100</v>
      </c>
      <c r="DN61" s="594">
        <f t="shared" si="33"/>
        <v>100</v>
      </c>
      <c r="DO61" s="540">
        <f t="shared" si="34"/>
        <v>0.16500000000000001</v>
      </c>
      <c r="DP61" s="597">
        <f t="shared" si="60"/>
        <v>0.16500000000000001</v>
      </c>
      <c r="DQ61" s="538">
        <f t="shared" si="35"/>
        <v>0.16500000000000001</v>
      </c>
      <c r="DR61" s="617">
        <f t="shared" si="36"/>
        <v>1</v>
      </c>
      <c r="DS61" s="616">
        <f t="shared" si="37"/>
        <v>0</v>
      </c>
      <c r="DT61" s="259">
        <v>74</v>
      </c>
      <c r="DU61" s="260" t="s">
        <v>442</v>
      </c>
      <c r="DV61" s="259"/>
      <c r="DW61" s="260" t="s">
        <v>242</v>
      </c>
      <c r="DX61" s="259"/>
      <c r="DY61" s="259"/>
      <c r="DZ61" s="259"/>
      <c r="EA61" s="987"/>
      <c r="EB61" s="1041" t="s">
        <v>2410</v>
      </c>
      <c r="EC61" s="802">
        <v>500000</v>
      </c>
      <c r="EE61" s="1047"/>
    </row>
    <row r="62" spans="4:135" s="534" customFormat="1" ht="132" hidden="1" x14ac:dyDescent="0.3">
      <c r="D62" s="783">
        <v>59</v>
      </c>
      <c r="E62" s="799">
        <v>86</v>
      </c>
      <c r="F62" s="787" t="s">
        <v>200</v>
      </c>
      <c r="G62" s="787" t="s">
        <v>8</v>
      </c>
      <c r="H62" s="788" t="s">
        <v>140</v>
      </c>
      <c r="I62" s="712" t="s">
        <v>346</v>
      </c>
      <c r="J62" s="573" t="s">
        <v>453</v>
      </c>
      <c r="K62" s="573" t="s">
        <v>454</v>
      </c>
      <c r="L62" s="702" t="s">
        <v>2268</v>
      </c>
      <c r="M62" s="570" t="s">
        <v>2017</v>
      </c>
      <c r="N62" s="570">
        <v>0</v>
      </c>
      <c r="O62" s="570">
        <f t="shared" si="59"/>
        <v>3000</v>
      </c>
      <c r="P62" s="569">
        <v>3000</v>
      </c>
      <c r="Q62" s="595">
        <v>0.25</v>
      </c>
      <c r="R62" s="580">
        <f t="shared" si="0"/>
        <v>4.8333333333333332E-2</v>
      </c>
      <c r="S62" s="708">
        <v>580</v>
      </c>
      <c r="T62" s="625">
        <f t="shared" si="43"/>
        <v>0.19333333333333333</v>
      </c>
      <c r="U62" s="992">
        <v>0</v>
      </c>
      <c r="V62" s="626">
        <f t="shared" si="44"/>
        <v>0</v>
      </c>
      <c r="W62" s="594">
        <f t="shared" si="45"/>
        <v>0</v>
      </c>
      <c r="X62" s="594">
        <f t="shared" si="4"/>
        <v>0</v>
      </c>
      <c r="Y62" s="594">
        <f t="shared" si="40"/>
        <v>0</v>
      </c>
      <c r="Z62" s="594">
        <f t="shared" si="6"/>
        <v>0</v>
      </c>
      <c r="AA62" s="546">
        <v>227000000</v>
      </c>
      <c r="AB62" s="546">
        <v>227000000</v>
      </c>
      <c r="AC62" s="546">
        <v>0</v>
      </c>
      <c r="AD62" s="546">
        <v>0</v>
      </c>
      <c r="AE62" s="546">
        <v>0</v>
      </c>
      <c r="AF62" s="546">
        <v>0</v>
      </c>
      <c r="AG62" s="546">
        <v>0</v>
      </c>
      <c r="AH62" s="546">
        <v>0</v>
      </c>
      <c r="AI62" s="546">
        <v>0</v>
      </c>
      <c r="AJ62" s="546">
        <v>0</v>
      </c>
      <c r="AK62" s="546">
        <v>0</v>
      </c>
      <c r="AL62" s="546">
        <v>0</v>
      </c>
      <c r="AM62" s="546">
        <v>0</v>
      </c>
      <c r="AN62" s="546">
        <v>0</v>
      </c>
      <c r="AO62" s="546">
        <v>0</v>
      </c>
      <c r="AP62" s="546">
        <v>0</v>
      </c>
      <c r="AQ62" s="546">
        <v>0</v>
      </c>
      <c r="AR62" s="546">
        <v>0</v>
      </c>
      <c r="AS62" s="546" t="s">
        <v>2045</v>
      </c>
      <c r="AT62" s="570">
        <f t="shared" si="7"/>
        <v>0.15</v>
      </c>
      <c r="AU62" s="570">
        <v>1800</v>
      </c>
      <c r="AV62" s="625">
        <f t="shared" si="46"/>
        <v>0.6</v>
      </c>
      <c r="AW62" s="1003">
        <v>1800</v>
      </c>
      <c r="AX62" s="724">
        <f t="shared" si="47"/>
        <v>1800</v>
      </c>
      <c r="AY62" s="724">
        <f t="shared" si="48"/>
        <v>100</v>
      </c>
      <c r="AZ62" s="724">
        <f t="shared" si="11"/>
        <v>100</v>
      </c>
      <c r="BA62" s="594">
        <f t="shared" si="12"/>
        <v>0.15</v>
      </c>
      <c r="BB62" s="594">
        <f t="shared" si="13"/>
        <v>100</v>
      </c>
      <c r="BC62" s="546">
        <v>164000000</v>
      </c>
      <c r="BD62" s="546">
        <v>0</v>
      </c>
      <c r="BE62" s="546">
        <v>164000000</v>
      </c>
      <c r="BF62" s="546">
        <v>0</v>
      </c>
      <c r="BG62" s="546">
        <v>0</v>
      </c>
      <c r="BH62" s="546">
        <v>0</v>
      </c>
      <c r="BI62" s="546">
        <v>0</v>
      </c>
      <c r="BJ62" s="546">
        <v>0</v>
      </c>
      <c r="BK62" s="723">
        <v>564000000</v>
      </c>
      <c r="BL62" s="722">
        <v>564000000</v>
      </c>
      <c r="BM62" s="722">
        <v>0</v>
      </c>
      <c r="BN62" s="722">
        <v>0</v>
      </c>
      <c r="BO62" s="722">
        <v>0</v>
      </c>
      <c r="BP62" s="722">
        <v>0</v>
      </c>
      <c r="BQ62" s="722">
        <v>0</v>
      </c>
      <c r="BR62" s="722">
        <v>0</v>
      </c>
      <c r="BS62" s="722">
        <v>0</v>
      </c>
      <c r="BT62" s="722">
        <v>0</v>
      </c>
      <c r="BU62" s="722">
        <v>0</v>
      </c>
      <c r="BV62" s="580">
        <f t="shared" si="14"/>
        <v>3.3333333333333333E-2</v>
      </c>
      <c r="BW62" s="588">
        <v>400</v>
      </c>
      <c r="BX62" s="623">
        <f t="shared" si="49"/>
        <v>0.13333333333333333</v>
      </c>
      <c r="BY62" s="607">
        <v>400</v>
      </c>
      <c r="BZ62" s="629">
        <v>400</v>
      </c>
      <c r="CA62" s="1017">
        <v>1575</v>
      </c>
      <c r="CB62" s="721">
        <f t="shared" si="50"/>
        <v>1575</v>
      </c>
      <c r="CC62" s="721">
        <f t="shared" si="51"/>
        <v>393.75</v>
      </c>
      <c r="CD62" s="720">
        <f t="shared" si="18"/>
        <v>100</v>
      </c>
      <c r="CE62" s="618">
        <f t="shared" si="19"/>
        <v>3.3333333333333333E-2</v>
      </c>
      <c r="CF62" s="719">
        <f t="shared" si="20"/>
        <v>100</v>
      </c>
      <c r="CG62" s="618">
        <f t="shared" si="21"/>
        <v>0.13125000000000001</v>
      </c>
      <c r="CH62" s="718">
        <f t="shared" si="22"/>
        <v>1.8333333333333333E-2</v>
      </c>
      <c r="CI62" s="552">
        <v>220</v>
      </c>
      <c r="CJ62" s="551">
        <f t="shared" si="52"/>
        <v>7.3333333333333334E-2</v>
      </c>
      <c r="CK62" s="874">
        <v>0</v>
      </c>
      <c r="CL62" s="533">
        <f t="shared" si="53"/>
        <v>220</v>
      </c>
      <c r="CM62" s="619">
        <f t="shared" si="54"/>
        <v>0</v>
      </c>
      <c r="CN62" s="619">
        <f t="shared" si="55"/>
        <v>0</v>
      </c>
      <c r="CO62" s="549">
        <f t="shared" si="27"/>
        <v>0</v>
      </c>
      <c r="CP62" s="619">
        <f t="shared" si="28"/>
        <v>0</v>
      </c>
      <c r="CQ62" s="619">
        <f t="shared" si="29"/>
        <v>0</v>
      </c>
      <c r="CR62" s="546">
        <v>378000000</v>
      </c>
      <c r="CS62" s="546">
        <v>378000000</v>
      </c>
      <c r="CT62" s="546">
        <v>0</v>
      </c>
      <c r="CU62" s="546">
        <v>0</v>
      </c>
      <c r="CV62" s="546">
        <v>0</v>
      </c>
      <c r="CW62" s="546">
        <v>0</v>
      </c>
      <c r="CX62" s="546">
        <v>0</v>
      </c>
      <c r="CY62" s="546">
        <v>0</v>
      </c>
      <c r="CZ62" s="618">
        <v>0</v>
      </c>
      <c r="DA62" s="618">
        <v>0</v>
      </c>
      <c r="DB62" s="618">
        <v>0</v>
      </c>
      <c r="DC62" s="618">
        <v>0</v>
      </c>
      <c r="DD62" s="618">
        <v>0</v>
      </c>
      <c r="DE62" s="618">
        <v>0</v>
      </c>
      <c r="DF62" s="618">
        <v>0</v>
      </c>
      <c r="DG62" s="618">
        <v>0</v>
      </c>
      <c r="DH62" s="618">
        <v>0</v>
      </c>
      <c r="DI62" s="618">
        <v>0</v>
      </c>
      <c r="DJ62" s="618">
        <v>0</v>
      </c>
      <c r="DK62" s="1034">
        <f t="shared" si="56"/>
        <v>3375</v>
      </c>
      <c r="DL62" s="543">
        <f t="shared" si="31"/>
        <v>0.25</v>
      </c>
      <c r="DM62" s="542">
        <f t="shared" si="32"/>
        <v>112.5</v>
      </c>
      <c r="DN62" s="594">
        <f t="shared" si="33"/>
        <v>100</v>
      </c>
      <c r="DO62" s="540">
        <f t="shared" si="34"/>
        <v>0.25</v>
      </c>
      <c r="DP62" s="597">
        <f t="shared" si="60"/>
        <v>0.25</v>
      </c>
      <c r="DQ62" s="538">
        <f t="shared" si="35"/>
        <v>0.25</v>
      </c>
      <c r="DR62" s="617">
        <f t="shared" si="36"/>
        <v>1</v>
      </c>
      <c r="DS62" s="616">
        <f t="shared" si="37"/>
        <v>0</v>
      </c>
      <c r="DT62" s="259">
        <v>38</v>
      </c>
      <c r="DU62" s="260" t="s">
        <v>389</v>
      </c>
      <c r="DV62" s="259">
        <v>75</v>
      </c>
      <c r="DW62" s="260" t="s">
        <v>390</v>
      </c>
      <c r="DX62" s="259">
        <v>76</v>
      </c>
      <c r="DY62" s="259">
        <v>77</v>
      </c>
      <c r="DZ62" s="259"/>
      <c r="EA62" s="987"/>
      <c r="EB62" s="1041" t="s">
        <v>2411</v>
      </c>
      <c r="EC62" s="802">
        <v>378000000</v>
      </c>
      <c r="EE62" s="1047"/>
    </row>
    <row r="63" spans="4:135" s="534" customFormat="1" ht="72" hidden="1" x14ac:dyDescent="0.3">
      <c r="D63" s="783">
        <v>60</v>
      </c>
      <c r="E63" s="799">
        <v>87</v>
      </c>
      <c r="F63" s="787" t="s">
        <v>200</v>
      </c>
      <c r="G63" s="787" t="s">
        <v>8</v>
      </c>
      <c r="H63" s="788" t="s">
        <v>140</v>
      </c>
      <c r="I63" s="712" t="s">
        <v>346</v>
      </c>
      <c r="J63" s="573" t="s">
        <v>455</v>
      </c>
      <c r="K63" s="573" t="s">
        <v>456</v>
      </c>
      <c r="L63" s="702" t="s">
        <v>2019</v>
      </c>
      <c r="M63" s="570" t="s">
        <v>2017</v>
      </c>
      <c r="N63" s="570">
        <v>138</v>
      </c>
      <c r="O63" s="570">
        <f t="shared" si="59"/>
        <v>488</v>
      </c>
      <c r="P63" s="569">
        <v>350</v>
      </c>
      <c r="Q63" s="595">
        <v>0.25</v>
      </c>
      <c r="R63" s="580">
        <f t="shared" si="0"/>
        <v>0</v>
      </c>
      <c r="S63" s="708">
        <v>0</v>
      </c>
      <c r="T63" s="625">
        <f t="shared" si="43"/>
        <v>0</v>
      </c>
      <c r="U63" s="992">
        <v>0</v>
      </c>
      <c r="V63" s="626">
        <f t="shared" si="44"/>
        <v>0</v>
      </c>
      <c r="W63" s="594">
        <f t="shared" si="45"/>
        <v>0</v>
      </c>
      <c r="X63" s="594">
        <f t="shared" si="4"/>
        <v>0</v>
      </c>
      <c r="Y63" s="594">
        <f t="shared" si="40"/>
        <v>0</v>
      </c>
      <c r="Z63" s="594">
        <f t="shared" si="6"/>
        <v>0</v>
      </c>
      <c r="AA63" s="546">
        <v>825000000</v>
      </c>
      <c r="AB63" s="546">
        <v>825000000</v>
      </c>
      <c r="AC63" s="546">
        <v>0</v>
      </c>
      <c r="AD63" s="546">
        <v>0</v>
      </c>
      <c r="AE63" s="546">
        <v>0</v>
      </c>
      <c r="AF63" s="546">
        <v>0</v>
      </c>
      <c r="AG63" s="546">
        <v>0</v>
      </c>
      <c r="AH63" s="546">
        <v>0</v>
      </c>
      <c r="AI63" s="546">
        <v>0</v>
      </c>
      <c r="AJ63" s="546">
        <v>0</v>
      </c>
      <c r="AK63" s="546">
        <v>0</v>
      </c>
      <c r="AL63" s="546">
        <v>0</v>
      </c>
      <c r="AM63" s="546">
        <v>0</v>
      </c>
      <c r="AN63" s="546">
        <v>0</v>
      </c>
      <c r="AO63" s="546">
        <v>0</v>
      </c>
      <c r="AP63" s="546">
        <v>0</v>
      </c>
      <c r="AQ63" s="546">
        <v>0</v>
      </c>
      <c r="AR63" s="546">
        <v>0</v>
      </c>
      <c r="AS63" s="546" t="s">
        <v>2045</v>
      </c>
      <c r="AT63" s="570">
        <f t="shared" si="7"/>
        <v>0</v>
      </c>
      <c r="AU63" s="570">
        <v>0</v>
      </c>
      <c r="AV63" s="625">
        <f t="shared" si="46"/>
        <v>0</v>
      </c>
      <c r="AW63" s="1003">
        <v>0</v>
      </c>
      <c r="AX63" s="724">
        <f t="shared" si="47"/>
        <v>0</v>
      </c>
      <c r="AY63" s="724">
        <f t="shared" si="48"/>
        <v>0</v>
      </c>
      <c r="AZ63" s="724">
        <f t="shared" si="11"/>
        <v>0</v>
      </c>
      <c r="BA63" s="594">
        <f t="shared" si="12"/>
        <v>0</v>
      </c>
      <c r="BB63" s="594">
        <f t="shared" si="13"/>
        <v>0</v>
      </c>
      <c r="BC63" s="546">
        <v>220000000</v>
      </c>
      <c r="BD63" s="546">
        <v>0</v>
      </c>
      <c r="BE63" s="546">
        <v>220000000</v>
      </c>
      <c r="BF63" s="546">
        <v>0</v>
      </c>
      <c r="BG63" s="546">
        <v>0</v>
      </c>
      <c r="BH63" s="546">
        <v>0</v>
      </c>
      <c r="BI63" s="546">
        <v>0</v>
      </c>
      <c r="BJ63" s="546">
        <v>0</v>
      </c>
      <c r="BK63" s="723">
        <v>9539956048</v>
      </c>
      <c r="BL63" s="722">
        <v>175680000</v>
      </c>
      <c r="BM63" s="722">
        <v>0</v>
      </c>
      <c r="BN63" s="722">
        <v>0</v>
      </c>
      <c r="BO63" s="722">
        <v>0</v>
      </c>
      <c r="BP63" s="722">
        <v>9364276048</v>
      </c>
      <c r="BQ63" s="722">
        <v>0</v>
      </c>
      <c r="BR63" s="722">
        <v>0</v>
      </c>
      <c r="BS63" s="722">
        <v>0</v>
      </c>
      <c r="BT63" s="722">
        <v>0</v>
      </c>
      <c r="BU63" s="722">
        <v>0</v>
      </c>
      <c r="BV63" s="580">
        <f t="shared" si="14"/>
        <v>0.13500000000000001</v>
      </c>
      <c r="BW63" s="588">
        <v>189</v>
      </c>
      <c r="BX63" s="623">
        <f t="shared" si="49"/>
        <v>0.54</v>
      </c>
      <c r="BY63" s="607">
        <v>189</v>
      </c>
      <c r="BZ63" s="629">
        <v>189</v>
      </c>
      <c r="CA63" s="1017">
        <v>793</v>
      </c>
      <c r="CB63" s="721">
        <f t="shared" si="50"/>
        <v>793</v>
      </c>
      <c r="CC63" s="721">
        <f t="shared" si="51"/>
        <v>419.5767195767196</v>
      </c>
      <c r="CD63" s="720">
        <f t="shared" si="18"/>
        <v>100</v>
      </c>
      <c r="CE63" s="618">
        <f t="shared" si="19"/>
        <v>0.13500000000000001</v>
      </c>
      <c r="CF63" s="719">
        <f t="shared" si="20"/>
        <v>100</v>
      </c>
      <c r="CG63" s="618">
        <f t="shared" si="21"/>
        <v>0.5664285714285715</v>
      </c>
      <c r="CH63" s="718">
        <f t="shared" si="22"/>
        <v>0.115</v>
      </c>
      <c r="CI63" s="552">
        <v>161</v>
      </c>
      <c r="CJ63" s="551">
        <f t="shared" si="52"/>
        <v>0.46</v>
      </c>
      <c r="CK63" s="874">
        <v>0</v>
      </c>
      <c r="CL63" s="533">
        <f t="shared" si="53"/>
        <v>161</v>
      </c>
      <c r="CM63" s="619">
        <f t="shared" si="54"/>
        <v>0</v>
      </c>
      <c r="CN63" s="619">
        <f t="shared" si="55"/>
        <v>0</v>
      </c>
      <c r="CO63" s="549">
        <f t="shared" si="27"/>
        <v>0</v>
      </c>
      <c r="CP63" s="619">
        <f t="shared" si="28"/>
        <v>0</v>
      </c>
      <c r="CQ63" s="619">
        <f t="shared" si="29"/>
        <v>0</v>
      </c>
      <c r="CR63" s="546">
        <v>293000000</v>
      </c>
      <c r="CS63" s="546">
        <v>293000000</v>
      </c>
      <c r="CT63" s="546">
        <v>0</v>
      </c>
      <c r="CU63" s="546">
        <v>0</v>
      </c>
      <c r="CV63" s="546">
        <v>0</v>
      </c>
      <c r="CW63" s="546">
        <v>0</v>
      </c>
      <c r="CX63" s="546">
        <v>0</v>
      </c>
      <c r="CY63" s="546">
        <v>0</v>
      </c>
      <c r="CZ63" s="618">
        <v>0</v>
      </c>
      <c r="DA63" s="618">
        <v>0</v>
      </c>
      <c r="DB63" s="618">
        <v>0</v>
      </c>
      <c r="DC63" s="618">
        <v>0</v>
      </c>
      <c r="DD63" s="618">
        <v>0</v>
      </c>
      <c r="DE63" s="618">
        <v>0</v>
      </c>
      <c r="DF63" s="618">
        <v>0</v>
      </c>
      <c r="DG63" s="618">
        <v>0</v>
      </c>
      <c r="DH63" s="618">
        <v>0</v>
      </c>
      <c r="DI63" s="618">
        <v>0</v>
      </c>
      <c r="DJ63" s="618">
        <v>0</v>
      </c>
      <c r="DK63" s="1034">
        <f t="shared" si="56"/>
        <v>793</v>
      </c>
      <c r="DL63" s="543">
        <f t="shared" si="31"/>
        <v>0.25</v>
      </c>
      <c r="DM63" s="542">
        <f t="shared" si="32"/>
        <v>226.57142857142858</v>
      </c>
      <c r="DN63" s="594">
        <f t="shared" si="33"/>
        <v>100</v>
      </c>
      <c r="DO63" s="540">
        <f t="shared" si="34"/>
        <v>0.25</v>
      </c>
      <c r="DP63" s="597">
        <f t="shared" si="60"/>
        <v>0.25</v>
      </c>
      <c r="DQ63" s="538">
        <f t="shared" si="35"/>
        <v>0.25</v>
      </c>
      <c r="DR63" s="617">
        <f t="shared" si="36"/>
        <v>1</v>
      </c>
      <c r="DS63" s="616">
        <f t="shared" si="37"/>
        <v>0</v>
      </c>
      <c r="DT63" s="259">
        <v>77</v>
      </c>
      <c r="DU63" s="260" t="s">
        <v>288</v>
      </c>
      <c r="DV63" s="259"/>
      <c r="DW63" s="260" t="s">
        <v>242</v>
      </c>
      <c r="DX63" s="259"/>
      <c r="DY63" s="259"/>
      <c r="DZ63" s="259"/>
      <c r="EA63" s="987"/>
      <c r="EB63" s="1041" t="s">
        <v>2412</v>
      </c>
      <c r="EC63" s="802">
        <v>220000000</v>
      </c>
      <c r="EE63" s="1047"/>
    </row>
    <row r="64" spans="4:135" s="534" customFormat="1" ht="89.25" hidden="1" x14ac:dyDescent="0.3">
      <c r="D64" s="783">
        <v>61</v>
      </c>
      <c r="E64" s="799">
        <v>88</v>
      </c>
      <c r="F64" s="574" t="s">
        <v>200</v>
      </c>
      <c r="G64" s="574" t="s">
        <v>8</v>
      </c>
      <c r="H64" s="574" t="s">
        <v>140</v>
      </c>
      <c r="I64" s="574" t="s">
        <v>346</v>
      </c>
      <c r="J64" s="573" t="s">
        <v>1421</v>
      </c>
      <c r="K64" s="573" t="s">
        <v>457</v>
      </c>
      <c r="L64" s="702" t="s">
        <v>2040</v>
      </c>
      <c r="M64" s="570" t="s">
        <v>2017</v>
      </c>
      <c r="N64" s="570">
        <v>0</v>
      </c>
      <c r="O64" s="570">
        <f t="shared" si="59"/>
        <v>80</v>
      </c>
      <c r="P64" s="569">
        <v>80</v>
      </c>
      <c r="Q64" s="738">
        <v>0.25</v>
      </c>
      <c r="R64" s="580">
        <f t="shared" si="0"/>
        <v>0</v>
      </c>
      <c r="S64" s="708">
        <v>0</v>
      </c>
      <c r="T64" s="625">
        <f t="shared" si="43"/>
        <v>0</v>
      </c>
      <c r="U64" s="992">
        <v>0</v>
      </c>
      <c r="V64" s="626">
        <f t="shared" si="44"/>
        <v>0</v>
      </c>
      <c r="W64" s="594">
        <f t="shared" si="45"/>
        <v>0</v>
      </c>
      <c r="X64" s="594">
        <f t="shared" si="4"/>
        <v>0</v>
      </c>
      <c r="Y64" s="594">
        <f t="shared" si="40"/>
        <v>0</v>
      </c>
      <c r="Z64" s="594">
        <f t="shared" si="6"/>
        <v>0</v>
      </c>
      <c r="AA64" s="546">
        <v>108000000</v>
      </c>
      <c r="AB64" s="546">
        <v>108000000</v>
      </c>
      <c r="AC64" s="546">
        <v>0</v>
      </c>
      <c r="AD64" s="546">
        <v>0</v>
      </c>
      <c r="AE64" s="546">
        <v>0</v>
      </c>
      <c r="AF64" s="546">
        <v>0</v>
      </c>
      <c r="AG64" s="546">
        <v>0</v>
      </c>
      <c r="AH64" s="546">
        <v>0</v>
      </c>
      <c r="AI64" s="546">
        <v>0</v>
      </c>
      <c r="AJ64" s="546">
        <v>0</v>
      </c>
      <c r="AK64" s="546">
        <v>0</v>
      </c>
      <c r="AL64" s="546">
        <v>0</v>
      </c>
      <c r="AM64" s="546">
        <v>0</v>
      </c>
      <c r="AN64" s="546">
        <v>0</v>
      </c>
      <c r="AO64" s="546">
        <v>0</v>
      </c>
      <c r="AP64" s="546">
        <v>0</v>
      </c>
      <c r="AQ64" s="546">
        <v>0</v>
      </c>
      <c r="AR64" s="546">
        <v>0</v>
      </c>
      <c r="AS64" s="546" t="s">
        <v>2045</v>
      </c>
      <c r="AT64" s="630">
        <f t="shared" si="7"/>
        <v>0.1</v>
      </c>
      <c r="AU64" s="570">
        <v>32</v>
      </c>
      <c r="AV64" s="625">
        <f t="shared" si="46"/>
        <v>0.4</v>
      </c>
      <c r="AW64" s="1003">
        <v>32</v>
      </c>
      <c r="AX64" s="724">
        <f t="shared" si="47"/>
        <v>32</v>
      </c>
      <c r="AY64" s="724">
        <f t="shared" si="48"/>
        <v>100</v>
      </c>
      <c r="AZ64" s="724">
        <f t="shared" si="11"/>
        <v>100</v>
      </c>
      <c r="BA64" s="594">
        <f t="shared" si="12"/>
        <v>0.1</v>
      </c>
      <c r="BB64" s="594">
        <f t="shared" si="13"/>
        <v>100</v>
      </c>
      <c r="BC64" s="546">
        <v>78000000</v>
      </c>
      <c r="BD64" s="546">
        <v>0</v>
      </c>
      <c r="BE64" s="546">
        <v>78000000</v>
      </c>
      <c r="BF64" s="546">
        <v>0</v>
      </c>
      <c r="BG64" s="546">
        <v>0</v>
      </c>
      <c r="BH64" s="546">
        <v>0</v>
      </c>
      <c r="BI64" s="546">
        <v>0</v>
      </c>
      <c r="BJ64" s="546">
        <v>0</v>
      </c>
      <c r="BK64" s="723">
        <v>77999991</v>
      </c>
      <c r="BL64" s="722">
        <v>77999991</v>
      </c>
      <c r="BM64" s="722">
        <v>0</v>
      </c>
      <c r="BN64" s="722">
        <v>0</v>
      </c>
      <c r="BO64" s="722">
        <v>0</v>
      </c>
      <c r="BP64" s="722">
        <v>0</v>
      </c>
      <c r="BQ64" s="722">
        <v>0</v>
      </c>
      <c r="BR64" s="722">
        <v>0</v>
      </c>
      <c r="BS64" s="722">
        <v>0</v>
      </c>
      <c r="BT64" s="722">
        <v>5200000</v>
      </c>
      <c r="BU64" s="722" t="s">
        <v>1784</v>
      </c>
      <c r="BV64" s="580">
        <f t="shared" si="14"/>
        <v>3.7499999999999999E-2</v>
      </c>
      <c r="BW64" s="588">
        <v>12</v>
      </c>
      <c r="BX64" s="623">
        <f t="shared" si="49"/>
        <v>0.15</v>
      </c>
      <c r="BY64" s="607">
        <v>0</v>
      </c>
      <c r="BZ64" s="629">
        <v>12</v>
      </c>
      <c r="CA64" s="1017">
        <v>10</v>
      </c>
      <c r="CB64" s="721">
        <f t="shared" si="50"/>
        <v>10</v>
      </c>
      <c r="CC64" s="721">
        <f t="shared" si="51"/>
        <v>83.333333333333329</v>
      </c>
      <c r="CD64" s="720">
        <f t="shared" si="18"/>
        <v>83.333333333333329</v>
      </c>
      <c r="CE64" s="618">
        <f t="shared" si="19"/>
        <v>3.1249999999999997E-2</v>
      </c>
      <c r="CF64" s="719">
        <f t="shared" si="20"/>
        <v>83.333333333333329</v>
      </c>
      <c r="CG64" s="618">
        <f t="shared" si="21"/>
        <v>3.1249999999999997E-2</v>
      </c>
      <c r="CH64" s="718">
        <f t="shared" si="22"/>
        <v>0.1125</v>
      </c>
      <c r="CI64" s="552">
        <v>36</v>
      </c>
      <c r="CJ64" s="551">
        <f t="shared" si="52"/>
        <v>0.45</v>
      </c>
      <c r="CK64" s="874">
        <v>0</v>
      </c>
      <c r="CL64" s="533">
        <f t="shared" si="53"/>
        <v>36</v>
      </c>
      <c r="CM64" s="619">
        <f t="shared" si="54"/>
        <v>0</v>
      </c>
      <c r="CN64" s="619">
        <f t="shared" si="55"/>
        <v>0</v>
      </c>
      <c r="CO64" s="549">
        <f t="shared" si="27"/>
        <v>0</v>
      </c>
      <c r="CP64" s="619">
        <f t="shared" si="28"/>
        <v>0</v>
      </c>
      <c r="CQ64" s="619">
        <f t="shared" si="29"/>
        <v>0</v>
      </c>
      <c r="CR64" s="546">
        <v>180000000</v>
      </c>
      <c r="CS64" s="546">
        <v>180000000</v>
      </c>
      <c r="CT64" s="546">
        <v>0</v>
      </c>
      <c r="CU64" s="546">
        <v>0</v>
      </c>
      <c r="CV64" s="546">
        <v>0</v>
      </c>
      <c r="CW64" s="546">
        <v>0</v>
      </c>
      <c r="CX64" s="546">
        <v>0</v>
      </c>
      <c r="CY64" s="546">
        <v>0</v>
      </c>
      <c r="CZ64" s="618">
        <v>0</v>
      </c>
      <c r="DA64" s="618">
        <v>0</v>
      </c>
      <c r="DB64" s="618">
        <v>0</v>
      </c>
      <c r="DC64" s="618">
        <v>0</v>
      </c>
      <c r="DD64" s="618">
        <v>0</v>
      </c>
      <c r="DE64" s="618">
        <v>0</v>
      </c>
      <c r="DF64" s="618">
        <v>0</v>
      </c>
      <c r="DG64" s="618">
        <v>0</v>
      </c>
      <c r="DH64" s="618">
        <v>0</v>
      </c>
      <c r="DI64" s="618">
        <v>0</v>
      </c>
      <c r="DJ64" s="618">
        <v>0</v>
      </c>
      <c r="DK64" s="1034">
        <f t="shared" si="56"/>
        <v>42</v>
      </c>
      <c r="DL64" s="543">
        <f t="shared" si="31"/>
        <v>0.25</v>
      </c>
      <c r="DM64" s="542">
        <f t="shared" si="32"/>
        <v>52.5</v>
      </c>
      <c r="DN64" s="594">
        <f t="shared" si="33"/>
        <v>52.5</v>
      </c>
      <c r="DO64" s="540">
        <f t="shared" si="34"/>
        <v>0.13125000000000001</v>
      </c>
      <c r="DP64" s="597">
        <f t="shared" si="60"/>
        <v>0.13125000000000001</v>
      </c>
      <c r="DQ64" s="538">
        <f t="shared" si="35"/>
        <v>0.13125000000000001</v>
      </c>
      <c r="DR64" s="617">
        <f t="shared" si="36"/>
        <v>1</v>
      </c>
      <c r="DS64" s="616">
        <f t="shared" si="37"/>
        <v>0</v>
      </c>
      <c r="DT64" s="259">
        <v>77</v>
      </c>
      <c r="DU64" s="260" t="s">
        <v>288</v>
      </c>
      <c r="DV64" s="259"/>
      <c r="DW64" s="260" t="s">
        <v>242</v>
      </c>
      <c r="DX64" s="259"/>
      <c r="DY64" s="259"/>
      <c r="DZ64" s="259"/>
      <c r="EA64" s="987"/>
      <c r="EB64" s="1041" t="s">
        <v>2413</v>
      </c>
      <c r="EC64" s="802">
        <v>180000000</v>
      </c>
      <c r="EE64" s="1047"/>
    </row>
    <row r="65" spans="4:135" s="534" customFormat="1" ht="102" hidden="1" x14ac:dyDescent="0.3">
      <c r="D65" s="783">
        <v>62</v>
      </c>
      <c r="E65" s="800">
        <v>89</v>
      </c>
      <c r="F65" s="789" t="s">
        <v>200</v>
      </c>
      <c r="G65" s="787" t="s">
        <v>8</v>
      </c>
      <c r="H65" s="788" t="s">
        <v>140</v>
      </c>
      <c r="I65" s="712" t="s">
        <v>346</v>
      </c>
      <c r="J65" s="573" t="s">
        <v>458</v>
      </c>
      <c r="K65" s="573" t="s">
        <v>459</v>
      </c>
      <c r="L65" s="702" t="s">
        <v>2040</v>
      </c>
      <c r="M65" s="577" t="s">
        <v>2017</v>
      </c>
      <c r="N65" s="570">
        <v>0</v>
      </c>
      <c r="O65" s="570">
        <f t="shared" si="59"/>
        <v>15</v>
      </c>
      <c r="P65" s="569">
        <v>15</v>
      </c>
      <c r="Q65" s="595">
        <v>0.25</v>
      </c>
      <c r="R65" s="567">
        <f t="shared" si="0"/>
        <v>6.6666666666666666E-2</v>
      </c>
      <c r="S65" s="737">
        <v>4</v>
      </c>
      <c r="T65" s="562">
        <f t="shared" si="43"/>
        <v>0.26666666666666666</v>
      </c>
      <c r="U65" s="991">
        <v>4</v>
      </c>
      <c r="V65" s="614">
        <f t="shared" si="44"/>
        <v>4</v>
      </c>
      <c r="W65" s="541">
        <f t="shared" si="45"/>
        <v>100</v>
      </c>
      <c r="X65" s="541">
        <f t="shared" si="4"/>
        <v>100</v>
      </c>
      <c r="Y65" s="541">
        <f t="shared" si="40"/>
        <v>6.6666666666666666E-2</v>
      </c>
      <c r="Z65" s="541">
        <f t="shared" si="6"/>
        <v>100</v>
      </c>
      <c r="AA65" s="599">
        <v>725000000</v>
      </c>
      <c r="AB65" s="599">
        <v>725000000</v>
      </c>
      <c r="AC65" s="599">
        <v>0</v>
      </c>
      <c r="AD65" s="599">
        <v>0</v>
      </c>
      <c r="AE65" s="599">
        <v>0</v>
      </c>
      <c r="AF65" s="599">
        <v>0</v>
      </c>
      <c r="AG65" s="599">
        <v>0</v>
      </c>
      <c r="AH65" s="599">
        <v>0</v>
      </c>
      <c r="AI65" s="599">
        <v>818992000</v>
      </c>
      <c r="AJ65" s="599">
        <v>818992000</v>
      </c>
      <c r="AK65" s="599">
        <v>0</v>
      </c>
      <c r="AL65" s="599">
        <v>0</v>
      </c>
      <c r="AM65" s="599">
        <v>0</v>
      </c>
      <c r="AN65" s="599">
        <v>0</v>
      </c>
      <c r="AO65" s="599">
        <v>0</v>
      </c>
      <c r="AP65" s="599">
        <v>0</v>
      </c>
      <c r="AQ65" s="599">
        <v>0</v>
      </c>
      <c r="AR65" s="599">
        <v>0</v>
      </c>
      <c r="AS65" s="599" t="s">
        <v>2045</v>
      </c>
      <c r="AT65" s="577">
        <f t="shared" si="7"/>
        <v>0.05</v>
      </c>
      <c r="AU65" s="577">
        <v>3</v>
      </c>
      <c r="AV65" s="562">
        <f t="shared" si="46"/>
        <v>0.2</v>
      </c>
      <c r="AW65" s="1004">
        <v>5</v>
      </c>
      <c r="AX65" s="736">
        <f t="shared" si="47"/>
        <v>5</v>
      </c>
      <c r="AY65" s="736">
        <f t="shared" si="48"/>
        <v>166.66666666666666</v>
      </c>
      <c r="AZ65" s="736">
        <f t="shared" si="11"/>
        <v>100</v>
      </c>
      <c r="BA65" s="541">
        <f t="shared" si="12"/>
        <v>0.05</v>
      </c>
      <c r="BB65" s="541">
        <f t="shared" si="13"/>
        <v>100</v>
      </c>
      <c r="BC65" s="599">
        <v>524000000</v>
      </c>
      <c r="BD65" s="599">
        <v>0</v>
      </c>
      <c r="BE65" s="599">
        <v>524000000</v>
      </c>
      <c r="BF65" s="599">
        <v>0</v>
      </c>
      <c r="BG65" s="599">
        <v>0</v>
      </c>
      <c r="BH65" s="599">
        <v>0</v>
      </c>
      <c r="BI65" s="599">
        <v>0</v>
      </c>
      <c r="BJ65" s="599">
        <v>0</v>
      </c>
      <c r="BK65" s="735">
        <v>495100000</v>
      </c>
      <c r="BL65" s="734">
        <v>495100000</v>
      </c>
      <c r="BM65" s="734">
        <v>0</v>
      </c>
      <c r="BN65" s="734">
        <v>0</v>
      </c>
      <c r="BO65" s="734">
        <v>0</v>
      </c>
      <c r="BP65" s="734">
        <v>0</v>
      </c>
      <c r="BQ65" s="734">
        <v>0</v>
      </c>
      <c r="BR65" s="734">
        <v>0</v>
      </c>
      <c r="BS65" s="734">
        <v>0</v>
      </c>
      <c r="BT65" s="734">
        <v>3000000</v>
      </c>
      <c r="BU65" s="734" t="s">
        <v>1784</v>
      </c>
      <c r="BV65" s="567">
        <f t="shared" si="14"/>
        <v>6.6666666666666666E-2</v>
      </c>
      <c r="BW65" s="560">
        <v>4</v>
      </c>
      <c r="BX65" s="559">
        <f t="shared" si="49"/>
        <v>0.26666666666666666</v>
      </c>
      <c r="BY65" s="733">
        <v>0</v>
      </c>
      <c r="BZ65" s="732">
        <v>0</v>
      </c>
      <c r="CA65" s="1017">
        <v>6</v>
      </c>
      <c r="CB65" s="721">
        <f t="shared" si="50"/>
        <v>6</v>
      </c>
      <c r="CC65" s="721">
        <f t="shared" si="51"/>
        <v>150</v>
      </c>
      <c r="CD65" s="731">
        <f t="shared" si="18"/>
        <v>100</v>
      </c>
      <c r="CE65" s="598">
        <f t="shared" si="19"/>
        <v>6.6666666666666666E-2</v>
      </c>
      <c r="CF65" s="730">
        <f t="shared" si="20"/>
        <v>100</v>
      </c>
      <c r="CG65" s="598">
        <f t="shared" si="21"/>
        <v>0.1</v>
      </c>
      <c r="CH65" s="729">
        <f t="shared" si="22"/>
        <v>6.6666666666666666E-2</v>
      </c>
      <c r="CI65" s="602">
        <v>4</v>
      </c>
      <c r="CJ65" s="601">
        <f t="shared" si="52"/>
        <v>0.26666666666666666</v>
      </c>
      <c r="CK65" s="874">
        <v>0</v>
      </c>
      <c r="CL65" s="533">
        <f t="shared" si="53"/>
        <v>4</v>
      </c>
      <c r="CM65" s="600">
        <f t="shared" si="54"/>
        <v>0</v>
      </c>
      <c r="CN65" s="600">
        <f t="shared" si="55"/>
        <v>0</v>
      </c>
      <c r="CO65" s="549">
        <f t="shared" si="27"/>
        <v>0</v>
      </c>
      <c r="CP65" s="600">
        <f t="shared" si="28"/>
        <v>0</v>
      </c>
      <c r="CQ65" s="600">
        <f t="shared" si="29"/>
        <v>0</v>
      </c>
      <c r="CR65" s="599">
        <v>1209000000</v>
      </c>
      <c r="CS65" s="599">
        <v>1209000000</v>
      </c>
      <c r="CT65" s="599">
        <v>0</v>
      </c>
      <c r="CU65" s="599">
        <v>0</v>
      </c>
      <c r="CV65" s="599">
        <v>0</v>
      </c>
      <c r="CW65" s="599">
        <v>0</v>
      </c>
      <c r="CX65" s="599">
        <v>0</v>
      </c>
      <c r="CY65" s="599">
        <v>0</v>
      </c>
      <c r="CZ65" s="598">
        <v>0</v>
      </c>
      <c r="DA65" s="598">
        <v>0</v>
      </c>
      <c r="DB65" s="598">
        <v>0</v>
      </c>
      <c r="DC65" s="598">
        <v>0</v>
      </c>
      <c r="DD65" s="598">
        <v>0</v>
      </c>
      <c r="DE65" s="598">
        <v>0</v>
      </c>
      <c r="DF65" s="598">
        <v>0</v>
      </c>
      <c r="DG65" s="598">
        <v>0</v>
      </c>
      <c r="DH65" s="598">
        <v>0</v>
      </c>
      <c r="DI65" s="598">
        <v>0</v>
      </c>
      <c r="DJ65" s="598">
        <v>0</v>
      </c>
      <c r="DK65" s="1034">
        <f t="shared" si="56"/>
        <v>15</v>
      </c>
      <c r="DL65" s="543">
        <f t="shared" si="31"/>
        <v>0.25</v>
      </c>
      <c r="DM65" s="542">
        <f t="shared" si="32"/>
        <v>100</v>
      </c>
      <c r="DN65" s="541">
        <f t="shared" si="33"/>
        <v>100</v>
      </c>
      <c r="DO65" s="540">
        <f t="shared" si="34"/>
        <v>0.25</v>
      </c>
      <c r="DP65" s="539">
        <f t="shared" si="60"/>
        <v>0.25</v>
      </c>
      <c r="DQ65" s="538">
        <f t="shared" si="35"/>
        <v>0.25</v>
      </c>
      <c r="DR65" s="537">
        <f t="shared" si="36"/>
        <v>1</v>
      </c>
      <c r="DS65" s="536">
        <f t="shared" si="37"/>
        <v>0</v>
      </c>
      <c r="DT65" s="259">
        <v>75</v>
      </c>
      <c r="DU65" s="260" t="s">
        <v>390</v>
      </c>
      <c r="DV65" s="259">
        <v>76</v>
      </c>
      <c r="DW65" s="260" t="s">
        <v>289</v>
      </c>
      <c r="DX65" s="259">
        <v>77</v>
      </c>
      <c r="DY65" s="259">
        <v>78</v>
      </c>
      <c r="DZ65" s="259"/>
      <c r="EA65" s="987"/>
      <c r="EB65" s="1041" t="s">
        <v>2414</v>
      </c>
      <c r="EC65" s="802">
        <v>1209000000</v>
      </c>
      <c r="EE65" s="1047"/>
    </row>
    <row r="66" spans="4:135" s="534" customFormat="1" ht="114.75" hidden="1" x14ac:dyDescent="0.3">
      <c r="D66" s="783">
        <v>63</v>
      </c>
      <c r="E66" s="799">
        <v>90</v>
      </c>
      <c r="F66" s="574" t="s">
        <v>200</v>
      </c>
      <c r="G66" s="574" t="s">
        <v>8</v>
      </c>
      <c r="H66" s="574" t="s">
        <v>140</v>
      </c>
      <c r="I66" s="574" t="s">
        <v>346</v>
      </c>
      <c r="J66" s="573" t="s">
        <v>1422</v>
      </c>
      <c r="K66" s="573" t="s">
        <v>460</v>
      </c>
      <c r="L66" s="702" t="s">
        <v>2040</v>
      </c>
      <c r="M66" s="570" t="s">
        <v>2017</v>
      </c>
      <c r="N66" s="570">
        <v>1</v>
      </c>
      <c r="O66" s="570">
        <f t="shared" si="59"/>
        <v>56</v>
      </c>
      <c r="P66" s="569">
        <v>55</v>
      </c>
      <c r="Q66" s="631">
        <v>0.33</v>
      </c>
      <c r="R66" s="580">
        <f t="shared" si="0"/>
        <v>0.29399999999999998</v>
      </c>
      <c r="S66" s="708">
        <v>49</v>
      </c>
      <c r="T66" s="625">
        <f t="shared" si="43"/>
        <v>0.89090909090909087</v>
      </c>
      <c r="U66" s="992">
        <v>49</v>
      </c>
      <c r="V66" s="626">
        <f t="shared" si="44"/>
        <v>49</v>
      </c>
      <c r="W66" s="594">
        <f t="shared" si="45"/>
        <v>100</v>
      </c>
      <c r="X66" s="594">
        <f t="shared" si="4"/>
        <v>100</v>
      </c>
      <c r="Y66" s="594">
        <f t="shared" si="40"/>
        <v>0.29399999999999998</v>
      </c>
      <c r="Z66" s="594">
        <f t="shared" si="6"/>
        <v>100</v>
      </c>
      <c r="AA66" s="546">
        <v>597000000</v>
      </c>
      <c r="AB66" s="546">
        <v>597000000</v>
      </c>
      <c r="AC66" s="546">
        <v>0</v>
      </c>
      <c r="AD66" s="546">
        <v>0</v>
      </c>
      <c r="AE66" s="546">
        <v>0</v>
      </c>
      <c r="AF66" s="546">
        <v>0</v>
      </c>
      <c r="AG66" s="546">
        <v>0</v>
      </c>
      <c r="AH66" s="546">
        <v>0</v>
      </c>
      <c r="AI66" s="546">
        <v>0</v>
      </c>
      <c r="AJ66" s="546">
        <v>0</v>
      </c>
      <c r="AK66" s="546">
        <v>0</v>
      </c>
      <c r="AL66" s="546">
        <v>0</v>
      </c>
      <c r="AM66" s="546">
        <v>0</v>
      </c>
      <c r="AN66" s="546">
        <v>0</v>
      </c>
      <c r="AO66" s="546">
        <v>0</v>
      </c>
      <c r="AP66" s="546">
        <v>0</v>
      </c>
      <c r="AQ66" s="546">
        <v>0</v>
      </c>
      <c r="AR66" s="546">
        <v>0</v>
      </c>
      <c r="AS66" s="546" t="s">
        <v>2045</v>
      </c>
      <c r="AT66" s="630">
        <f t="shared" si="7"/>
        <v>1.2E-2</v>
      </c>
      <c r="AU66" s="570">
        <v>2</v>
      </c>
      <c r="AV66" s="625">
        <f t="shared" si="46"/>
        <v>3.6363636363636362E-2</v>
      </c>
      <c r="AW66" s="1003">
        <v>2</v>
      </c>
      <c r="AX66" s="724">
        <f t="shared" si="47"/>
        <v>2</v>
      </c>
      <c r="AY66" s="724">
        <f t="shared" si="48"/>
        <v>100</v>
      </c>
      <c r="AZ66" s="724">
        <f t="shared" si="11"/>
        <v>100</v>
      </c>
      <c r="BA66" s="594">
        <f t="shared" si="12"/>
        <v>1.2E-2</v>
      </c>
      <c r="BB66" s="594">
        <f t="shared" si="13"/>
        <v>100</v>
      </c>
      <c r="BC66" s="546">
        <v>431000000</v>
      </c>
      <c r="BD66" s="546">
        <v>0</v>
      </c>
      <c r="BE66" s="546">
        <v>431000000</v>
      </c>
      <c r="BF66" s="546">
        <v>0</v>
      </c>
      <c r="BG66" s="546">
        <v>0</v>
      </c>
      <c r="BH66" s="546">
        <v>0</v>
      </c>
      <c r="BI66" s="546">
        <v>0</v>
      </c>
      <c r="BJ66" s="546">
        <v>0</v>
      </c>
      <c r="BK66" s="723">
        <v>1213918980</v>
      </c>
      <c r="BL66" s="722">
        <v>1213918980</v>
      </c>
      <c r="BM66" s="722">
        <v>0</v>
      </c>
      <c r="BN66" s="722">
        <v>0</v>
      </c>
      <c r="BO66" s="722">
        <v>0</v>
      </c>
      <c r="BP66" s="722">
        <v>0</v>
      </c>
      <c r="BQ66" s="722">
        <v>0</v>
      </c>
      <c r="BR66" s="722">
        <v>0</v>
      </c>
      <c r="BS66" s="722">
        <v>0</v>
      </c>
      <c r="BT66" s="722">
        <v>0</v>
      </c>
      <c r="BU66" s="722">
        <v>0</v>
      </c>
      <c r="BV66" s="580">
        <f t="shared" si="14"/>
        <v>1.7999999999999999E-2</v>
      </c>
      <c r="BW66" s="588">
        <v>3</v>
      </c>
      <c r="BX66" s="623">
        <f t="shared" si="49"/>
        <v>5.4545454545454543E-2</v>
      </c>
      <c r="BY66" s="607">
        <v>72</v>
      </c>
      <c r="BZ66" s="629">
        <v>3</v>
      </c>
      <c r="CA66" s="1017">
        <v>3</v>
      </c>
      <c r="CB66" s="721">
        <f t="shared" si="50"/>
        <v>3</v>
      </c>
      <c r="CC66" s="721">
        <f t="shared" si="51"/>
        <v>100</v>
      </c>
      <c r="CD66" s="720">
        <f t="shared" si="18"/>
        <v>100</v>
      </c>
      <c r="CE66" s="618">
        <f t="shared" si="19"/>
        <v>1.7999999999999999E-2</v>
      </c>
      <c r="CF66" s="719">
        <f t="shared" si="20"/>
        <v>100</v>
      </c>
      <c r="CG66" s="618">
        <f t="shared" si="21"/>
        <v>1.7999999999999999E-2</v>
      </c>
      <c r="CH66" s="718">
        <f t="shared" si="22"/>
        <v>6.0000000000000001E-3</v>
      </c>
      <c r="CI66" s="552">
        <v>1</v>
      </c>
      <c r="CJ66" s="551">
        <f t="shared" si="52"/>
        <v>1.8181818181818181E-2</v>
      </c>
      <c r="CK66" s="874">
        <v>0</v>
      </c>
      <c r="CL66" s="533">
        <f t="shared" si="53"/>
        <v>1</v>
      </c>
      <c r="CM66" s="619">
        <f t="shared" si="54"/>
        <v>0</v>
      </c>
      <c r="CN66" s="619">
        <f t="shared" si="55"/>
        <v>0</v>
      </c>
      <c r="CO66" s="549">
        <f t="shared" si="27"/>
        <v>0</v>
      </c>
      <c r="CP66" s="619">
        <f t="shared" si="28"/>
        <v>0</v>
      </c>
      <c r="CQ66" s="619">
        <f t="shared" si="29"/>
        <v>0</v>
      </c>
      <c r="CR66" s="546">
        <v>995000000</v>
      </c>
      <c r="CS66" s="546">
        <v>995000000</v>
      </c>
      <c r="CT66" s="546">
        <v>0</v>
      </c>
      <c r="CU66" s="546">
        <v>0</v>
      </c>
      <c r="CV66" s="546">
        <v>0</v>
      </c>
      <c r="CW66" s="546">
        <v>0</v>
      </c>
      <c r="CX66" s="546">
        <v>0</v>
      </c>
      <c r="CY66" s="546">
        <v>0</v>
      </c>
      <c r="CZ66" s="618">
        <v>0</v>
      </c>
      <c r="DA66" s="618">
        <v>0</v>
      </c>
      <c r="DB66" s="618">
        <v>0</v>
      </c>
      <c r="DC66" s="618">
        <v>0</v>
      </c>
      <c r="DD66" s="618">
        <v>0</v>
      </c>
      <c r="DE66" s="618">
        <v>0</v>
      </c>
      <c r="DF66" s="618">
        <v>0</v>
      </c>
      <c r="DG66" s="618">
        <v>0</v>
      </c>
      <c r="DH66" s="618">
        <v>0</v>
      </c>
      <c r="DI66" s="618">
        <v>0</v>
      </c>
      <c r="DJ66" s="618">
        <v>0</v>
      </c>
      <c r="DK66" s="1034">
        <f t="shared" si="56"/>
        <v>54</v>
      </c>
      <c r="DL66" s="543">
        <f t="shared" si="31"/>
        <v>0.33</v>
      </c>
      <c r="DM66" s="542">
        <f t="shared" si="32"/>
        <v>98.181818181818187</v>
      </c>
      <c r="DN66" s="594">
        <f t="shared" si="33"/>
        <v>98.181818181818187</v>
      </c>
      <c r="DO66" s="540">
        <f t="shared" si="34"/>
        <v>0.32400000000000007</v>
      </c>
      <c r="DP66" s="597">
        <f t="shared" si="60"/>
        <v>0.32400000000000007</v>
      </c>
      <c r="DQ66" s="538">
        <f t="shared" si="35"/>
        <v>0.32400000000000007</v>
      </c>
      <c r="DR66" s="617">
        <f t="shared" si="36"/>
        <v>1</v>
      </c>
      <c r="DS66" s="616">
        <f t="shared" si="37"/>
        <v>3.2959746043559335E-17</v>
      </c>
      <c r="DT66" s="259">
        <v>77</v>
      </c>
      <c r="DU66" s="260" t="s">
        <v>288</v>
      </c>
      <c r="DV66" s="259"/>
      <c r="DW66" s="260" t="s">
        <v>242</v>
      </c>
      <c r="DX66" s="259"/>
      <c r="DY66" s="259"/>
      <c r="DZ66" s="259"/>
      <c r="EA66" s="987"/>
      <c r="EB66" s="1041" t="s">
        <v>2415</v>
      </c>
      <c r="EC66" s="802">
        <v>995000000</v>
      </c>
      <c r="EE66" s="1047"/>
    </row>
    <row r="67" spans="4:135" s="534" customFormat="1" ht="132" hidden="1" x14ac:dyDescent="0.3">
      <c r="D67" s="783">
        <v>64</v>
      </c>
      <c r="E67" s="799">
        <v>91</v>
      </c>
      <c r="F67" s="787" t="s">
        <v>200</v>
      </c>
      <c r="G67" s="787" t="s">
        <v>8</v>
      </c>
      <c r="H67" s="788" t="s">
        <v>140</v>
      </c>
      <c r="I67" s="712" t="s">
        <v>346</v>
      </c>
      <c r="J67" s="573" t="s">
        <v>461</v>
      </c>
      <c r="K67" s="573" t="s">
        <v>462</v>
      </c>
      <c r="L67" s="702" t="s">
        <v>2040</v>
      </c>
      <c r="M67" s="570" t="s">
        <v>2017</v>
      </c>
      <c r="N67" s="570">
        <v>33</v>
      </c>
      <c r="O67" s="570">
        <f t="shared" si="59"/>
        <v>105</v>
      </c>
      <c r="P67" s="569">
        <v>72</v>
      </c>
      <c r="Q67" s="628">
        <v>0.16500000000000001</v>
      </c>
      <c r="R67" s="580">
        <f t="shared" si="0"/>
        <v>4.1250000000000002E-2</v>
      </c>
      <c r="S67" s="708">
        <v>18</v>
      </c>
      <c r="T67" s="625">
        <f t="shared" si="43"/>
        <v>0.25</v>
      </c>
      <c r="U67" s="992">
        <v>0</v>
      </c>
      <c r="V67" s="626">
        <f t="shared" si="44"/>
        <v>0</v>
      </c>
      <c r="W67" s="594">
        <f t="shared" si="45"/>
        <v>0</v>
      </c>
      <c r="X67" s="594">
        <f t="shared" si="4"/>
        <v>0</v>
      </c>
      <c r="Y67" s="594">
        <f t="shared" si="40"/>
        <v>0</v>
      </c>
      <c r="Z67" s="594">
        <f t="shared" si="6"/>
        <v>0</v>
      </c>
      <c r="AA67" s="546">
        <v>0</v>
      </c>
      <c r="AB67" s="546">
        <v>0</v>
      </c>
      <c r="AC67" s="546">
        <v>0</v>
      </c>
      <c r="AD67" s="546">
        <v>0</v>
      </c>
      <c r="AE67" s="546">
        <v>0</v>
      </c>
      <c r="AF67" s="546">
        <v>0</v>
      </c>
      <c r="AG67" s="546">
        <v>0</v>
      </c>
      <c r="AH67" s="546">
        <v>0</v>
      </c>
      <c r="AI67" s="546">
        <v>0</v>
      </c>
      <c r="AJ67" s="546">
        <v>0</v>
      </c>
      <c r="AK67" s="546">
        <v>0</v>
      </c>
      <c r="AL67" s="546">
        <v>0</v>
      </c>
      <c r="AM67" s="546">
        <v>0</v>
      </c>
      <c r="AN67" s="546">
        <v>0</v>
      </c>
      <c r="AO67" s="546">
        <v>0</v>
      </c>
      <c r="AP67" s="546">
        <v>0</v>
      </c>
      <c r="AQ67" s="546">
        <v>0</v>
      </c>
      <c r="AR67" s="546">
        <v>0</v>
      </c>
      <c r="AS67" s="546" t="s">
        <v>2045</v>
      </c>
      <c r="AT67" s="570">
        <f t="shared" si="7"/>
        <v>4.1250000000000002E-2</v>
      </c>
      <c r="AU67" s="570">
        <v>18</v>
      </c>
      <c r="AV67" s="625">
        <f t="shared" si="46"/>
        <v>0.25</v>
      </c>
      <c r="AW67" s="1003">
        <v>18</v>
      </c>
      <c r="AX67" s="724">
        <f t="shared" si="47"/>
        <v>18</v>
      </c>
      <c r="AY67" s="724">
        <f t="shared" si="48"/>
        <v>100</v>
      </c>
      <c r="AZ67" s="724">
        <f t="shared" si="11"/>
        <v>100</v>
      </c>
      <c r="BA67" s="594">
        <f t="shared" si="12"/>
        <v>4.1250000000000002E-2</v>
      </c>
      <c r="BB67" s="594">
        <f t="shared" si="13"/>
        <v>100</v>
      </c>
      <c r="BC67" s="546">
        <v>108000000</v>
      </c>
      <c r="BD67" s="546">
        <v>0</v>
      </c>
      <c r="BE67" s="546">
        <v>108000000</v>
      </c>
      <c r="BF67" s="546">
        <v>0</v>
      </c>
      <c r="BG67" s="546">
        <v>0</v>
      </c>
      <c r="BH67" s="546">
        <v>0</v>
      </c>
      <c r="BI67" s="546">
        <v>0</v>
      </c>
      <c r="BJ67" s="546">
        <v>0</v>
      </c>
      <c r="BK67" s="723">
        <v>21332960</v>
      </c>
      <c r="BL67" s="722">
        <v>21332960</v>
      </c>
      <c r="BM67" s="722">
        <v>0</v>
      </c>
      <c r="BN67" s="722">
        <v>0</v>
      </c>
      <c r="BO67" s="722">
        <v>0</v>
      </c>
      <c r="BP67" s="722">
        <v>0</v>
      </c>
      <c r="BQ67" s="722">
        <v>0</v>
      </c>
      <c r="BR67" s="722">
        <v>0</v>
      </c>
      <c r="BS67" s="722">
        <v>0</v>
      </c>
      <c r="BT67" s="722">
        <v>0</v>
      </c>
      <c r="BU67" s="722">
        <v>0</v>
      </c>
      <c r="BV67" s="580">
        <f t="shared" si="14"/>
        <v>4.1250000000000002E-2</v>
      </c>
      <c r="BW67" s="588">
        <v>18</v>
      </c>
      <c r="BX67" s="623">
        <f t="shared" si="49"/>
        <v>0.25</v>
      </c>
      <c r="BY67" s="607">
        <v>0</v>
      </c>
      <c r="BZ67" s="629">
        <v>12</v>
      </c>
      <c r="CA67" s="1017">
        <v>49</v>
      </c>
      <c r="CB67" s="721">
        <f t="shared" si="50"/>
        <v>49</v>
      </c>
      <c r="CC67" s="721">
        <f t="shared" si="51"/>
        <v>272.22222222222223</v>
      </c>
      <c r="CD67" s="720">
        <f t="shared" si="18"/>
        <v>100</v>
      </c>
      <c r="CE67" s="618">
        <f t="shared" si="19"/>
        <v>4.1250000000000002E-2</v>
      </c>
      <c r="CF67" s="719">
        <f t="shared" si="20"/>
        <v>100</v>
      </c>
      <c r="CG67" s="618">
        <f t="shared" si="21"/>
        <v>0.11229166666666668</v>
      </c>
      <c r="CH67" s="718">
        <f t="shared" si="22"/>
        <v>4.1250000000000002E-2</v>
      </c>
      <c r="CI67" s="552">
        <v>18</v>
      </c>
      <c r="CJ67" s="551">
        <f t="shared" si="52"/>
        <v>0.25</v>
      </c>
      <c r="CK67" s="874">
        <v>0</v>
      </c>
      <c r="CL67" s="533">
        <f t="shared" si="53"/>
        <v>18</v>
      </c>
      <c r="CM67" s="619">
        <f t="shared" si="54"/>
        <v>0</v>
      </c>
      <c r="CN67" s="619">
        <f t="shared" si="55"/>
        <v>0</v>
      </c>
      <c r="CO67" s="549">
        <f t="shared" si="27"/>
        <v>0</v>
      </c>
      <c r="CP67" s="619">
        <f t="shared" si="28"/>
        <v>0</v>
      </c>
      <c r="CQ67" s="619">
        <f t="shared" si="29"/>
        <v>0</v>
      </c>
      <c r="CR67" s="546">
        <v>249000000</v>
      </c>
      <c r="CS67" s="546">
        <v>249000000</v>
      </c>
      <c r="CT67" s="546">
        <v>0</v>
      </c>
      <c r="CU67" s="546">
        <v>0</v>
      </c>
      <c r="CV67" s="546">
        <v>0</v>
      </c>
      <c r="CW67" s="546">
        <v>0</v>
      </c>
      <c r="CX67" s="546">
        <v>0</v>
      </c>
      <c r="CY67" s="546">
        <v>0</v>
      </c>
      <c r="CZ67" s="618">
        <v>0</v>
      </c>
      <c r="DA67" s="618">
        <v>0</v>
      </c>
      <c r="DB67" s="618">
        <v>0</v>
      </c>
      <c r="DC67" s="618">
        <v>0</v>
      </c>
      <c r="DD67" s="618">
        <v>0</v>
      </c>
      <c r="DE67" s="618">
        <v>0</v>
      </c>
      <c r="DF67" s="618">
        <v>0</v>
      </c>
      <c r="DG67" s="618">
        <v>0</v>
      </c>
      <c r="DH67" s="618">
        <v>0</v>
      </c>
      <c r="DI67" s="618">
        <v>0</v>
      </c>
      <c r="DJ67" s="618">
        <v>0</v>
      </c>
      <c r="DK67" s="1034">
        <f t="shared" si="56"/>
        <v>67</v>
      </c>
      <c r="DL67" s="543">
        <f t="shared" si="31"/>
        <v>0.16500000000000001</v>
      </c>
      <c r="DM67" s="542">
        <f t="shared" si="32"/>
        <v>93.055555555555557</v>
      </c>
      <c r="DN67" s="594">
        <f t="shared" si="33"/>
        <v>93.055555555555557</v>
      </c>
      <c r="DO67" s="540">
        <f t="shared" si="34"/>
        <v>0.15354166666666669</v>
      </c>
      <c r="DP67" s="597">
        <f t="shared" si="60"/>
        <v>0.15354166666666669</v>
      </c>
      <c r="DQ67" s="538">
        <f t="shared" si="35"/>
        <v>0.15354166666666669</v>
      </c>
      <c r="DR67" s="617">
        <f t="shared" si="36"/>
        <v>1</v>
      </c>
      <c r="DS67" s="616">
        <f t="shared" si="37"/>
        <v>0</v>
      </c>
      <c r="DT67" s="259">
        <v>37</v>
      </c>
      <c r="DU67" s="260" t="s">
        <v>293</v>
      </c>
      <c r="DV67" s="259">
        <v>75</v>
      </c>
      <c r="DW67" s="260" t="s">
        <v>390</v>
      </c>
      <c r="DX67" s="259">
        <v>76</v>
      </c>
      <c r="DY67" s="259">
        <v>77</v>
      </c>
      <c r="DZ67" s="259"/>
      <c r="EA67" s="987"/>
      <c r="EB67" s="1041" t="s">
        <v>2416</v>
      </c>
      <c r="EC67" s="802">
        <v>249000000</v>
      </c>
      <c r="EE67" s="1047"/>
    </row>
    <row r="68" spans="4:135" s="534" customFormat="1" ht="76.5" hidden="1" x14ac:dyDescent="0.3">
      <c r="D68" s="783">
        <v>65</v>
      </c>
      <c r="E68" s="799">
        <v>92</v>
      </c>
      <c r="F68" s="574" t="s">
        <v>200</v>
      </c>
      <c r="G68" s="574" t="s">
        <v>8</v>
      </c>
      <c r="H68" s="574" t="s">
        <v>140</v>
      </c>
      <c r="I68" s="574" t="s">
        <v>346</v>
      </c>
      <c r="J68" s="573" t="s">
        <v>1423</v>
      </c>
      <c r="K68" s="573" t="s">
        <v>463</v>
      </c>
      <c r="L68" s="702" t="s">
        <v>2246</v>
      </c>
      <c r="M68" s="570" t="s">
        <v>2017</v>
      </c>
      <c r="N68" s="570">
        <v>0</v>
      </c>
      <c r="O68" s="570">
        <f t="shared" si="59"/>
        <v>2</v>
      </c>
      <c r="P68" s="569">
        <v>2</v>
      </c>
      <c r="Q68" s="631">
        <v>0.25</v>
      </c>
      <c r="R68" s="580">
        <f t="shared" si="0"/>
        <v>0</v>
      </c>
      <c r="S68" s="708">
        <v>0</v>
      </c>
      <c r="T68" s="625">
        <f t="shared" si="43"/>
        <v>0</v>
      </c>
      <c r="U68" s="992">
        <v>0</v>
      </c>
      <c r="V68" s="626">
        <f t="shared" si="44"/>
        <v>0</v>
      </c>
      <c r="W68" s="594">
        <f t="shared" si="45"/>
        <v>0</v>
      </c>
      <c r="X68" s="594">
        <f t="shared" si="4"/>
        <v>0</v>
      </c>
      <c r="Y68" s="594">
        <f t="shared" si="40"/>
        <v>0</v>
      </c>
      <c r="Z68" s="594">
        <f t="shared" si="6"/>
        <v>0</v>
      </c>
      <c r="AA68" s="546">
        <v>0</v>
      </c>
      <c r="AB68" s="546">
        <v>0</v>
      </c>
      <c r="AC68" s="546">
        <v>0</v>
      </c>
      <c r="AD68" s="546">
        <v>0</v>
      </c>
      <c r="AE68" s="546">
        <v>0</v>
      </c>
      <c r="AF68" s="546">
        <v>0</v>
      </c>
      <c r="AG68" s="546">
        <v>0</v>
      </c>
      <c r="AH68" s="546">
        <v>0</v>
      </c>
      <c r="AI68" s="546">
        <v>0</v>
      </c>
      <c r="AJ68" s="546">
        <v>0</v>
      </c>
      <c r="AK68" s="546">
        <v>0</v>
      </c>
      <c r="AL68" s="546">
        <v>0</v>
      </c>
      <c r="AM68" s="546">
        <v>0</v>
      </c>
      <c r="AN68" s="546">
        <v>0</v>
      </c>
      <c r="AO68" s="546">
        <v>0</v>
      </c>
      <c r="AP68" s="546">
        <v>0</v>
      </c>
      <c r="AQ68" s="546">
        <v>0</v>
      </c>
      <c r="AR68" s="546">
        <v>0</v>
      </c>
      <c r="AS68" s="546" t="s">
        <v>2045</v>
      </c>
      <c r="AT68" s="630">
        <f t="shared" si="7"/>
        <v>0.25</v>
      </c>
      <c r="AU68" s="570">
        <v>2</v>
      </c>
      <c r="AV68" s="625">
        <f t="shared" si="46"/>
        <v>1</v>
      </c>
      <c r="AW68" s="1003">
        <v>3</v>
      </c>
      <c r="AX68" s="724">
        <f t="shared" si="47"/>
        <v>3</v>
      </c>
      <c r="AY68" s="724">
        <f t="shared" si="48"/>
        <v>150</v>
      </c>
      <c r="AZ68" s="724">
        <f t="shared" si="11"/>
        <v>100</v>
      </c>
      <c r="BA68" s="594">
        <f t="shared" si="12"/>
        <v>0.25</v>
      </c>
      <c r="BB68" s="594">
        <f t="shared" si="13"/>
        <v>100</v>
      </c>
      <c r="BC68" s="546">
        <v>280000000</v>
      </c>
      <c r="BD68" s="546">
        <v>0</v>
      </c>
      <c r="BE68" s="546">
        <v>280000000</v>
      </c>
      <c r="BF68" s="546">
        <v>0</v>
      </c>
      <c r="BG68" s="546">
        <v>0</v>
      </c>
      <c r="BH68" s="546">
        <v>0</v>
      </c>
      <c r="BI68" s="546">
        <v>0</v>
      </c>
      <c r="BJ68" s="546">
        <v>0</v>
      </c>
      <c r="BK68" s="723">
        <v>280000000</v>
      </c>
      <c r="BL68" s="722">
        <v>280000000</v>
      </c>
      <c r="BM68" s="722">
        <v>0</v>
      </c>
      <c r="BN68" s="722">
        <v>0</v>
      </c>
      <c r="BO68" s="722">
        <v>0</v>
      </c>
      <c r="BP68" s="722">
        <v>0</v>
      </c>
      <c r="BQ68" s="722">
        <v>0</v>
      </c>
      <c r="BR68" s="722">
        <v>0</v>
      </c>
      <c r="BS68" s="722">
        <v>0</v>
      </c>
      <c r="BT68" s="722">
        <v>25454540</v>
      </c>
      <c r="BU68" s="722" t="s">
        <v>2267</v>
      </c>
      <c r="BV68" s="580">
        <f t="shared" si="14"/>
        <v>0</v>
      </c>
      <c r="BW68" s="588">
        <v>0</v>
      </c>
      <c r="BX68" s="623">
        <f t="shared" si="49"/>
        <v>0</v>
      </c>
      <c r="BY68" s="607">
        <v>2</v>
      </c>
      <c r="BZ68" s="629">
        <v>2</v>
      </c>
      <c r="CA68" s="1017">
        <v>2</v>
      </c>
      <c r="CB68" s="721">
        <f t="shared" si="50"/>
        <v>2</v>
      </c>
      <c r="CC68" s="721">
        <f t="shared" si="51"/>
        <v>0</v>
      </c>
      <c r="CD68" s="720">
        <f t="shared" si="18"/>
        <v>0</v>
      </c>
      <c r="CE68" s="618">
        <f t="shared" si="19"/>
        <v>0</v>
      </c>
      <c r="CF68" s="719">
        <f t="shared" si="20"/>
        <v>100</v>
      </c>
      <c r="CG68" s="618">
        <f t="shared" si="21"/>
        <v>0</v>
      </c>
      <c r="CH68" s="718">
        <f t="shared" si="22"/>
        <v>0</v>
      </c>
      <c r="CI68" s="552">
        <v>0</v>
      </c>
      <c r="CJ68" s="551">
        <f t="shared" si="52"/>
        <v>0</v>
      </c>
      <c r="CK68" s="875">
        <v>0</v>
      </c>
      <c r="CL68" s="533">
        <f t="shared" si="53"/>
        <v>0</v>
      </c>
      <c r="CM68" s="619">
        <f t="shared" si="54"/>
        <v>0</v>
      </c>
      <c r="CN68" s="619">
        <f t="shared" si="55"/>
        <v>0</v>
      </c>
      <c r="CO68" s="549">
        <f t="shared" si="27"/>
        <v>0</v>
      </c>
      <c r="CP68" s="619">
        <f t="shared" si="28"/>
        <v>0</v>
      </c>
      <c r="CQ68" s="619">
        <f t="shared" si="29"/>
        <v>0</v>
      </c>
      <c r="CR68" s="546">
        <v>0</v>
      </c>
      <c r="CS68" s="546">
        <v>0</v>
      </c>
      <c r="CT68" s="546">
        <v>0</v>
      </c>
      <c r="CU68" s="546">
        <v>0</v>
      </c>
      <c r="CV68" s="546">
        <v>0</v>
      </c>
      <c r="CW68" s="546">
        <v>0</v>
      </c>
      <c r="CX68" s="546">
        <v>0</v>
      </c>
      <c r="CY68" s="546">
        <v>0</v>
      </c>
      <c r="CZ68" s="618">
        <v>0</v>
      </c>
      <c r="DA68" s="618">
        <v>0</v>
      </c>
      <c r="DB68" s="618">
        <v>0</v>
      </c>
      <c r="DC68" s="618">
        <v>0</v>
      </c>
      <c r="DD68" s="618">
        <v>0</v>
      </c>
      <c r="DE68" s="618">
        <v>0</v>
      </c>
      <c r="DF68" s="618">
        <v>0</v>
      </c>
      <c r="DG68" s="618">
        <v>0</v>
      </c>
      <c r="DH68" s="618">
        <v>0</v>
      </c>
      <c r="DI68" s="618">
        <v>0</v>
      </c>
      <c r="DJ68" s="618">
        <v>0</v>
      </c>
      <c r="DK68" s="1034">
        <f t="shared" si="56"/>
        <v>5</v>
      </c>
      <c r="DL68" s="543">
        <f t="shared" si="31"/>
        <v>0.25</v>
      </c>
      <c r="DM68" s="542">
        <f t="shared" si="32"/>
        <v>250</v>
      </c>
      <c r="DN68" s="594">
        <f t="shared" si="33"/>
        <v>100</v>
      </c>
      <c r="DO68" s="540">
        <f t="shared" si="34"/>
        <v>0.25</v>
      </c>
      <c r="DP68" s="597">
        <f t="shared" si="60"/>
        <v>0.25</v>
      </c>
      <c r="DQ68" s="538">
        <f t="shared" si="35"/>
        <v>0.25</v>
      </c>
      <c r="DR68" s="617">
        <f t="shared" si="36"/>
        <v>1</v>
      </c>
      <c r="DS68" s="616">
        <f t="shared" si="37"/>
        <v>0</v>
      </c>
      <c r="DT68" s="259">
        <v>77</v>
      </c>
      <c r="DU68" s="260" t="s">
        <v>288</v>
      </c>
      <c r="DV68" s="259"/>
      <c r="DW68" s="260" t="s">
        <v>242</v>
      </c>
      <c r="DX68" s="259"/>
      <c r="DY68" s="259"/>
      <c r="DZ68" s="259"/>
      <c r="EA68" s="987"/>
      <c r="EB68" s="1041" t="s">
        <v>2417</v>
      </c>
      <c r="EC68" s="802">
        <v>0</v>
      </c>
      <c r="EE68" s="1047"/>
    </row>
    <row r="69" spans="4:135" s="534" customFormat="1" ht="84" hidden="1" x14ac:dyDescent="0.3">
      <c r="D69" s="783">
        <v>66</v>
      </c>
      <c r="E69" s="799">
        <v>93</v>
      </c>
      <c r="F69" s="787" t="s">
        <v>200</v>
      </c>
      <c r="G69" s="787" t="s">
        <v>8</v>
      </c>
      <c r="H69" s="788" t="s">
        <v>140</v>
      </c>
      <c r="I69" s="712" t="s">
        <v>346</v>
      </c>
      <c r="J69" s="573" t="s">
        <v>464</v>
      </c>
      <c r="K69" s="573" t="s">
        <v>465</v>
      </c>
      <c r="L69" s="701" t="s">
        <v>2201</v>
      </c>
      <c r="M69" s="570" t="s">
        <v>2032</v>
      </c>
      <c r="N69" s="570">
        <v>0</v>
      </c>
      <c r="O69" s="570">
        <f>+P69</f>
        <v>100</v>
      </c>
      <c r="P69" s="569">
        <v>100</v>
      </c>
      <c r="Q69" s="628">
        <v>0.25</v>
      </c>
      <c r="R69" s="580">
        <f t="shared" ref="R69:R132" si="61">+Q69*T69</f>
        <v>6.25E-2</v>
      </c>
      <c r="S69" s="708">
        <v>100</v>
      </c>
      <c r="T69" s="625">
        <f t="shared" ref="T69:T100" si="62">IF($M69="M",0.25,(IF($P69&gt;0,S69/$P69," ")))</f>
        <v>0.25</v>
      </c>
      <c r="U69" s="992">
        <v>100</v>
      </c>
      <c r="V69" s="626">
        <f t="shared" ref="V69:V100" si="63">+IF(M69="I",(+U69),IF(M69="M",(+U69)/4,))</f>
        <v>25</v>
      </c>
      <c r="W69" s="594">
        <f t="shared" ref="W69:W100" si="64">IF(S69=0,0,+U69*100/S69)</f>
        <v>100</v>
      </c>
      <c r="X69" s="594">
        <f t="shared" ref="X69:X132" si="65">+IF(W69&lt;100,W69,100)</f>
        <v>100</v>
      </c>
      <c r="Y69" s="594">
        <f t="shared" si="40"/>
        <v>6.25E-2</v>
      </c>
      <c r="Z69" s="594">
        <f t="shared" ref="Z69:Z132" si="66">+IF(U69&gt;S69,100,X69)</f>
        <v>100</v>
      </c>
      <c r="AA69" s="546">
        <v>0</v>
      </c>
      <c r="AB69" s="546">
        <v>0</v>
      </c>
      <c r="AC69" s="546">
        <v>0</v>
      </c>
      <c r="AD69" s="546">
        <v>0</v>
      </c>
      <c r="AE69" s="546">
        <v>0</v>
      </c>
      <c r="AF69" s="546">
        <v>0</v>
      </c>
      <c r="AG69" s="546">
        <v>0</v>
      </c>
      <c r="AH69" s="546">
        <v>0</v>
      </c>
      <c r="AI69" s="546">
        <v>0</v>
      </c>
      <c r="AJ69" s="546">
        <v>0</v>
      </c>
      <c r="AK69" s="546">
        <v>0</v>
      </c>
      <c r="AL69" s="546">
        <v>0</v>
      </c>
      <c r="AM69" s="546">
        <v>0</v>
      </c>
      <c r="AN69" s="546">
        <v>0</v>
      </c>
      <c r="AO69" s="546">
        <v>0</v>
      </c>
      <c r="AP69" s="546">
        <v>0</v>
      </c>
      <c r="AQ69" s="546">
        <v>0</v>
      </c>
      <c r="AR69" s="546">
        <v>0</v>
      </c>
      <c r="AS69" s="546" t="s">
        <v>2045</v>
      </c>
      <c r="AT69" s="570">
        <f t="shared" ref="AT69:AT132" si="67">+Q69*AV69</f>
        <v>6.25E-2</v>
      </c>
      <c r="AU69" s="570">
        <v>100</v>
      </c>
      <c r="AV69" s="625">
        <f t="shared" ref="AV69:AV100" si="68">IF($M69="M",0.25,(IF($P69&gt;0,AU69/$P69," ")))</f>
        <v>0.25</v>
      </c>
      <c r="AW69" s="1003">
        <v>100</v>
      </c>
      <c r="AX69" s="724">
        <f t="shared" ref="AX69:AX100" si="69">+IF(M69="I",(+AW69),IF(M69="M",(+AW69)/4,))</f>
        <v>25</v>
      </c>
      <c r="AY69" s="724">
        <f t="shared" ref="AY69:AY100" si="70">IF(AU69=0,0,+AW69*100/AU69)</f>
        <v>100</v>
      </c>
      <c r="AZ69" s="724">
        <f t="shared" ref="AZ69:AZ132" si="71">+IF(AY69&lt;100,AY69,100)</f>
        <v>100</v>
      </c>
      <c r="BA69" s="594">
        <f t="shared" ref="BA69:BA132" si="72">+(AZ69*AT69)/100</f>
        <v>6.25E-2</v>
      </c>
      <c r="BB69" s="594">
        <f t="shared" ref="BB69:BB132" si="73">+IF(AW69&gt;AU69,100,AZ69)</f>
        <v>100</v>
      </c>
      <c r="BC69" s="546">
        <v>160000000</v>
      </c>
      <c r="BD69" s="546">
        <v>0</v>
      </c>
      <c r="BE69" s="546">
        <v>160000000</v>
      </c>
      <c r="BF69" s="546">
        <v>0</v>
      </c>
      <c r="BG69" s="546">
        <v>0</v>
      </c>
      <c r="BH69" s="546">
        <v>0</v>
      </c>
      <c r="BI69" s="546">
        <v>0</v>
      </c>
      <c r="BJ69" s="546">
        <v>0</v>
      </c>
      <c r="BK69" s="723">
        <v>160000000</v>
      </c>
      <c r="BL69" s="722">
        <v>160000000</v>
      </c>
      <c r="BM69" s="722">
        <v>0</v>
      </c>
      <c r="BN69" s="722">
        <v>0</v>
      </c>
      <c r="BO69" s="722">
        <v>0</v>
      </c>
      <c r="BP69" s="722">
        <v>0</v>
      </c>
      <c r="BQ69" s="722">
        <v>0</v>
      </c>
      <c r="BR69" s="722">
        <v>0</v>
      </c>
      <c r="BS69" s="722">
        <v>0</v>
      </c>
      <c r="BT69" s="722">
        <v>0</v>
      </c>
      <c r="BU69" s="722">
        <v>0</v>
      </c>
      <c r="BV69" s="580">
        <f t="shared" ref="BV69:BV132" si="74">+Q69*BX69</f>
        <v>6.25E-2</v>
      </c>
      <c r="BW69" s="588">
        <v>100</v>
      </c>
      <c r="BX69" s="623">
        <f t="shared" ref="BX69:BX100" si="75">IF($M69="M",0.25,(IF($P69&gt;0,BW69/$P69," ")))</f>
        <v>0.25</v>
      </c>
      <c r="BY69" s="607">
        <v>100</v>
      </c>
      <c r="BZ69" s="629">
        <v>100</v>
      </c>
      <c r="CA69" s="1017">
        <v>100</v>
      </c>
      <c r="CB69" s="721">
        <f t="shared" ref="CB69:CB100" si="76">+IF(M69="I",(+CA69),IF(M69="M",(+CA69)/4,))</f>
        <v>25</v>
      </c>
      <c r="CC69" s="721">
        <f t="shared" ref="CC69:CC100" si="77">IF(BW69=0,0,+CA69*100/BW69)</f>
        <v>100</v>
      </c>
      <c r="CD69" s="720">
        <f t="shared" ref="CD69:CD132" si="78">+IF(CC69&lt;100,CC69,100)</f>
        <v>100</v>
      </c>
      <c r="CE69" s="618">
        <f t="shared" ref="CE69:CE132" si="79">+(CD69*BV69)/100</f>
        <v>6.25E-2</v>
      </c>
      <c r="CF69" s="719">
        <f t="shared" ref="CF69:CF132" si="80">+IF(BZ69&gt;BW69,100,CD69)</f>
        <v>100</v>
      </c>
      <c r="CG69" s="618">
        <f t="shared" ref="CG69:CG132" si="81">(CC69*BV69)/100</f>
        <v>6.25E-2</v>
      </c>
      <c r="CH69" s="718">
        <f t="shared" ref="CH69:CH132" si="82">+Q69*CJ69</f>
        <v>6.25E-2</v>
      </c>
      <c r="CI69" s="552">
        <v>100</v>
      </c>
      <c r="CJ69" s="551">
        <f t="shared" ref="CJ69:CJ100" si="83">IF($M69="M",0.25,(IF($P69&gt;0,CI69/$P69," ")))</f>
        <v>0.25</v>
      </c>
      <c r="CK69" s="874">
        <v>0</v>
      </c>
      <c r="CL69" s="533">
        <f t="shared" ref="CL69:CL100" si="84">+CI69-CK69</f>
        <v>100</v>
      </c>
      <c r="CM69" s="619">
        <f t="shared" ref="CM69:CM100" si="85">+IF(M69="I",(+CK69),IF(M69="M",(+CK69)/4,))</f>
        <v>0</v>
      </c>
      <c r="CN69" s="619">
        <f t="shared" ref="CN69:CN100" si="86">IF(CI69=0,0,+CK69*100/CI69)</f>
        <v>0</v>
      </c>
      <c r="CO69" s="619">
        <f t="shared" ref="CO69:CO132" si="87">+IF(CN69&lt;100,CN69,100)</f>
        <v>0</v>
      </c>
      <c r="CP69" s="619">
        <f t="shared" ref="CP69:CP132" si="88">+(CO69*CH69)/100</f>
        <v>0</v>
      </c>
      <c r="CQ69" s="619">
        <f t="shared" ref="CQ69:CQ132" si="89">+(CN69*CH69)/100</f>
        <v>0</v>
      </c>
      <c r="CR69" s="546">
        <v>368000000</v>
      </c>
      <c r="CS69" s="546">
        <v>368000000</v>
      </c>
      <c r="CT69" s="546">
        <v>0</v>
      </c>
      <c r="CU69" s="546">
        <v>0</v>
      </c>
      <c r="CV69" s="546">
        <v>0</v>
      </c>
      <c r="CW69" s="546">
        <v>0</v>
      </c>
      <c r="CX69" s="546">
        <v>0</v>
      </c>
      <c r="CY69" s="546">
        <v>0</v>
      </c>
      <c r="CZ69" s="618">
        <v>0</v>
      </c>
      <c r="DA69" s="618">
        <v>0</v>
      </c>
      <c r="DB69" s="618">
        <v>0</v>
      </c>
      <c r="DC69" s="618">
        <v>0</v>
      </c>
      <c r="DD69" s="618">
        <v>0</v>
      </c>
      <c r="DE69" s="618">
        <v>0</v>
      </c>
      <c r="DF69" s="618">
        <v>0</v>
      </c>
      <c r="DG69" s="618">
        <v>0</v>
      </c>
      <c r="DH69" s="618">
        <v>0</v>
      </c>
      <c r="DI69" s="618">
        <v>0</v>
      </c>
      <c r="DJ69" s="618">
        <v>0</v>
      </c>
      <c r="DK69" s="1034">
        <f t="shared" ref="DK69:DK100" si="90">+IF(M69="I",(+U69+AW69+CA69+CK69),IF(M69="M",(+U69+AW69+CA69+CK69)/4,))</f>
        <v>75</v>
      </c>
      <c r="DL69" s="543">
        <f t="shared" ref="DL69:DL132" si="91">+R69+AT69+BV69+CH69</f>
        <v>0.25</v>
      </c>
      <c r="DM69" s="542">
        <f t="shared" ref="DM69:DM132" si="92">+DK69*100/P69</f>
        <v>75</v>
      </c>
      <c r="DN69" s="594">
        <f t="shared" ref="DN69:DN132" si="93">+IF(DM69&lt;100,DM69,100)</f>
        <v>75</v>
      </c>
      <c r="DO69" s="540">
        <f t="shared" ref="DO69:DO132" si="94">+(DN69*Q69)/100</f>
        <v>0.1875</v>
      </c>
      <c r="DP69" s="597">
        <f>+IF(M69="M",DO69,0)</f>
        <v>0.1875</v>
      </c>
      <c r="DQ69" s="538">
        <f t="shared" ref="DQ69:DQ132" si="95">+IF(DL69&lt;DP69,DL69,DP69)</f>
        <v>0.1875</v>
      </c>
      <c r="DR69" s="617">
        <f t="shared" ref="DR69:DR132" si="96">+T69+AV69+BX69+CJ69</f>
        <v>1</v>
      </c>
      <c r="DS69" s="616">
        <f t="shared" ref="DS69:DS132" si="97">+Q69-R69-AT69-BV69-CH69</f>
        <v>0</v>
      </c>
      <c r="DT69" s="259">
        <v>75</v>
      </c>
      <c r="DU69" s="260" t="s">
        <v>390</v>
      </c>
      <c r="DV69" s="259">
        <v>76</v>
      </c>
      <c r="DW69" s="260" t="s">
        <v>289</v>
      </c>
      <c r="DX69" s="259"/>
      <c r="DY69" s="259"/>
      <c r="DZ69" s="259"/>
      <c r="EA69" s="987"/>
      <c r="EB69" s="1041" t="s">
        <v>2418</v>
      </c>
      <c r="EC69" s="802">
        <v>368000000</v>
      </c>
      <c r="EE69" s="1047"/>
    </row>
    <row r="70" spans="4:135" s="534" customFormat="1" ht="120" hidden="1" x14ac:dyDescent="0.3">
      <c r="D70" s="783">
        <v>67</v>
      </c>
      <c r="E70" s="799">
        <v>94</v>
      </c>
      <c r="F70" s="787" t="s">
        <v>200</v>
      </c>
      <c r="G70" s="787" t="s">
        <v>8</v>
      </c>
      <c r="H70" s="788" t="s">
        <v>140</v>
      </c>
      <c r="I70" s="712" t="s">
        <v>346</v>
      </c>
      <c r="J70" s="573" t="s">
        <v>466</v>
      </c>
      <c r="K70" s="573" t="s">
        <v>467</v>
      </c>
      <c r="L70" s="702" t="s">
        <v>1682</v>
      </c>
      <c r="M70" s="570" t="s">
        <v>2017</v>
      </c>
      <c r="N70" s="570">
        <v>32757</v>
      </c>
      <c r="O70" s="570">
        <f>+N70+P70</f>
        <v>89757</v>
      </c>
      <c r="P70" s="569">
        <v>57000</v>
      </c>
      <c r="Q70" s="628">
        <v>0.16500000000000001</v>
      </c>
      <c r="R70" s="580">
        <f t="shared" si="61"/>
        <v>1.5921052631578947E-2</v>
      </c>
      <c r="S70" s="708">
        <v>5500</v>
      </c>
      <c r="T70" s="625">
        <f t="shared" si="62"/>
        <v>9.6491228070175433E-2</v>
      </c>
      <c r="U70" s="992">
        <v>0</v>
      </c>
      <c r="V70" s="626">
        <f t="shared" si="63"/>
        <v>0</v>
      </c>
      <c r="W70" s="594">
        <f t="shared" si="64"/>
        <v>0</v>
      </c>
      <c r="X70" s="594">
        <f t="shared" si="65"/>
        <v>0</v>
      </c>
      <c r="Y70" s="594">
        <f t="shared" si="40"/>
        <v>0</v>
      </c>
      <c r="Z70" s="594">
        <f t="shared" si="66"/>
        <v>0</v>
      </c>
      <c r="AA70" s="546">
        <v>94000000</v>
      </c>
      <c r="AB70" s="546">
        <v>0</v>
      </c>
      <c r="AC70" s="546">
        <v>0</v>
      </c>
      <c r="AD70" s="546">
        <v>94000000</v>
      </c>
      <c r="AE70" s="546">
        <v>0</v>
      </c>
      <c r="AF70" s="546">
        <v>0</v>
      </c>
      <c r="AG70" s="546">
        <v>0</v>
      </c>
      <c r="AH70" s="546">
        <v>0</v>
      </c>
      <c r="AI70" s="546">
        <v>0</v>
      </c>
      <c r="AJ70" s="546">
        <v>0</v>
      </c>
      <c r="AK70" s="546">
        <v>0</v>
      </c>
      <c r="AL70" s="546">
        <v>0</v>
      </c>
      <c r="AM70" s="546">
        <v>0</v>
      </c>
      <c r="AN70" s="546">
        <v>0</v>
      </c>
      <c r="AO70" s="546">
        <v>0</v>
      </c>
      <c r="AP70" s="546">
        <v>0</v>
      </c>
      <c r="AQ70" s="546">
        <v>0</v>
      </c>
      <c r="AR70" s="546">
        <v>0</v>
      </c>
      <c r="AS70" s="546" t="s">
        <v>2045</v>
      </c>
      <c r="AT70" s="570">
        <f t="shared" si="67"/>
        <v>4.3461578947368421E-2</v>
      </c>
      <c r="AU70" s="570">
        <v>15014</v>
      </c>
      <c r="AV70" s="625">
        <f t="shared" si="68"/>
        <v>0.26340350877192981</v>
      </c>
      <c r="AW70" s="1003">
        <v>15014</v>
      </c>
      <c r="AX70" s="724">
        <f t="shared" si="69"/>
        <v>15014</v>
      </c>
      <c r="AY70" s="724">
        <f t="shared" si="70"/>
        <v>100</v>
      </c>
      <c r="AZ70" s="724">
        <f t="shared" si="71"/>
        <v>100</v>
      </c>
      <c r="BA70" s="594">
        <f t="shared" si="72"/>
        <v>4.3461578947368421E-2</v>
      </c>
      <c r="BB70" s="594">
        <f t="shared" si="73"/>
        <v>100</v>
      </c>
      <c r="BC70" s="546">
        <v>636000000</v>
      </c>
      <c r="BD70" s="546">
        <v>0</v>
      </c>
      <c r="BE70" s="546">
        <v>636000000</v>
      </c>
      <c r="BF70" s="546">
        <v>0</v>
      </c>
      <c r="BG70" s="546">
        <v>0</v>
      </c>
      <c r="BH70" s="546">
        <v>0</v>
      </c>
      <c r="BI70" s="546">
        <v>0</v>
      </c>
      <c r="BJ70" s="546">
        <v>0</v>
      </c>
      <c r="BK70" s="723">
        <v>1756669204</v>
      </c>
      <c r="BL70" s="722">
        <v>1079779430</v>
      </c>
      <c r="BM70" s="722">
        <v>676889774</v>
      </c>
      <c r="BN70" s="722">
        <v>0</v>
      </c>
      <c r="BO70" s="722">
        <v>0</v>
      </c>
      <c r="BP70" s="722">
        <v>0</v>
      </c>
      <c r="BQ70" s="722">
        <v>0</v>
      </c>
      <c r="BR70" s="722">
        <v>0</v>
      </c>
      <c r="BS70" s="722">
        <v>0</v>
      </c>
      <c r="BT70" s="722">
        <v>0</v>
      </c>
      <c r="BU70" s="722">
        <v>0</v>
      </c>
      <c r="BV70" s="580">
        <f t="shared" si="74"/>
        <v>7.9367894736842109E-2</v>
      </c>
      <c r="BW70" s="588">
        <v>27418</v>
      </c>
      <c r="BX70" s="623">
        <f t="shared" si="75"/>
        <v>0.48101754385964912</v>
      </c>
      <c r="BY70" s="607">
        <v>18379</v>
      </c>
      <c r="BZ70" s="629">
        <v>18379</v>
      </c>
      <c r="CA70" s="1017">
        <v>33986</v>
      </c>
      <c r="CB70" s="721">
        <f t="shared" si="76"/>
        <v>33986</v>
      </c>
      <c r="CC70" s="721">
        <f t="shared" si="77"/>
        <v>123.95506601502663</v>
      </c>
      <c r="CD70" s="720">
        <f t="shared" si="78"/>
        <v>100</v>
      </c>
      <c r="CE70" s="618">
        <f t="shared" si="79"/>
        <v>7.9367894736842109E-2</v>
      </c>
      <c r="CF70" s="719">
        <f t="shared" si="80"/>
        <v>100</v>
      </c>
      <c r="CG70" s="618">
        <f t="shared" si="81"/>
        <v>9.8380526315789488E-2</v>
      </c>
      <c r="CH70" s="718">
        <f t="shared" si="82"/>
        <v>2.6249473684210527E-2</v>
      </c>
      <c r="CI70" s="552">
        <v>9068</v>
      </c>
      <c r="CJ70" s="551">
        <f t="shared" si="83"/>
        <v>0.15908771929824561</v>
      </c>
      <c r="CK70" s="874">
        <v>0</v>
      </c>
      <c r="CL70" s="533">
        <f t="shared" si="84"/>
        <v>9068</v>
      </c>
      <c r="CM70" s="619">
        <f t="shared" si="85"/>
        <v>0</v>
      </c>
      <c r="CN70" s="619">
        <f t="shared" si="86"/>
        <v>0</v>
      </c>
      <c r="CO70" s="549">
        <f t="shared" si="87"/>
        <v>0</v>
      </c>
      <c r="CP70" s="619">
        <f t="shared" si="88"/>
        <v>0</v>
      </c>
      <c r="CQ70" s="619">
        <f t="shared" si="89"/>
        <v>0</v>
      </c>
      <c r="CR70" s="546">
        <v>1468000000</v>
      </c>
      <c r="CS70" s="546">
        <v>1468000000</v>
      </c>
      <c r="CT70" s="546">
        <v>0</v>
      </c>
      <c r="CU70" s="546">
        <v>0</v>
      </c>
      <c r="CV70" s="546">
        <v>0</v>
      </c>
      <c r="CW70" s="546">
        <v>0</v>
      </c>
      <c r="CX70" s="546">
        <v>0</v>
      </c>
      <c r="CY70" s="546">
        <v>0</v>
      </c>
      <c r="CZ70" s="618">
        <v>0</v>
      </c>
      <c r="DA70" s="618">
        <v>0</v>
      </c>
      <c r="DB70" s="618">
        <v>0</v>
      </c>
      <c r="DC70" s="618">
        <v>0</v>
      </c>
      <c r="DD70" s="618">
        <v>0</v>
      </c>
      <c r="DE70" s="618">
        <v>0</v>
      </c>
      <c r="DF70" s="618">
        <v>0</v>
      </c>
      <c r="DG70" s="618">
        <v>0</v>
      </c>
      <c r="DH70" s="618">
        <v>0</v>
      </c>
      <c r="DI70" s="618">
        <v>0</v>
      </c>
      <c r="DJ70" s="618">
        <v>0</v>
      </c>
      <c r="DK70" s="1034">
        <f t="shared" si="90"/>
        <v>49000</v>
      </c>
      <c r="DL70" s="543">
        <f t="shared" si="91"/>
        <v>0.16500000000000001</v>
      </c>
      <c r="DM70" s="542">
        <f t="shared" si="92"/>
        <v>85.964912280701753</v>
      </c>
      <c r="DN70" s="594">
        <f t="shared" si="93"/>
        <v>85.964912280701753</v>
      </c>
      <c r="DO70" s="540">
        <f t="shared" si="94"/>
        <v>0.14184210526315788</v>
      </c>
      <c r="DP70" s="597">
        <f>+IF(((DN70*Q70)/100)&lt;Q70, ((DN70*Q70)/100),Q70)</f>
        <v>0.14184210526315788</v>
      </c>
      <c r="DQ70" s="538">
        <f t="shared" si="95"/>
        <v>0.14184210526315788</v>
      </c>
      <c r="DR70" s="617">
        <f t="shared" si="96"/>
        <v>1</v>
      </c>
      <c r="DS70" s="616">
        <f t="shared" si="97"/>
        <v>0</v>
      </c>
      <c r="DT70" s="259">
        <v>37</v>
      </c>
      <c r="DU70" s="260" t="s">
        <v>293</v>
      </c>
      <c r="DV70" s="259">
        <v>78</v>
      </c>
      <c r="DW70" s="260" t="s">
        <v>287</v>
      </c>
      <c r="DX70" s="259"/>
      <c r="DY70" s="259"/>
      <c r="DZ70" s="259"/>
      <c r="EA70" s="987"/>
      <c r="EB70" s="1041" t="s">
        <v>2419</v>
      </c>
      <c r="EC70" s="802">
        <v>1468000000</v>
      </c>
      <c r="EE70" s="1047"/>
    </row>
    <row r="71" spans="4:135" s="534" customFormat="1" ht="120" hidden="1" x14ac:dyDescent="0.3">
      <c r="D71" s="783">
        <v>68</v>
      </c>
      <c r="E71" s="799">
        <v>95</v>
      </c>
      <c r="F71" s="787" t="s">
        <v>200</v>
      </c>
      <c r="G71" s="787" t="s">
        <v>8</v>
      </c>
      <c r="H71" s="788" t="s">
        <v>140</v>
      </c>
      <c r="I71" s="712" t="s">
        <v>346</v>
      </c>
      <c r="J71" s="573" t="s">
        <v>468</v>
      </c>
      <c r="K71" s="573" t="s">
        <v>469</v>
      </c>
      <c r="L71" s="702" t="s">
        <v>1682</v>
      </c>
      <c r="M71" s="570" t="s">
        <v>2017</v>
      </c>
      <c r="N71" s="570">
        <v>178167</v>
      </c>
      <c r="O71" s="570">
        <f>+N71+P71</f>
        <v>399984</v>
      </c>
      <c r="P71" s="569">
        <v>221817</v>
      </c>
      <c r="Q71" s="628">
        <v>0.25</v>
      </c>
      <c r="R71" s="580">
        <f t="shared" si="61"/>
        <v>6.5475143924947146E-2</v>
      </c>
      <c r="S71" s="708">
        <v>58094</v>
      </c>
      <c r="T71" s="625">
        <f t="shared" si="62"/>
        <v>0.26190057569978858</v>
      </c>
      <c r="U71" s="992">
        <v>58094</v>
      </c>
      <c r="V71" s="626">
        <f t="shared" si="63"/>
        <v>58094</v>
      </c>
      <c r="W71" s="594">
        <f t="shared" si="64"/>
        <v>100</v>
      </c>
      <c r="X71" s="594">
        <f t="shared" si="65"/>
        <v>100</v>
      </c>
      <c r="Y71" s="594">
        <f t="shared" si="40"/>
        <v>6.5475143924947146E-2</v>
      </c>
      <c r="Z71" s="594">
        <f t="shared" si="66"/>
        <v>100</v>
      </c>
      <c r="AA71" s="546">
        <v>12267000000</v>
      </c>
      <c r="AB71" s="546">
        <v>8210000000</v>
      </c>
      <c r="AC71" s="546">
        <v>0</v>
      </c>
      <c r="AD71" s="546">
        <v>4057000000</v>
      </c>
      <c r="AE71" s="546">
        <v>0</v>
      </c>
      <c r="AF71" s="546">
        <v>0</v>
      </c>
      <c r="AG71" s="546">
        <v>0</v>
      </c>
      <c r="AH71" s="546">
        <v>0</v>
      </c>
      <c r="AI71" s="546">
        <v>11114000000</v>
      </c>
      <c r="AJ71" s="546">
        <v>9500000000</v>
      </c>
      <c r="AK71" s="546">
        <v>0</v>
      </c>
      <c r="AL71" s="546">
        <v>0</v>
      </c>
      <c r="AM71" s="546">
        <v>0</v>
      </c>
      <c r="AN71" s="546">
        <v>0</v>
      </c>
      <c r="AO71" s="546">
        <v>0</v>
      </c>
      <c r="AP71" s="546">
        <v>1614000000</v>
      </c>
      <c r="AQ71" s="546">
        <v>0</v>
      </c>
      <c r="AR71" s="546">
        <v>0</v>
      </c>
      <c r="AS71" s="546" t="s">
        <v>2045</v>
      </c>
      <c r="AT71" s="570">
        <f t="shared" si="67"/>
        <v>6.2438857256206695E-2</v>
      </c>
      <c r="AU71" s="570">
        <v>55400</v>
      </c>
      <c r="AV71" s="625">
        <f t="shared" si="68"/>
        <v>0.24975542902482678</v>
      </c>
      <c r="AW71" s="1003">
        <v>60180</v>
      </c>
      <c r="AX71" s="724">
        <f t="shared" si="69"/>
        <v>60180</v>
      </c>
      <c r="AY71" s="724">
        <f t="shared" si="70"/>
        <v>108.62815884476534</v>
      </c>
      <c r="AZ71" s="724">
        <f t="shared" si="71"/>
        <v>100</v>
      </c>
      <c r="BA71" s="594">
        <f t="shared" si="72"/>
        <v>6.2438857256206702E-2</v>
      </c>
      <c r="BB71" s="594">
        <f t="shared" si="73"/>
        <v>100</v>
      </c>
      <c r="BC71" s="546">
        <v>22969000000</v>
      </c>
      <c r="BD71" s="546">
        <v>0</v>
      </c>
      <c r="BE71" s="546">
        <v>7350000000</v>
      </c>
      <c r="BF71" s="546">
        <v>0</v>
      </c>
      <c r="BG71" s="546">
        <v>0</v>
      </c>
      <c r="BH71" s="546">
        <v>0</v>
      </c>
      <c r="BI71" s="546">
        <v>0</v>
      </c>
      <c r="BJ71" s="546">
        <v>15619000</v>
      </c>
      <c r="BK71" s="723">
        <v>11553137325</v>
      </c>
      <c r="BL71" s="722">
        <v>6432327010</v>
      </c>
      <c r="BM71" s="722">
        <v>0</v>
      </c>
      <c r="BN71" s="722">
        <v>0</v>
      </c>
      <c r="BO71" s="722">
        <v>0</v>
      </c>
      <c r="BP71" s="722">
        <v>5120810315</v>
      </c>
      <c r="BQ71" s="722">
        <v>0</v>
      </c>
      <c r="BR71" s="722">
        <v>0</v>
      </c>
      <c r="BS71" s="722">
        <v>0</v>
      </c>
      <c r="BT71" s="722">
        <v>1404733080</v>
      </c>
      <c r="BU71" s="722" t="s">
        <v>2266</v>
      </c>
      <c r="BV71" s="580">
        <f t="shared" si="74"/>
        <v>6.2562833326571005E-2</v>
      </c>
      <c r="BW71" s="588">
        <v>55510</v>
      </c>
      <c r="BX71" s="623">
        <f t="shared" si="75"/>
        <v>0.25025133330628402</v>
      </c>
      <c r="BY71" s="607">
        <v>45626</v>
      </c>
      <c r="BZ71" s="629">
        <v>45626</v>
      </c>
      <c r="CA71" s="1017">
        <v>45626</v>
      </c>
      <c r="CB71" s="721">
        <f t="shared" si="76"/>
        <v>45626</v>
      </c>
      <c r="CC71" s="721">
        <f t="shared" si="77"/>
        <v>82.194199243379572</v>
      </c>
      <c r="CD71" s="720">
        <f t="shared" si="78"/>
        <v>82.194199243379572</v>
      </c>
      <c r="CE71" s="618">
        <f t="shared" si="79"/>
        <v>5.1423019876745253E-2</v>
      </c>
      <c r="CF71" s="719">
        <f t="shared" si="80"/>
        <v>82.194199243379572</v>
      </c>
      <c r="CG71" s="618">
        <f t="shared" si="81"/>
        <v>5.1423019876745253E-2</v>
      </c>
      <c r="CH71" s="718">
        <f t="shared" si="82"/>
        <v>5.9523165492275161E-2</v>
      </c>
      <c r="CI71" s="552">
        <v>52813</v>
      </c>
      <c r="CJ71" s="551">
        <f t="shared" si="83"/>
        <v>0.23809266196910064</v>
      </c>
      <c r="CK71" s="874">
        <v>0</v>
      </c>
      <c r="CL71" s="533">
        <f t="shared" si="84"/>
        <v>52813</v>
      </c>
      <c r="CM71" s="619">
        <f t="shared" si="85"/>
        <v>0</v>
      </c>
      <c r="CN71" s="619">
        <f t="shared" si="86"/>
        <v>0</v>
      </c>
      <c r="CO71" s="549">
        <f t="shared" si="87"/>
        <v>0</v>
      </c>
      <c r="CP71" s="619">
        <f t="shared" si="88"/>
        <v>0</v>
      </c>
      <c r="CQ71" s="619">
        <f t="shared" si="89"/>
        <v>0</v>
      </c>
      <c r="CR71" s="546">
        <v>32578000000</v>
      </c>
      <c r="CS71" s="546">
        <v>16961000</v>
      </c>
      <c r="CT71" s="546">
        <v>0</v>
      </c>
      <c r="CU71" s="546">
        <v>0</v>
      </c>
      <c r="CV71" s="546">
        <v>0</v>
      </c>
      <c r="CW71" s="546">
        <v>0</v>
      </c>
      <c r="CX71" s="546">
        <v>0</v>
      </c>
      <c r="CY71" s="546">
        <v>15617000</v>
      </c>
      <c r="CZ71" s="618">
        <v>0</v>
      </c>
      <c r="DA71" s="618">
        <v>0</v>
      </c>
      <c r="DB71" s="618">
        <v>0</v>
      </c>
      <c r="DC71" s="618">
        <v>0</v>
      </c>
      <c r="DD71" s="618">
        <v>0</v>
      </c>
      <c r="DE71" s="618">
        <v>0</v>
      </c>
      <c r="DF71" s="618">
        <v>0</v>
      </c>
      <c r="DG71" s="618">
        <v>0</v>
      </c>
      <c r="DH71" s="618">
        <v>0</v>
      </c>
      <c r="DI71" s="618">
        <v>0</v>
      </c>
      <c r="DJ71" s="618">
        <v>0</v>
      </c>
      <c r="DK71" s="1034">
        <f t="shared" si="90"/>
        <v>163900</v>
      </c>
      <c r="DL71" s="543">
        <f t="shared" si="91"/>
        <v>0.25</v>
      </c>
      <c r="DM71" s="542">
        <f t="shared" si="92"/>
        <v>73.889737937128359</v>
      </c>
      <c r="DN71" s="594">
        <f t="shared" si="93"/>
        <v>73.889737937128359</v>
      </c>
      <c r="DO71" s="540">
        <f t="shared" si="94"/>
        <v>0.18472434484282091</v>
      </c>
      <c r="DP71" s="597">
        <f>+IF(((DN71*Q71)/100)&lt;Q71, ((DN71*Q71)/100),Q71)</f>
        <v>0.18472434484282091</v>
      </c>
      <c r="DQ71" s="538">
        <f t="shared" si="95"/>
        <v>0.18472434484282091</v>
      </c>
      <c r="DR71" s="617">
        <f t="shared" si="96"/>
        <v>1</v>
      </c>
      <c r="DS71" s="616">
        <f t="shared" si="97"/>
        <v>0</v>
      </c>
      <c r="DT71" s="259">
        <v>37</v>
      </c>
      <c r="DU71" s="260" t="s">
        <v>293</v>
      </c>
      <c r="DV71" s="259">
        <v>78</v>
      </c>
      <c r="DW71" s="260" t="s">
        <v>287</v>
      </c>
      <c r="DX71" s="259"/>
      <c r="DY71" s="259"/>
      <c r="DZ71" s="259"/>
      <c r="EA71" s="987"/>
      <c r="EB71" s="1041" t="s">
        <v>2420</v>
      </c>
      <c r="EC71" s="802">
        <v>32580000000</v>
      </c>
      <c r="EE71" s="1047"/>
    </row>
    <row r="72" spans="4:135" s="534" customFormat="1" ht="89.25" hidden="1" x14ac:dyDescent="0.3">
      <c r="D72" s="783">
        <v>69</v>
      </c>
      <c r="E72" s="799">
        <v>96</v>
      </c>
      <c r="F72" s="787" t="s">
        <v>200</v>
      </c>
      <c r="G72" s="787" t="s">
        <v>11</v>
      </c>
      <c r="H72" s="788" t="s">
        <v>140</v>
      </c>
      <c r="I72" s="712" t="s">
        <v>346</v>
      </c>
      <c r="J72" s="573" t="s">
        <v>470</v>
      </c>
      <c r="K72" s="573" t="s">
        <v>471</v>
      </c>
      <c r="L72" s="702" t="s">
        <v>1682</v>
      </c>
      <c r="M72" s="570" t="s">
        <v>2032</v>
      </c>
      <c r="N72" s="570">
        <v>481</v>
      </c>
      <c r="O72" s="570">
        <f>+P72</f>
        <v>500</v>
      </c>
      <c r="P72" s="569">
        <v>500</v>
      </c>
      <c r="Q72" s="628">
        <v>0.16500000000000001</v>
      </c>
      <c r="R72" s="580">
        <f t="shared" si="61"/>
        <v>4.1250000000000002E-2</v>
      </c>
      <c r="S72" s="708">
        <v>500</v>
      </c>
      <c r="T72" s="625">
        <f t="shared" si="62"/>
        <v>0.25</v>
      </c>
      <c r="U72" s="992">
        <v>525</v>
      </c>
      <c r="V72" s="626">
        <f t="shared" si="63"/>
        <v>131.25</v>
      </c>
      <c r="W72" s="594">
        <f t="shared" si="64"/>
        <v>105</v>
      </c>
      <c r="X72" s="594">
        <f t="shared" si="65"/>
        <v>100</v>
      </c>
      <c r="Y72" s="594">
        <f t="shared" si="40"/>
        <v>4.1250000000000002E-2</v>
      </c>
      <c r="Z72" s="594">
        <f t="shared" si="66"/>
        <v>100</v>
      </c>
      <c r="AA72" s="546">
        <v>2300000000</v>
      </c>
      <c r="AB72" s="546">
        <v>2300000000</v>
      </c>
      <c r="AC72" s="546">
        <v>0</v>
      </c>
      <c r="AD72" s="546">
        <v>0</v>
      </c>
      <c r="AE72" s="546">
        <v>0</v>
      </c>
      <c r="AF72" s="546">
        <v>0</v>
      </c>
      <c r="AG72" s="546">
        <v>0</v>
      </c>
      <c r="AH72" s="546">
        <v>0</v>
      </c>
      <c r="AI72" s="546">
        <v>3963593000</v>
      </c>
      <c r="AJ72" s="546">
        <v>3963593000</v>
      </c>
      <c r="AK72" s="546">
        <v>0</v>
      </c>
      <c r="AL72" s="546">
        <v>0</v>
      </c>
      <c r="AM72" s="546">
        <v>0</v>
      </c>
      <c r="AN72" s="546">
        <v>0</v>
      </c>
      <c r="AO72" s="546">
        <v>0</v>
      </c>
      <c r="AP72" s="546">
        <v>0</v>
      </c>
      <c r="AQ72" s="546">
        <v>0</v>
      </c>
      <c r="AR72" s="546">
        <v>0</v>
      </c>
      <c r="AS72" s="546" t="s">
        <v>2045</v>
      </c>
      <c r="AT72" s="570">
        <f t="shared" si="67"/>
        <v>4.1250000000000002E-2</v>
      </c>
      <c r="AU72" s="570">
        <v>500</v>
      </c>
      <c r="AV72" s="625">
        <f t="shared" si="68"/>
        <v>0.25</v>
      </c>
      <c r="AW72" s="1003">
        <v>496</v>
      </c>
      <c r="AX72" s="724">
        <f t="shared" si="69"/>
        <v>124</v>
      </c>
      <c r="AY72" s="724">
        <f t="shared" si="70"/>
        <v>99.2</v>
      </c>
      <c r="AZ72" s="724">
        <f t="shared" si="71"/>
        <v>99.2</v>
      </c>
      <c r="BA72" s="594">
        <f t="shared" si="72"/>
        <v>4.0920000000000005E-2</v>
      </c>
      <c r="BB72" s="594">
        <f t="shared" si="73"/>
        <v>99.2</v>
      </c>
      <c r="BC72" s="546">
        <v>4008000000</v>
      </c>
      <c r="BD72" s="546">
        <v>0</v>
      </c>
      <c r="BE72" s="546">
        <v>4008000000</v>
      </c>
      <c r="BF72" s="546">
        <v>0</v>
      </c>
      <c r="BG72" s="546">
        <v>0</v>
      </c>
      <c r="BH72" s="546">
        <v>0</v>
      </c>
      <c r="BI72" s="546">
        <v>0</v>
      </c>
      <c r="BJ72" s="546">
        <v>0</v>
      </c>
      <c r="BK72" s="723">
        <v>2950401020</v>
      </c>
      <c r="BL72" s="722">
        <v>2950401020</v>
      </c>
      <c r="BM72" s="722">
        <v>0</v>
      </c>
      <c r="BN72" s="722">
        <v>0</v>
      </c>
      <c r="BO72" s="722">
        <v>0</v>
      </c>
      <c r="BP72" s="722">
        <v>0</v>
      </c>
      <c r="BQ72" s="722">
        <v>0</v>
      </c>
      <c r="BR72" s="722">
        <v>0</v>
      </c>
      <c r="BS72" s="722">
        <v>0</v>
      </c>
      <c r="BT72" s="722">
        <v>0</v>
      </c>
      <c r="BU72" s="722">
        <v>0</v>
      </c>
      <c r="BV72" s="580">
        <f t="shared" si="74"/>
        <v>4.1250000000000002E-2</v>
      </c>
      <c r="BW72" s="588">
        <v>500</v>
      </c>
      <c r="BX72" s="623">
        <f t="shared" si="75"/>
        <v>0.25</v>
      </c>
      <c r="BY72" s="607">
        <v>416</v>
      </c>
      <c r="BZ72" s="629">
        <v>416</v>
      </c>
      <c r="CA72" s="1017">
        <v>427</v>
      </c>
      <c r="CB72" s="721">
        <f t="shared" si="76"/>
        <v>106.75</v>
      </c>
      <c r="CC72" s="721">
        <f t="shared" si="77"/>
        <v>85.4</v>
      </c>
      <c r="CD72" s="720">
        <f t="shared" si="78"/>
        <v>85.4</v>
      </c>
      <c r="CE72" s="618">
        <f t="shared" si="79"/>
        <v>3.5227500000000002E-2</v>
      </c>
      <c r="CF72" s="719">
        <f t="shared" si="80"/>
        <v>85.4</v>
      </c>
      <c r="CG72" s="618">
        <f t="shared" si="81"/>
        <v>3.5227500000000002E-2</v>
      </c>
      <c r="CH72" s="718">
        <f t="shared" si="82"/>
        <v>4.1250000000000002E-2</v>
      </c>
      <c r="CI72" s="552">
        <v>500</v>
      </c>
      <c r="CJ72" s="551">
        <f t="shared" si="83"/>
        <v>0.25</v>
      </c>
      <c r="CK72" s="874">
        <v>733</v>
      </c>
      <c r="CL72" s="533">
        <f t="shared" si="84"/>
        <v>-233</v>
      </c>
      <c r="CM72" s="619">
        <f t="shared" si="85"/>
        <v>183.25</v>
      </c>
      <c r="CN72" s="619">
        <f t="shared" si="86"/>
        <v>146.6</v>
      </c>
      <c r="CO72" s="619">
        <f t="shared" si="87"/>
        <v>100</v>
      </c>
      <c r="CP72" s="619">
        <f t="shared" si="88"/>
        <v>4.1250000000000002E-2</v>
      </c>
      <c r="CQ72" s="619">
        <f t="shared" si="89"/>
        <v>6.0472499999999998E-2</v>
      </c>
      <c r="CR72" s="546">
        <v>4008000000</v>
      </c>
      <c r="CS72" s="546">
        <v>4008000000</v>
      </c>
      <c r="CT72" s="546">
        <v>0</v>
      </c>
      <c r="CU72" s="546">
        <v>0</v>
      </c>
      <c r="CV72" s="546">
        <v>0</v>
      </c>
      <c r="CW72" s="546">
        <v>0</v>
      </c>
      <c r="CX72" s="546">
        <v>0</v>
      </c>
      <c r="CY72" s="546">
        <v>0</v>
      </c>
      <c r="CZ72" s="618">
        <v>0</v>
      </c>
      <c r="DA72" s="618">
        <v>0</v>
      </c>
      <c r="DB72" s="618">
        <v>0</v>
      </c>
      <c r="DC72" s="618">
        <v>0</v>
      </c>
      <c r="DD72" s="618">
        <v>0</v>
      </c>
      <c r="DE72" s="618">
        <v>0</v>
      </c>
      <c r="DF72" s="618">
        <v>0</v>
      </c>
      <c r="DG72" s="618">
        <v>0</v>
      </c>
      <c r="DH72" s="618">
        <v>0</v>
      </c>
      <c r="DI72" s="618">
        <v>0</v>
      </c>
      <c r="DJ72" s="618">
        <v>0</v>
      </c>
      <c r="DK72" s="1034">
        <f t="shared" si="90"/>
        <v>545.25</v>
      </c>
      <c r="DL72" s="543">
        <f t="shared" si="91"/>
        <v>0.16500000000000001</v>
      </c>
      <c r="DM72" s="542">
        <f t="shared" si="92"/>
        <v>109.05</v>
      </c>
      <c r="DN72" s="594">
        <f t="shared" si="93"/>
        <v>100</v>
      </c>
      <c r="DO72" s="540">
        <f t="shared" si="94"/>
        <v>0.16500000000000001</v>
      </c>
      <c r="DP72" s="597">
        <f>+IF(M72="M",DO72,0)</f>
        <v>0.16500000000000001</v>
      </c>
      <c r="DQ72" s="538">
        <f t="shared" si="95"/>
        <v>0.16500000000000001</v>
      </c>
      <c r="DR72" s="617">
        <f t="shared" si="96"/>
        <v>1</v>
      </c>
      <c r="DS72" s="616">
        <f t="shared" si="97"/>
        <v>0</v>
      </c>
      <c r="DT72" s="259">
        <v>74</v>
      </c>
      <c r="DU72" s="260" t="s">
        <v>442</v>
      </c>
      <c r="DV72" s="259"/>
      <c r="DW72" s="260" t="s">
        <v>242</v>
      </c>
      <c r="DX72" s="259"/>
      <c r="DY72" s="259"/>
      <c r="DZ72" s="259"/>
      <c r="EA72" s="987"/>
      <c r="EB72" s="1041" t="s">
        <v>2421</v>
      </c>
      <c r="EC72" s="802">
        <v>4008000000</v>
      </c>
      <c r="EE72" s="1047"/>
    </row>
    <row r="73" spans="4:135" s="534" customFormat="1" ht="63.75" hidden="1" x14ac:dyDescent="0.3">
      <c r="D73" s="783">
        <v>70</v>
      </c>
      <c r="E73" s="799">
        <v>97</v>
      </c>
      <c r="F73" s="787" t="s">
        <v>200</v>
      </c>
      <c r="G73" s="787" t="s">
        <v>7</v>
      </c>
      <c r="H73" s="788" t="s">
        <v>140</v>
      </c>
      <c r="I73" s="712" t="s">
        <v>346</v>
      </c>
      <c r="J73" s="573" t="s">
        <v>472</v>
      </c>
      <c r="K73" s="573" t="s">
        <v>473</v>
      </c>
      <c r="L73" s="702" t="s">
        <v>2242</v>
      </c>
      <c r="M73" s="570" t="s">
        <v>2017</v>
      </c>
      <c r="N73" s="570">
        <v>132</v>
      </c>
      <c r="O73" s="570">
        <f>+N73+P73</f>
        <v>292</v>
      </c>
      <c r="P73" s="569">
        <v>160</v>
      </c>
      <c r="Q73" s="628">
        <v>0.16500000000000001</v>
      </c>
      <c r="R73" s="580">
        <f t="shared" si="61"/>
        <v>7.2187499999999995E-3</v>
      </c>
      <c r="S73" s="708">
        <v>7</v>
      </c>
      <c r="T73" s="625">
        <f t="shared" si="62"/>
        <v>4.3749999999999997E-2</v>
      </c>
      <c r="U73" s="992">
        <v>0</v>
      </c>
      <c r="V73" s="626">
        <f t="shared" si="63"/>
        <v>0</v>
      </c>
      <c r="W73" s="594">
        <f t="shared" si="64"/>
        <v>0</v>
      </c>
      <c r="X73" s="594">
        <f t="shared" si="65"/>
        <v>0</v>
      </c>
      <c r="Y73" s="594">
        <f t="shared" si="40"/>
        <v>0</v>
      </c>
      <c r="Z73" s="594">
        <f t="shared" si="66"/>
        <v>0</v>
      </c>
      <c r="AA73" s="546">
        <v>200000000</v>
      </c>
      <c r="AB73" s="546">
        <v>100000000</v>
      </c>
      <c r="AC73" s="546">
        <v>0</v>
      </c>
      <c r="AD73" s="546">
        <v>0</v>
      </c>
      <c r="AE73" s="546">
        <v>0</v>
      </c>
      <c r="AF73" s="546">
        <v>0</v>
      </c>
      <c r="AG73" s="546">
        <v>0</v>
      </c>
      <c r="AH73" s="546">
        <v>100000000</v>
      </c>
      <c r="AI73" s="546">
        <v>8000000</v>
      </c>
      <c r="AJ73" s="546">
        <v>8000000</v>
      </c>
      <c r="AK73" s="546">
        <v>0</v>
      </c>
      <c r="AL73" s="546">
        <v>0</v>
      </c>
      <c r="AM73" s="546">
        <v>0</v>
      </c>
      <c r="AN73" s="546">
        <v>0</v>
      </c>
      <c r="AO73" s="546">
        <v>0</v>
      </c>
      <c r="AP73" s="546">
        <v>0</v>
      </c>
      <c r="AQ73" s="546">
        <v>0</v>
      </c>
      <c r="AR73" s="546">
        <v>0</v>
      </c>
      <c r="AS73" s="546" t="s">
        <v>2045</v>
      </c>
      <c r="AT73" s="570">
        <f t="shared" si="67"/>
        <v>5.2593750000000002E-2</v>
      </c>
      <c r="AU73" s="570">
        <v>51</v>
      </c>
      <c r="AV73" s="625">
        <f t="shared" si="68"/>
        <v>0.31874999999999998</v>
      </c>
      <c r="AW73" s="1003">
        <v>70</v>
      </c>
      <c r="AX73" s="724">
        <f t="shared" si="69"/>
        <v>70</v>
      </c>
      <c r="AY73" s="724">
        <f t="shared" si="70"/>
        <v>137.25490196078431</v>
      </c>
      <c r="AZ73" s="724">
        <f t="shared" si="71"/>
        <v>100</v>
      </c>
      <c r="BA73" s="594">
        <f t="shared" si="72"/>
        <v>5.2593750000000002E-2</v>
      </c>
      <c r="BB73" s="594">
        <f t="shared" si="73"/>
        <v>100</v>
      </c>
      <c r="BC73" s="546">
        <v>304000000</v>
      </c>
      <c r="BD73" s="546">
        <v>0</v>
      </c>
      <c r="BE73" s="546">
        <v>47000000</v>
      </c>
      <c r="BF73" s="546">
        <v>0</v>
      </c>
      <c r="BG73" s="546">
        <v>0</v>
      </c>
      <c r="BH73" s="546">
        <v>0</v>
      </c>
      <c r="BI73" s="546">
        <v>0</v>
      </c>
      <c r="BJ73" s="546">
        <v>257000000</v>
      </c>
      <c r="BK73" s="723">
        <v>50000000</v>
      </c>
      <c r="BL73" s="722">
        <v>50000000</v>
      </c>
      <c r="BM73" s="722">
        <v>0</v>
      </c>
      <c r="BN73" s="722">
        <v>0</v>
      </c>
      <c r="BO73" s="722">
        <v>0</v>
      </c>
      <c r="BP73" s="722">
        <v>0</v>
      </c>
      <c r="BQ73" s="722">
        <v>0</v>
      </c>
      <c r="BR73" s="722">
        <v>0</v>
      </c>
      <c r="BS73" s="722">
        <v>0</v>
      </c>
      <c r="BT73" s="722">
        <v>0</v>
      </c>
      <c r="BU73" s="722">
        <v>0</v>
      </c>
      <c r="BV73" s="580">
        <f t="shared" si="74"/>
        <v>5.2593750000000002E-2</v>
      </c>
      <c r="BW73" s="588">
        <v>51</v>
      </c>
      <c r="BX73" s="623">
        <f t="shared" si="75"/>
        <v>0.31874999999999998</v>
      </c>
      <c r="BY73" s="639">
        <v>0</v>
      </c>
      <c r="BZ73" s="638">
        <v>0</v>
      </c>
      <c r="CA73" s="1018">
        <v>0</v>
      </c>
      <c r="CB73" s="721">
        <f t="shared" si="76"/>
        <v>0</v>
      </c>
      <c r="CC73" s="721">
        <f t="shared" si="77"/>
        <v>0</v>
      </c>
      <c r="CD73" s="720">
        <f t="shared" si="78"/>
        <v>0</v>
      </c>
      <c r="CE73" s="618">
        <f t="shared" si="79"/>
        <v>0</v>
      </c>
      <c r="CF73" s="719">
        <f t="shared" si="80"/>
        <v>0</v>
      </c>
      <c r="CG73" s="618">
        <f t="shared" si="81"/>
        <v>0</v>
      </c>
      <c r="CH73" s="718">
        <f t="shared" si="82"/>
        <v>5.2593750000000002E-2</v>
      </c>
      <c r="CI73" s="552">
        <v>51</v>
      </c>
      <c r="CJ73" s="551">
        <f t="shared" si="83"/>
        <v>0.31874999999999998</v>
      </c>
      <c r="CK73" s="875">
        <v>0</v>
      </c>
      <c r="CL73" s="533">
        <f t="shared" si="84"/>
        <v>51</v>
      </c>
      <c r="CM73" s="619">
        <f t="shared" si="85"/>
        <v>0</v>
      </c>
      <c r="CN73" s="619">
        <f t="shared" si="86"/>
        <v>0</v>
      </c>
      <c r="CO73" s="549">
        <f t="shared" si="87"/>
        <v>0</v>
      </c>
      <c r="CP73" s="619">
        <f t="shared" si="88"/>
        <v>0</v>
      </c>
      <c r="CQ73" s="619">
        <f t="shared" si="89"/>
        <v>0</v>
      </c>
      <c r="CR73" s="546">
        <v>367000000</v>
      </c>
      <c r="CS73" s="546">
        <v>108000000</v>
      </c>
      <c r="CT73" s="546">
        <v>0</v>
      </c>
      <c r="CU73" s="546">
        <v>0</v>
      </c>
      <c r="CV73" s="546">
        <v>0</v>
      </c>
      <c r="CW73" s="546">
        <v>0</v>
      </c>
      <c r="CX73" s="546">
        <v>0</v>
      </c>
      <c r="CY73" s="546">
        <v>259000000</v>
      </c>
      <c r="CZ73" s="618">
        <v>0</v>
      </c>
      <c r="DA73" s="618">
        <v>0</v>
      </c>
      <c r="DB73" s="618">
        <v>0</v>
      </c>
      <c r="DC73" s="618">
        <v>0</v>
      </c>
      <c r="DD73" s="618">
        <v>0</v>
      </c>
      <c r="DE73" s="618">
        <v>0</v>
      </c>
      <c r="DF73" s="618">
        <v>0</v>
      </c>
      <c r="DG73" s="618">
        <v>0</v>
      </c>
      <c r="DH73" s="618">
        <v>0</v>
      </c>
      <c r="DI73" s="618">
        <v>0</v>
      </c>
      <c r="DJ73" s="618">
        <v>0</v>
      </c>
      <c r="DK73" s="1034">
        <f t="shared" si="90"/>
        <v>70</v>
      </c>
      <c r="DL73" s="543">
        <f t="shared" si="91"/>
        <v>0.16500000000000001</v>
      </c>
      <c r="DM73" s="542">
        <f t="shared" si="92"/>
        <v>43.75</v>
      </c>
      <c r="DN73" s="594">
        <f t="shared" si="93"/>
        <v>43.75</v>
      </c>
      <c r="DO73" s="540">
        <f t="shared" si="94"/>
        <v>7.2187500000000002E-2</v>
      </c>
      <c r="DP73" s="597">
        <f>+IF(((DN73*Q73)/100)&lt;Q73, ((DN73*Q73)/100),Q73)</f>
        <v>7.2187500000000002E-2</v>
      </c>
      <c r="DQ73" s="538">
        <f t="shared" si="95"/>
        <v>7.2187500000000002E-2</v>
      </c>
      <c r="DR73" s="617">
        <f t="shared" si="96"/>
        <v>0.99999999999999989</v>
      </c>
      <c r="DS73" s="616">
        <f t="shared" si="97"/>
        <v>0</v>
      </c>
      <c r="DT73" s="259">
        <v>74</v>
      </c>
      <c r="DU73" s="260" t="s">
        <v>442</v>
      </c>
      <c r="DV73" s="259"/>
      <c r="DW73" s="260" t="s">
        <v>242</v>
      </c>
      <c r="DX73" s="259"/>
      <c r="DY73" s="259"/>
      <c r="DZ73" s="259"/>
      <c r="EA73" s="987"/>
      <c r="EB73" s="1041" t="s">
        <v>2386</v>
      </c>
      <c r="EC73" s="802">
        <v>365000000</v>
      </c>
      <c r="EE73" s="1047"/>
    </row>
    <row r="74" spans="4:135" s="534" customFormat="1" ht="76.5" hidden="1" x14ac:dyDescent="0.3">
      <c r="D74" s="783">
        <v>71</v>
      </c>
      <c r="E74" s="799">
        <v>98</v>
      </c>
      <c r="F74" s="787" t="s">
        <v>200</v>
      </c>
      <c r="G74" s="787" t="s">
        <v>3</v>
      </c>
      <c r="H74" s="788" t="s">
        <v>140</v>
      </c>
      <c r="I74" s="712" t="s">
        <v>346</v>
      </c>
      <c r="J74" s="573" t="s">
        <v>474</v>
      </c>
      <c r="K74" s="573" t="s">
        <v>475</v>
      </c>
      <c r="L74" s="702" t="s">
        <v>1682</v>
      </c>
      <c r="M74" s="570" t="s">
        <v>2032</v>
      </c>
      <c r="N74" s="570">
        <v>44233</v>
      </c>
      <c r="O74" s="570">
        <f>+P74</f>
        <v>49844</v>
      </c>
      <c r="P74" s="569">
        <v>49844</v>
      </c>
      <c r="Q74" s="628">
        <v>0.16500000000000001</v>
      </c>
      <c r="R74" s="580">
        <f t="shared" si="61"/>
        <v>4.1250000000000002E-2</v>
      </c>
      <c r="S74" s="708">
        <v>49844</v>
      </c>
      <c r="T74" s="625">
        <f t="shared" si="62"/>
        <v>0.25</v>
      </c>
      <c r="U74" s="992">
        <v>49850</v>
      </c>
      <c r="V74" s="626">
        <f t="shared" si="63"/>
        <v>12462.5</v>
      </c>
      <c r="W74" s="594">
        <f t="shared" si="64"/>
        <v>100.0120375571784</v>
      </c>
      <c r="X74" s="594">
        <f t="shared" si="65"/>
        <v>100</v>
      </c>
      <c r="Y74" s="594">
        <f t="shared" si="40"/>
        <v>4.1250000000000002E-2</v>
      </c>
      <c r="Z74" s="594">
        <f t="shared" si="66"/>
        <v>100</v>
      </c>
      <c r="AA74" s="546">
        <v>438000000</v>
      </c>
      <c r="AB74" s="546">
        <v>438000000</v>
      </c>
      <c r="AC74" s="546">
        <v>0</v>
      </c>
      <c r="AD74" s="546">
        <v>0</v>
      </c>
      <c r="AE74" s="546">
        <v>0</v>
      </c>
      <c r="AF74" s="546">
        <v>0</v>
      </c>
      <c r="AG74" s="546">
        <v>0</v>
      </c>
      <c r="AH74" s="546">
        <v>0</v>
      </c>
      <c r="AI74" s="546">
        <v>505680000</v>
      </c>
      <c r="AJ74" s="546">
        <v>505680000</v>
      </c>
      <c r="AK74" s="546">
        <v>0</v>
      </c>
      <c r="AL74" s="546">
        <v>0</v>
      </c>
      <c r="AM74" s="546">
        <v>0</v>
      </c>
      <c r="AN74" s="546">
        <v>0</v>
      </c>
      <c r="AO74" s="546">
        <v>0</v>
      </c>
      <c r="AP74" s="546">
        <v>0</v>
      </c>
      <c r="AQ74" s="546">
        <v>0</v>
      </c>
      <c r="AR74" s="546">
        <v>0</v>
      </c>
      <c r="AS74" s="546" t="s">
        <v>2045</v>
      </c>
      <c r="AT74" s="570">
        <f t="shared" si="67"/>
        <v>4.1250000000000002E-2</v>
      </c>
      <c r="AU74" s="570">
        <v>49844</v>
      </c>
      <c r="AV74" s="625">
        <f t="shared" si="68"/>
        <v>0.25</v>
      </c>
      <c r="AW74" s="1003">
        <v>49956</v>
      </c>
      <c r="AX74" s="724">
        <f t="shared" si="69"/>
        <v>12489</v>
      </c>
      <c r="AY74" s="724">
        <f t="shared" si="70"/>
        <v>100.22470106733007</v>
      </c>
      <c r="AZ74" s="724">
        <f t="shared" si="71"/>
        <v>100</v>
      </c>
      <c r="BA74" s="594">
        <f t="shared" si="72"/>
        <v>4.1250000000000002E-2</v>
      </c>
      <c r="BB74" s="594">
        <f t="shared" si="73"/>
        <v>100</v>
      </c>
      <c r="BC74" s="546">
        <v>783000000</v>
      </c>
      <c r="BD74" s="546">
        <v>0</v>
      </c>
      <c r="BE74" s="546">
        <v>783000000</v>
      </c>
      <c r="BF74" s="546">
        <v>0</v>
      </c>
      <c r="BG74" s="546">
        <v>0</v>
      </c>
      <c r="BH74" s="546">
        <v>0</v>
      </c>
      <c r="BI74" s="546">
        <v>0</v>
      </c>
      <c r="BJ74" s="546">
        <v>0</v>
      </c>
      <c r="BK74" s="723">
        <v>857527846</v>
      </c>
      <c r="BL74" s="722">
        <v>857527846</v>
      </c>
      <c r="BM74" s="722">
        <v>0</v>
      </c>
      <c r="BN74" s="722">
        <v>0</v>
      </c>
      <c r="BO74" s="722">
        <v>0</v>
      </c>
      <c r="BP74" s="722">
        <v>0</v>
      </c>
      <c r="BQ74" s="722">
        <v>0</v>
      </c>
      <c r="BR74" s="722">
        <v>0</v>
      </c>
      <c r="BS74" s="722">
        <v>0</v>
      </c>
      <c r="BT74" s="722">
        <v>0</v>
      </c>
      <c r="BU74" s="722">
        <v>0</v>
      </c>
      <c r="BV74" s="580">
        <f t="shared" si="74"/>
        <v>4.1250000000000002E-2</v>
      </c>
      <c r="BW74" s="588">
        <v>49844</v>
      </c>
      <c r="BX74" s="623">
        <f t="shared" si="75"/>
        <v>0.25</v>
      </c>
      <c r="BY74" s="607">
        <v>19963</v>
      </c>
      <c r="BZ74" s="629">
        <v>31768</v>
      </c>
      <c r="CA74" s="1017">
        <v>53956</v>
      </c>
      <c r="CB74" s="721">
        <f t="shared" si="76"/>
        <v>13489</v>
      </c>
      <c r="CC74" s="721">
        <f t="shared" si="77"/>
        <v>108.24973918626114</v>
      </c>
      <c r="CD74" s="720">
        <f t="shared" si="78"/>
        <v>100</v>
      </c>
      <c r="CE74" s="618">
        <f t="shared" si="79"/>
        <v>4.1250000000000002E-2</v>
      </c>
      <c r="CF74" s="719">
        <f t="shared" si="80"/>
        <v>100</v>
      </c>
      <c r="CG74" s="618">
        <f t="shared" si="81"/>
        <v>4.4653017414332724E-2</v>
      </c>
      <c r="CH74" s="718">
        <f t="shared" si="82"/>
        <v>4.1250000000000002E-2</v>
      </c>
      <c r="CI74" s="552">
        <v>49844</v>
      </c>
      <c r="CJ74" s="551">
        <f t="shared" si="83"/>
        <v>0.25</v>
      </c>
      <c r="CK74" s="874">
        <v>20401</v>
      </c>
      <c r="CL74" s="533">
        <f t="shared" si="84"/>
        <v>29443</v>
      </c>
      <c r="CM74" s="619">
        <f t="shared" si="85"/>
        <v>5100.25</v>
      </c>
      <c r="CN74" s="619">
        <f t="shared" si="86"/>
        <v>40.929700666078162</v>
      </c>
      <c r="CO74" s="619">
        <f t="shared" si="87"/>
        <v>40.929700666078162</v>
      </c>
      <c r="CP74" s="619">
        <f t="shared" si="88"/>
        <v>1.6883501524757243E-2</v>
      </c>
      <c r="CQ74" s="619">
        <f t="shared" si="89"/>
        <v>1.6883501524757243E-2</v>
      </c>
      <c r="CR74" s="546">
        <v>783000000</v>
      </c>
      <c r="CS74" s="546">
        <v>783000000</v>
      </c>
      <c r="CT74" s="546">
        <v>0</v>
      </c>
      <c r="CU74" s="546">
        <v>0</v>
      </c>
      <c r="CV74" s="546">
        <v>0</v>
      </c>
      <c r="CW74" s="546">
        <v>0</v>
      </c>
      <c r="CX74" s="546">
        <v>0</v>
      </c>
      <c r="CY74" s="546">
        <v>0</v>
      </c>
      <c r="CZ74" s="618">
        <v>0</v>
      </c>
      <c r="DA74" s="618">
        <v>0</v>
      </c>
      <c r="DB74" s="618">
        <v>0</v>
      </c>
      <c r="DC74" s="618">
        <v>0</v>
      </c>
      <c r="DD74" s="618">
        <v>0</v>
      </c>
      <c r="DE74" s="618">
        <v>0</v>
      </c>
      <c r="DF74" s="618">
        <v>0</v>
      </c>
      <c r="DG74" s="618">
        <v>0</v>
      </c>
      <c r="DH74" s="618">
        <v>0</v>
      </c>
      <c r="DI74" s="618">
        <v>0</v>
      </c>
      <c r="DJ74" s="618">
        <v>0</v>
      </c>
      <c r="DK74" s="1034">
        <f t="shared" si="90"/>
        <v>43540.75</v>
      </c>
      <c r="DL74" s="543">
        <f t="shared" si="91"/>
        <v>0.16500000000000001</v>
      </c>
      <c r="DM74" s="542">
        <f t="shared" si="92"/>
        <v>87.354044619211948</v>
      </c>
      <c r="DN74" s="594">
        <f t="shared" si="93"/>
        <v>87.354044619211948</v>
      </c>
      <c r="DO74" s="540">
        <f t="shared" si="94"/>
        <v>0.14413417362169972</v>
      </c>
      <c r="DP74" s="597">
        <f>+IF(M74="M",DO74,0)</f>
        <v>0.14413417362169972</v>
      </c>
      <c r="DQ74" s="538">
        <f t="shared" si="95"/>
        <v>0.14413417362169972</v>
      </c>
      <c r="DR74" s="617">
        <f t="shared" si="96"/>
        <v>1</v>
      </c>
      <c r="DS74" s="616">
        <f t="shared" si="97"/>
        <v>0</v>
      </c>
      <c r="DT74" s="259">
        <v>74</v>
      </c>
      <c r="DU74" s="260" t="s">
        <v>442</v>
      </c>
      <c r="DV74" s="259"/>
      <c r="DW74" s="260" t="s">
        <v>242</v>
      </c>
      <c r="DX74" s="259"/>
      <c r="DY74" s="259"/>
      <c r="DZ74" s="259"/>
      <c r="EA74" s="987"/>
      <c r="EB74" s="1041" t="s">
        <v>2422</v>
      </c>
      <c r="EC74" s="802">
        <v>783000000</v>
      </c>
      <c r="EE74" s="1047"/>
    </row>
    <row r="75" spans="4:135" s="534" customFormat="1" ht="132" hidden="1" x14ac:dyDescent="0.3">
      <c r="D75" s="783">
        <v>72</v>
      </c>
      <c r="E75" s="799">
        <v>99</v>
      </c>
      <c r="F75" s="787" t="s">
        <v>200</v>
      </c>
      <c r="G75" s="787" t="s">
        <v>3</v>
      </c>
      <c r="H75" s="788" t="s">
        <v>140</v>
      </c>
      <c r="I75" s="712" t="s">
        <v>346</v>
      </c>
      <c r="J75" s="573" t="s">
        <v>476</v>
      </c>
      <c r="K75" s="573" t="s">
        <v>477</v>
      </c>
      <c r="L75" s="701" t="s">
        <v>2265</v>
      </c>
      <c r="M75" s="570" t="s">
        <v>2017</v>
      </c>
      <c r="N75" s="570">
        <v>0</v>
      </c>
      <c r="O75" s="570">
        <f>+N75+P75</f>
        <v>3</v>
      </c>
      <c r="P75" s="569">
        <v>3</v>
      </c>
      <c r="Q75" s="628">
        <v>0.16500000000000001</v>
      </c>
      <c r="R75" s="580">
        <f t="shared" si="61"/>
        <v>0</v>
      </c>
      <c r="S75" s="708">
        <v>0</v>
      </c>
      <c r="T75" s="625">
        <f t="shared" si="62"/>
        <v>0</v>
      </c>
      <c r="U75" s="992">
        <v>0</v>
      </c>
      <c r="V75" s="626">
        <f t="shared" si="63"/>
        <v>0</v>
      </c>
      <c r="W75" s="594">
        <f t="shared" si="64"/>
        <v>0</v>
      </c>
      <c r="X75" s="594">
        <f t="shared" si="65"/>
        <v>0</v>
      </c>
      <c r="Y75" s="594">
        <f t="shared" si="40"/>
        <v>0</v>
      </c>
      <c r="Z75" s="594">
        <f t="shared" si="66"/>
        <v>0</v>
      </c>
      <c r="AA75" s="546">
        <v>0</v>
      </c>
      <c r="AB75" s="546">
        <v>0</v>
      </c>
      <c r="AC75" s="546">
        <v>0</v>
      </c>
      <c r="AD75" s="546">
        <v>0</v>
      </c>
      <c r="AE75" s="546">
        <v>0</v>
      </c>
      <c r="AF75" s="546">
        <v>0</v>
      </c>
      <c r="AG75" s="546">
        <v>0</v>
      </c>
      <c r="AH75" s="546">
        <v>0</v>
      </c>
      <c r="AI75" s="546">
        <v>0</v>
      </c>
      <c r="AJ75" s="546">
        <v>0</v>
      </c>
      <c r="AK75" s="546">
        <v>0</v>
      </c>
      <c r="AL75" s="546">
        <v>0</v>
      </c>
      <c r="AM75" s="546">
        <v>0</v>
      </c>
      <c r="AN75" s="546">
        <v>0</v>
      </c>
      <c r="AO75" s="546">
        <v>0</v>
      </c>
      <c r="AP75" s="546">
        <v>0</v>
      </c>
      <c r="AQ75" s="546">
        <v>0</v>
      </c>
      <c r="AR75" s="546">
        <v>0</v>
      </c>
      <c r="AS75" s="546" t="s">
        <v>2045</v>
      </c>
      <c r="AT75" s="570">
        <f t="shared" si="67"/>
        <v>5.5E-2</v>
      </c>
      <c r="AU75" s="570">
        <v>1</v>
      </c>
      <c r="AV75" s="625">
        <f t="shared" si="68"/>
        <v>0.33333333333333331</v>
      </c>
      <c r="AW75" s="1003">
        <v>1</v>
      </c>
      <c r="AX75" s="724">
        <f t="shared" si="69"/>
        <v>1</v>
      </c>
      <c r="AY75" s="724">
        <f t="shared" si="70"/>
        <v>100</v>
      </c>
      <c r="AZ75" s="724">
        <f t="shared" si="71"/>
        <v>100</v>
      </c>
      <c r="BA75" s="594">
        <f t="shared" si="72"/>
        <v>5.5E-2</v>
      </c>
      <c r="BB75" s="594">
        <f t="shared" si="73"/>
        <v>100</v>
      </c>
      <c r="BC75" s="546">
        <v>651000000</v>
      </c>
      <c r="BD75" s="546">
        <v>0</v>
      </c>
      <c r="BE75" s="546">
        <v>651000000</v>
      </c>
      <c r="BF75" s="546">
        <v>0</v>
      </c>
      <c r="BG75" s="546">
        <v>0</v>
      </c>
      <c r="BH75" s="546">
        <v>0</v>
      </c>
      <c r="BI75" s="546">
        <v>0</v>
      </c>
      <c r="BJ75" s="546">
        <v>0</v>
      </c>
      <c r="BK75" s="723">
        <v>751307249</v>
      </c>
      <c r="BL75" s="722">
        <v>751307249</v>
      </c>
      <c r="BM75" s="722">
        <v>0</v>
      </c>
      <c r="BN75" s="722">
        <v>0</v>
      </c>
      <c r="BO75" s="722">
        <v>0</v>
      </c>
      <c r="BP75" s="722">
        <v>0</v>
      </c>
      <c r="BQ75" s="722">
        <v>0</v>
      </c>
      <c r="BR75" s="722">
        <v>0</v>
      </c>
      <c r="BS75" s="722">
        <v>0</v>
      </c>
      <c r="BT75" s="722">
        <v>0</v>
      </c>
      <c r="BU75" s="722">
        <v>0</v>
      </c>
      <c r="BV75" s="580">
        <f t="shared" si="74"/>
        <v>5.5E-2</v>
      </c>
      <c r="BW75" s="588">
        <v>1</v>
      </c>
      <c r="BX75" s="623">
        <f t="shared" si="75"/>
        <v>0.33333333333333331</v>
      </c>
      <c r="BY75" s="607">
        <v>1</v>
      </c>
      <c r="BZ75" s="629">
        <v>1</v>
      </c>
      <c r="CA75" s="1017">
        <v>1</v>
      </c>
      <c r="CB75" s="721">
        <f t="shared" si="76"/>
        <v>1</v>
      </c>
      <c r="CC75" s="721">
        <f t="shared" si="77"/>
        <v>100</v>
      </c>
      <c r="CD75" s="720">
        <f t="shared" si="78"/>
        <v>100</v>
      </c>
      <c r="CE75" s="618">
        <f t="shared" si="79"/>
        <v>5.5E-2</v>
      </c>
      <c r="CF75" s="719">
        <f t="shared" si="80"/>
        <v>100</v>
      </c>
      <c r="CG75" s="618">
        <f t="shared" si="81"/>
        <v>5.5E-2</v>
      </c>
      <c r="CH75" s="718">
        <f t="shared" si="82"/>
        <v>5.5E-2</v>
      </c>
      <c r="CI75" s="552">
        <v>1</v>
      </c>
      <c r="CJ75" s="551">
        <f t="shared" si="83"/>
        <v>0.33333333333333331</v>
      </c>
      <c r="CK75" s="874">
        <v>1</v>
      </c>
      <c r="CL75" s="533">
        <f t="shared" si="84"/>
        <v>0</v>
      </c>
      <c r="CM75" s="619">
        <f t="shared" si="85"/>
        <v>1</v>
      </c>
      <c r="CN75" s="619">
        <f t="shared" si="86"/>
        <v>100</v>
      </c>
      <c r="CO75" s="549">
        <f t="shared" si="87"/>
        <v>100</v>
      </c>
      <c r="CP75" s="619">
        <f t="shared" si="88"/>
        <v>5.5E-2</v>
      </c>
      <c r="CQ75" s="619">
        <f t="shared" si="89"/>
        <v>5.5E-2</v>
      </c>
      <c r="CR75" s="546">
        <v>651000000</v>
      </c>
      <c r="CS75" s="546">
        <v>651000000</v>
      </c>
      <c r="CT75" s="546">
        <v>0</v>
      </c>
      <c r="CU75" s="546">
        <v>0</v>
      </c>
      <c r="CV75" s="546">
        <v>0</v>
      </c>
      <c r="CW75" s="546">
        <v>0</v>
      </c>
      <c r="CX75" s="546">
        <v>0</v>
      </c>
      <c r="CY75" s="546">
        <v>0</v>
      </c>
      <c r="CZ75" s="618">
        <v>0</v>
      </c>
      <c r="DA75" s="618">
        <v>0</v>
      </c>
      <c r="DB75" s="618">
        <v>0</v>
      </c>
      <c r="DC75" s="618">
        <v>0</v>
      </c>
      <c r="DD75" s="618">
        <v>0</v>
      </c>
      <c r="DE75" s="618">
        <v>0</v>
      </c>
      <c r="DF75" s="618">
        <v>0</v>
      </c>
      <c r="DG75" s="618">
        <v>0</v>
      </c>
      <c r="DH75" s="618">
        <v>0</v>
      </c>
      <c r="DI75" s="618">
        <v>0</v>
      </c>
      <c r="DJ75" s="618">
        <v>0</v>
      </c>
      <c r="DK75" s="1034">
        <f t="shared" si="90"/>
        <v>3</v>
      </c>
      <c r="DL75" s="543">
        <f t="shared" si="91"/>
        <v>0.16500000000000001</v>
      </c>
      <c r="DM75" s="542">
        <f t="shared" si="92"/>
        <v>100</v>
      </c>
      <c r="DN75" s="594">
        <f t="shared" si="93"/>
        <v>100</v>
      </c>
      <c r="DO75" s="540">
        <f t="shared" si="94"/>
        <v>0.16500000000000001</v>
      </c>
      <c r="DP75" s="597">
        <f>+IF(((DN75*Q75)/100)&lt;Q75, ((DN75*Q75)/100),Q75)</f>
        <v>0.16500000000000001</v>
      </c>
      <c r="DQ75" s="538">
        <f t="shared" si="95"/>
        <v>0.16500000000000001</v>
      </c>
      <c r="DR75" s="617">
        <f t="shared" si="96"/>
        <v>1</v>
      </c>
      <c r="DS75" s="616">
        <f t="shared" si="97"/>
        <v>0</v>
      </c>
      <c r="DT75" s="259">
        <v>74</v>
      </c>
      <c r="DU75" s="260" t="s">
        <v>442</v>
      </c>
      <c r="DV75" s="259">
        <v>118</v>
      </c>
      <c r="DW75" s="260" t="s">
        <v>478</v>
      </c>
      <c r="DX75" s="259"/>
      <c r="DY75" s="259"/>
      <c r="DZ75" s="259"/>
      <c r="EA75" s="987"/>
      <c r="EB75" s="1041" t="s">
        <v>2423</v>
      </c>
      <c r="EC75" s="802">
        <v>651000000</v>
      </c>
      <c r="EE75" s="1047"/>
    </row>
    <row r="76" spans="4:135" s="534" customFormat="1" ht="76.5" hidden="1" x14ac:dyDescent="0.3">
      <c r="D76" s="783">
        <v>73</v>
      </c>
      <c r="E76" s="799">
        <v>100</v>
      </c>
      <c r="F76" s="787" t="s">
        <v>200</v>
      </c>
      <c r="G76" s="787" t="s">
        <v>3</v>
      </c>
      <c r="H76" s="788" t="s">
        <v>140</v>
      </c>
      <c r="I76" s="712" t="s">
        <v>346</v>
      </c>
      <c r="J76" s="573" t="s">
        <v>479</v>
      </c>
      <c r="K76" s="573" t="s">
        <v>480</v>
      </c>
      <c r="L76" s="702" t="s">
        <v>1682</v>
      </c>
      <c r="M76" s="570" t="s">
        <v>2032</v>
      </c>
      <c r="N76" s="570">
        <v>56000</v>
      </c>
      <c r="O76" s="570">
        <f>+P76</f>
        <v>80000</v>
      </c>
      <c r="P76" s="569">
        <v>80000</v>
      </c>
      <c r="Q76" s="628">
        <v>0.16500000000000001</v>
      </c>
      <c r="R76" s="580">
        <f t="shared" si="61"/>
        <v>4.1250000000000002E-2</v>
      </c>
      <c r="S76" s="708">
        <v>80000</v>
      </c>
      <c r="T76" s="625">
        <f t="shared" si="62"/>
        <v>0.25</v>
      </c>
      <c r="U76" s="992">
        <v>102622</v>
      </c>
      <c r="V76" s="626">
        <f t="shared" si="63"/>
        <v>25655.5</v>
      </c>
      <c r="W76" s="594">
        <f t="shared" si="64"/>
        <v>128.2775</v>
      </c>
      <c r="X76" s="594">
        <f t="shared" si="65"/>
        <v>100</v>
      </c>
      <c r="Y76" s="594">
        <f t="shared" si="40"/>
        <v>4.1250000000000002E-2</v>
      </c>
      <c r="Z76" s="594">
        <f t="shared" si="66"/>
        <v>100</v>
      </c>
      <c r="AA76" s="546">
        <v>856000000</v>
      </c>
      <c r="AB76" s="546">
        <v>856000000</v>
      </c>
      <c r="AC76" s="546">
        <v>0</v>
      </c>
      <c r="AD76" s="546">
        <v>0</v>
      </c>
      <c r="AE76" s="546">
        <v>0</v>
      </c>
      <c r="AF76" s="546">
        <v>0</v>
      </c>
      <c r="AG76" s="546">
        <v>0</v>
      </c>
      <c r="AH76" s="546">
        <v>0</v>
      </c>
      <c r="AI76" s="546">
        <v>1365337000</v>
      </c>
      <c r="AJ76" s="546">
        <v>1365337000</v>
      </c>
      <c r="AK76" s="546">
        <v>0</v>
      </c>
      <c r="AL76" s="546">
        <v>0</v>
      </c>
      <c r="AM76" s="546">
        <v>0</v>
      </c>
      <c r="AN76" s="546">
        <v>0</v>
      </c>
      <c r="AO76" s="546">
        <v>0</v>
      </c>
      <c r="AP76" s="546">
        <v>0</v>
      </c>
      <c r="AQ76" s="546">
        <v>0</v>
      </c>
      <c r="AR76" s="546">
        <v>0</v>
      </c>
      <c r="AS76" s="546" t="s">
        <v>2045</v>
      </c>
      <c r="AT76" s="570">
        <f t="shared" si="67"/>
        <v>4.1250000000000002E-2</v>
      </c>
      <c r="AU76" s="570">
        <v>80000</v>
      </c>
      <c r="AV76" s="625">
        <f t="shared" si="68"/>
        <v>0.25</v>
      </c>
      <c r="AW76" s="1003">
        <v>91296</v>
      </c>
      <c r="AX76" s="724">
        <f t="shared" si="69"/>
        <v>22824</v>
      </c>
      <c r="AY76" s="724">
        <f t="shared" si="70"/>
        <v>114.12</v>
      </c>
      <c r="AZ76" s="724">
        <f t="shared" si="71"/>
        <v>100</v>
      </c>
      <c r="BA76" s="594">
        <f t="shared" si="72"/>
        <v>4.1250000000000002E-2</v>
      </c>
      <c r="BB76" s="594">
        <f t="shared" si="73"/>
        <v>100</v>
      </c>
      <c r="BC76" s="546">
        <v>1600000000</v>
      </c>
      <c r="BD76" s="546">
        <v>0</v>
      </c>
      <c r="BE76" s="546">
        <v>1600000000</v>
      </c>
      <c r="BF76" s="546">
        <v>0</v>
      </c>
      <c r="BG76" s="546">
        <v>0</v>
      </c>
      <c r="BH76" s="546">
        <v>0</v>
      </c>
      <c r="BI76" s="546">
        <v>0</v>
      </c>
      <c r="BJ76" s="546">
        <v>0</v>
      </c>
      <c r="BK76" s="723">
        <v>1338932609</v>
      </c>
      <c r="BL76" s="722">
        <v>952616670</v>
      </c>
      <c r="BM76" s="722">
        <v>0</v>
      </c>
      <c r="BN76" s="722">
        <v>386315939</v>
      </c>
      <c r="BO76" s="722">
        <v>0</v>
      </c>
      <c r="BP76" s="722">
        <v>0</v>
      </c>
      <c r="BQ76" s="722">
        <v>0</v>
      </c>
      <c r="BR76" s="722">
        <v>0</v>
      </c>
      <c r="BS76" s="722">
        <v>0</v>
      </c>
      <c r="BT76" s="722">
        <v>0</v>
      </c>
      <c r="BU76" s="722">
        <v>0</v>
      </c>
      <c r="BV76" s="580">
        <f t="shared" si="74"/>
        <v>4.1250000000000002E-2</v>
      </c>
      <c r="BW76" s="588">
        <v>80000</v>
      </c>
      <c r="BX76" s="623">
        <f t="shared" si="75"/>
        <v>0.25</v>
      </c>
      <c r="BY76" s="607">
        <v>92752</v>
      </c>
      <c r="BZ76" s="629">
        <v>92752</v>
      </c>
      <c r="CA76" s="1017">
        <v>92752</v>
      </c>
      <c r="CB76" s="721">
        <f t="shared" si="76"/>
        <v>23188</v>
      </c>
      <c r="CC76" s="721">
        <f t="shared" si="77"/>
        <v>115.94</v>
      </c>
      <c r="CD76" s="720">
        <f t="shared" si="78"/>
        <v>100</v>
      </c>
      <c r="CE76" s="618">
        <f t="shared" si="79"/>
        <v>4.1250000000000002E-2</v>
      </c>
      <c r="CF76" s="719">
        <f t="shared" si="80"/>
        <v>100</v>
      </c>
      <c r="CG76" s="618">
        <f t="shared" si="81"/>
        <v>4.782525E-2</v>
      </c>
      <c r="CH76" s="718">
        <f t="shared" si="82"/>
        <v>4.1250000000000002E-2</v>
      </c>
      <c r="CI76" s="552">
        <v>80000</v>
      </c>
      <c r="CJ76" s="551">
        <f t="shared" si="83"/>
        <v>0.25</v>
      </c>
      <c r="CK76" s="874">
        <v>34600</v>
      </c>
      <c r="CL76" s="533">
        <f t="shared" si="84"/>
        <v>45400</v>
      </c>
      <c r="CM76" s="619">
        <f t="shared" si="85"/>
        <v>8650</v>
      </c>
      <c r="CN76" s="619">
        <f t="shared" si="86"/>
        <v>43.25</v>
      </c>
      <c r="CO76" s="619">
        <f t="shared" si="87"/>
        <v>43.25</v>
      </c>
      <c r="CP76" s="619">
        <f t="shared" si="88"/>
        <v>1.7840625000000002E-2</v>
      </c>
      <c r="CQ76" s="619">
        <f t="shared" si="89"/>
        <v>1.7840625000000002E-2</v>
      </c>
      <c r="CR76" s="546">
        <v>1600000000</v>
      </c>
      <c r="CS76" s="546">
        <v>1600000000</v>
      </c>
      <c r="CT76" s="546">
        <v>0</v>
      </c>
      <c r="CU76" s="546">
        <v>0</v>
      </c>
      <c r="CV76" s="546">
        <v>0</v>
      </c>
      <c r="CW76" s="546">
        <v>0</v>
      </c>
      <c r="CX76" s="546">
        <v>0</v>
      </c>
      <c r="CY76" s="546">
        <v>0</v>
      </c>
      <c r="CZ76" s="618">
        <v>0</v>
      </c>
      <c r="DA76" s="618">
        <v>0</v>
      </c>
      <c r="DB76" s="618">
        <v>0</v>
      </c>
      <c r="DC76" s="618">
        <v>0</v>
      </c>
      <c r="DD76" s="618">
        <v>0</v>
      </c>
      <c r="DE76" s="618">
        <v>0</v>
      </c>
      <c r="DF76" s="618">
        <v>0</v>
      </c>
      <c r="DG76" s="618">
        <v>0</v>
      </c>
      <c r="DH76" s="618">
        <v>0</v>
      </c>
      <c r="DI76" s="618">
        <v>0</v>
      </c>
      <c r="DJ76" s="618">
        <v>0</v>
      </c>
      <c r="DK76" s="1034">
        <f t="shared" si="90"/>
        <v>80317.5</v>
      </c>
      <c r="DL76" s="543">
        <f t="shared" si="91"/>
        <v>0.16500000000000001</v>
      </c>
      <c r="DM76" s="542">
        <f t="shared" si="92"/>
        <v>100.39687499999999</v>
      </c>
      <c r="DN76" s="594">
        <f t="shared" si="93"/>
        <v>100</v>
      </c>
      <c r="DO76" s="540">
        <f t="shared" si="94"/>
        <v>0.16500000000000001</v>
      </c>
      <c r="DP76" s="597">
        <f>+IF(M76="M",DO76,0)</f>
        <v>0.16500000000000001</v>
      </c>
      <c r="DQ76" s="538">
        <f t="shared" si="95"/>
        <v>0.16500000000000001</v>
      </c>
      <c r="DR76" s="617">
        <f t="shared" si="96"/>
        <v>1</v>
      </c>
      <c r="DS76" s="616">
        <f t="shared" si="97"/>
        <v>0</v>
      </c>
      <c r="DT76" s="259">
        <v>74</v>
      </c>
      <c r="DU76" s="260" t="s">
        <v>442</v>
      </c>
      <c r="DV76" s="259"/>
      <c r="DW76" s="260" t="s">
        <v>242</v>
      </c>
      <c r="DX76" s="259"/>
      <c r="DY76" s="259"/>
      <c r="DZ76" s="259"/>
      <c r="EA76" s="987"/>
      <c r="EB76" s="1041" t="s">
        <v>2424</v>
      </c>
      <c r="EC76" s="802">
        <v>1600000000</v>
      </c>
      <c r="EE76" s="1047"/>
    </row>
    <row r="77" spans="4:135" s="534" customFormat="1" ht="51" hidden="1" x14ac:dyDescent="0.3">
      <c r="D77" s="783">
        <v>74</v>
      </c>
      <c r="E77" s="799">
        <v>101</v>
      </c>
      <c r="F77" s="787" t="s">
        <v>200</v>
      </c>
      <c r="G77" s="787" t="s">
        <v>3</v>
      </c>
      <c r="H77" s="788" t="s">
        <v>140</v>
      </c>
      <c r="I77" s="712" t="s">
        <v>346</v>
      </c>
      <c r="J77" s="573" t="s">
        <v>481</v>
      </c>
      <c r="K77" s="573" t="s">
        <v>482</v>
      </c>
      <c r="L77" s="702" t="s">
        <v>1682</v>
      </c>
      <c r="M77" s="570" t="s">
        <v>2017</v>
      </c>
      <c r="N77" s="570">
        <v>0</v>
      </c>
      <c r="O77" s="570">
        <f>+N77+P77</f>
        <v>17400</v>
      </c>
      <c r="P77" s="569">
        <v>17400</v>
      </c>
      <c r="Q77" s="628">
        <v>0.16500000000000001</v>
      </c>
      <c r="R77" s="580">
        <f t="shared" si="61"/>
        <v>4.1250000000000002E-2</v>
      </c>
      <c r="S77" s="708">
        <v>4350</v>
      </c>
      <c r="T77" s="625">
        <f t="shared" si="62"/>
        <v>0.25</v>
      </c>
      <c r="U77" s="992">
        <v>12071</v>
      </c>
      <c r="V77" s="626">
        <f t="shared" si="63"/>
        <v>12071</v>
      </c>
      <c r="W77" s="594">
        <f t="shared" si="64"/>
        <v>277.4942528735632</v>
      </c>
      <c r="X77" s="594">
        <f t="shared" si="65"/>
        <v>100</v>
      </c>
      <c r="Y77" s="594">
        <f t="shared" si="40"/>
        <v>4.1250000000000002E-2</v>
      </c>
      <c r="Z77" s="594">
        <f t="shared" si="66"/>
        <v>100</v>
      </c>
      <c r="AA77" s="546">
        <v>464000000</v>
      </c>
      <c r="AB77" s="546">
        <v>6000000</v>
      </c>
      <c r="AC77" s="546">
        <v>0</v>
      </c>
      <c r="AD77" s="546">
        <v>0</v>
      </c>
      <c r="AE77" s="546">
        <v>0</v>
      </c>
      <c r="AF77" s="546">
        <v>0</v>
      </c>
      <c r="AG77" s="546">
        <v>0</v>
      </c>
      <c r="AH77" s="546">
        <v>458000000</v>
      </c>
      <c r="AI77" s="546">
        <v>464000000</v>
      </c>
      <c r="AJ77" s="546">
        <v>6000000</v>
      </c>
      <c r="AK77" s="546">
        <v>0</v>
      </c>
      <c r="AL77" s="546">
        <v>458000000</v>
      </c>
      <c r="AM77" s="546">
        <v>0</v>
      </c>
      <c r="AN77" s="546">
        <v>0</v>
      </c>
      <c r="AO77" s="546">
        <v>0</v>
      </c>
      <c r="AP77" s="546">
        <v>0</v>
      </c>
      <c r="AQ77" s="546">
        <v>0</v>
      </c>
      <c r="AR77" s="546">
        <v>0</v>
      </c>
      <c r="AS77" s="546" t="s">
        <v>2045</v>
      </c>
      <c r="AT77" s="570">
        <f t="shared" si="67"/>
        <v>4.1250000000000002E-2</v>
      </c>
      <c r="AU77" s="570">
        <v>4350</v>
      </c>
      <c r="AV77" s="625">
        <f t="shared" si="68"/>
        <v>0.25</v>
      </c>
      <c r="AW77" s="1003">
        <v>4500</v>
      </c>
      <c r="AX77" s="724">
        <f t="shared" si="69"/>
        <v>4500</v>
      </c>
      <c r="AY77" s="724">
        <f t="shared" si="70"/>
        <v>103.44827586206897</v>
      </c>
      <c r="AZ77" s="724">
        <f t="shared" si="71"/>
        <v>100</v>
      </c>
      <c r="BA77" s="594">
        <f t="shared" si="72"/>
        <v>4.1250000000000002E-2</v>
      </c>
      <c r="BB77" s="594">
        <f t="shared" si="73"/>
        <v>100</v>
      </c>
      <c r="BC77" s="546">
        <v>868000000</v>
      </c>
      <c r="BD77" s="546">
        <v>0</v>
      </c>
      <c r="BE77" s="546">
        <v>0</v>
      </c>
      <c r="BF77" s="546">
        <v>0</v>
      </c>
      <c r="BG77" s="546">
        <v>0</v>
      </c>
      <c r="BH77" s="546">
        <v>0</v>
      </c>
      <c r="BI77" s="546">
        <v>0</v>
      </c>
      <c r="BJ77" s="546">
        <v>868000000</v>
      </c>
      <c r="BK77" s="723">
        <v>819762232</v>
      </c>
      <c r="BL77" s="722">
        <v>561227272</v>
      </c>
      <c r="BM77" s="722">
        <v>0</v>
      </c>
      <c r="BN77" s="722">
        <v>258534960</v>
      </c>
      <c r="BO77" s="722">
        <v>0</v>
      </c>
      <c r="BP77" s="722">
        <v>0</v>
      </c>
      <c r="BQ77" s="722">
        <v>0</v>
      </c>
      <c r="BR77" s="722">
        <v>0</v>
      </c>
      <c r="BS77" s="722">
        <v>0</v>
      </c>
      <c r="BT77" s="722">
        <v>0</v>
      </c>
      <c r="BU77" s="722">
        <v>0</v>
      </c>
      <c r="BV77" s="580">
        <f t="shared" si="74"/>
        <v>5.3710344827586208E-2</v>
      </c>
      <c r="BW77" s="588">
        <v>5664</v>
      </c>
      <c r="BX77" s="623">
        <f t="shared" si="75"/>
        <v>0.32551724137931032</v>
      </c>
      <c r="BY77" s="607">
        <v>5069</v>
      </c>
      <c r="BZ77" s="629">
        <v>5069</v>
      </c>
      <c r="CA77" s="1017">
        <v>5069</v>
      </c>
      <c r="CB77" s="721">
        <f t="shared" si="76"/>
        <v>5069</v>
      </c>
      <c r="CC77" s="721">
        <f t="shared" si="77"/>
        <v>89.495056497175142</v>
      </c>
      <c r="CD77" s="720">
        <f t="shared" si="78"/>
        <v>89.495056497175142</v>
      </c>
      <c r="CE77" s="618">
        <f t="shared" si="79"/>
        <v>4.8068103448275862E-2</v>
      </c>
      <c r="CF77" s="719">
        <f t="shared" si="80"/>
        <v>89.495056497175142</v>
      </c>
      <c r="CG77" s="618">
        <f t="shared" si="81"/>
        <v>4.8068103448275862E-2</v>
      </c>
      <c r="CH77" s="718">
        <f t="shared" si="82"/>
        <v>2.8789655172413796E-2</v>
      </c>
      <c r="CI77" s="552">
        <v>3036</v>
      </c>
      <c r="CJ77" s="551">
        <f t="shared" si="83"/>
        <v>0.17448275862068965</v>
      </c>
      <c r="CK77" s="871">
        <v>0</v>
      </c>
      <c r="CL77" s="533">
        <f t="shared" si="84"/>
        <v>3036</v>
      </c>
      <c r="CM77" s="619">
        <f t="shared" si="85"/>
        <v>0</v>
      </c>
      <c r="CN77" s="619">
        <f t="shared" si="86"/>
        <v>0</v>
      </c>
      <c r="CO77" s="549">
        <f t="shared" si="87"/>
        <v>0</v>
      </c>
      <c r="CP77" s="619">
        <f t="shared" si="88"/>
        <v>0</v>
      </c>
      <c r="CQ77" s="619">
        <f t="shared" si="89"/>
        <v>0</v>
      </c>
      <c r="CR77" s="546">
        <v>957000000</v>
      </c>
      <c r="CS77" s="546">
        <v>0</v>
      </c>
      <c r="CT77" s="546">
        <v>0</v>
      </c>
      <c r="CU77" s="546">
        <v>0</v>
      </c>
      <c r="CV77" s="546">
        <v>0</v>
      </c>
      <c r="CW77" s="546">
        <v>0</v>
      </c>
      <c r="CX77" s="546">
        <v>0</v>
      </c>
      <c r="CY77" s="546">
        <v>957000000</v>
      </c>
      <c r="CZ77" s="618">
        <v>0</v>
      </c>
      <c r="DA77" s="618">
        <v>0</v>
      </c>
      <c r="DB77" s="618">
        <v>0</v>
      </c>
      <c r="DC77" s="618">
        <v>0</v>
      </c>
      <c r="DD77" s="618">
        <v>0</v>
      </c>
      <c r="DE77" s="618">
        <v>0</v>
      </c>
      <c r="DF77" s="618">
        <v>0</v>
      </c>
      <c r="DG77" s="618">
        <v>0</v>
      </c>
      <c r="DH77" s="618">
        <v>0</v>
      </c>
      <c r="DI77" s="618">
        <v>0</v>
      </c>
      <c r="DJ77" s="618">
        <v>0</v>
      </c>
      <c r="DK77" s="1034">
        <f t="shared" si="90"/>
        <v>21640</v>
      </c>
      <c r="DL77" s="543">
        <f t="shared" si="91"/>
        <v>0.16500000000000001</v>
      </c>
      <c r="DM77" s="542">
        <f t="shared" si="92"/>
        <v>124.36781609195403</v>
      </c>
      <c r="DN77" s="594">
        <f t="shared" si="93"/>
        <v>100</v>
      </c>
      <c r="DO77" s="540">
        <f t="shared" si="94"/>
        <v>0.16500000000000001</v>
      </c>
      <c r="DP77" s="597">
        <f>+IF(((DN77*Q77)/100)&lt;Q77, ((DN77*Q77)/100),Q77)</f>
        <v>0.16500000000000001</v>
      </c>
      <c r="DQ77" s="538">
        <f t="shared" si="95"/>
        <v>0.16500000000000001</v>
      </c>
      <c r="DR77" s="617">
        <f t="shared" si="96"/>
        <v>1</v>
      </c>
      <c r="DS77" s="616">
        <f t="shared" si="97"/>
        <v>0</v>
      </c>
      <c r="DT77" s="259">
        <v>74</v>
      </c>
      <c r="DU77" s="260" t="s">
        <v>442</v>
      </c>
      <c r="DV77" s="259"/>
      <c r="DW77" s="260" t="s">
        <v>242</v>
      </c>
      <c r="DX77" s="259"/>
      <c r="DY77" s="259"/>
      <c r="DZ77" s="259"/>
      <c r="EA77" s="987"/>
      <c r="EB77" s="1041" t="s">
        <v>2390</v>
      </c>
      <c r="EC77" s="802">
        <v>912000000</v>
      </c>
      <c r="EE77" s="1047"/>
    </row>
    <row r="78" spans="4:135" s="534" customFormat="1" ht="76.5" hidden="1" x14ac:dyDescent="0.3">
      <c r="D78" s="783">
        <v>75</v>
      </c>
      <c r="E78" s="799">
        <v>102</v>
      </c>
      <c r="F78" s="787" t="s">
        <v>200</v>
      </c>
      <c r="G78" s="787" t="s">
        <v>239</v>
      </c>
      <c r="H78" s="788" t="s">
        <v>140</v>
      </c>
      <c r="I78" s="712" t="s">
        <v>346</v>
      </c>
      <c r="J78" s="573" t="s">
        <v>483</v>
      </c>
      <c r="K78" s="573" t="s">
        <v>484</v>
      </c>
      <c r="L78" s="702" t="s">
        <v>1593</v>
      </c>
      <c r="M78" s="570" t="s">
        <v>2032</v>
      </c>
      <c r="N78" s="570">
        <v>40</v>
      </c>
      <c r="O78" s="570">
        <f>+P78</f>
        <v>40</v>
      </c>
      <c r="P78" s="569">
        <v>40</v>
      </c>
      <c r="Q78" s="628">
        <v>0.25</v>
      </c>
      <c r="R78" s="580">
        <f t="shared" si="61"/>
        <v>6.25E-2</v>
      </c>
      <c r="S78" s="708">
        <v>40</v>
      </c>
      <c r="T78" s="625">
        <f t="shared" si="62"/>
        <v>0.25</v>
      </c>
      <c r="U78" s="992">
        <v>78</v>
      </c>
      <c r="V78" s="626">
        <f t="shared" si="63"/>
        <v>19.5</v>
      </c>
      <c r="W78" s="594">
        <f t="shared" si="64"/>
        <v>195</v>
      </c>
      <c r="X78" s="594">
        <f t="shared" si="65"/>
        <v>100</v>
      </c>
      <c r="Y78" s="594">
        <f t="shared" si="40"/>
        <v>6.25E-2</v>
      </c>
      <c r="Z78" s="594">
        <f t="shared" si="66"/>
        <v>100</v>
      </c>
      <c r="AA78" s="546">
        <v>308000000</v>
      </c>
      <c r="AB78" s="546">
        <v>308000000</v>
      </c>
      <c r="AC78" s="546">
        <v>0</v>
      </c>
      <c r="AD78" s="546">
        <v>0</v>
      </c>
      <c r="AE78" s="546">
        <v>0</v>
      </c>
      <c r="AF78" s="546">
        <v>0</v>
      </c>
      <c r="AG78" s="546">
        <v>0</v>
      </c>
      <c r="AH78" s="546">
        <v>0</v>
      </c>
      <c r="AI78" s="546">
        <v>274832000</v>
      </c>
      <c r="AJ78" s="546">
        <v>274832000</v>
      </c>
      <c r="AK78" s="546">
        <v>0</v>
      </c>
      <c r="AL78" s="546">
        <v>0</v>
      </c>
      <c r="AM78" s="546">
        <v>0</v>
      </c>
      <c r="AN78" s="546">
        <v>0</v>
      </c>
      <c r="AO78" s="546">
        <v>0</v>
      </c>
      <c r="AP78" s="546">
        <v>0</v>
      </c>
      <c r="AQ78" s="546">
        <v>0</v>
      </c>
      <c r="AR78" s="546">
        <v>91335000</v>
      </c>
      <c r="AS78" s="546" t="s">
        <v>1593</v>
      </c>
      <c r="AT78" s="570">
        <f t="shared" si="67"/>
        <v>6.25E-2</v>
      </c>
      <c r="AU78" s="570">
        <v>40</v>
      </c>
      <c r="AV78" s="625">
        <f t="shared" si="68"/>
        <v>0.25</v>
      </c>
      <c r="AW78" s="1003">
        <v>97</v>
      </c>
      <c r="AX78" s="724">
        <f t="shared" si="69"/>
        <v>24.25</v>
      </c>
      <c r="AY78" s="724">
        <f t="shared" si="70"/>
        <v>242.5</v>
      </c>
      <c r="AZ78" s="724">
        <f t="shared" si="71"/>
        <v>100</v>
      </c>
      <c r="BA78" s="594">
        <f t="shared" si="72"/>
        <v>6.25E-2</v>
      </c>
      <c r="BB78" s="594">
        <f t="shared" si="73"/>
        <v>100</v>
      </c>
      <c r="BC78" s="546">
        <v>755000000</v>
      </c>
      <c r="BD78" s="546">
        <v>0</v>
      </c>
      <c r="BE78" s="546">
        <v>380000000</v>
      </c>
      <c r="BF78" s="546">
        <v>0</v>
      </c>
      <c r="BG78" s="546">
        <v>0</v>
      </c>
      <c r="BH78" s="546">
        <v>0</v>
      </c>
      <c r="BI78" s="546">
        <v>0</v>
      </c>
      <c r="BJ78" s="546">
        <v>375000000</v>
      </c>
      <c r="BK78" s="723">
        <v>580688166</v>
      </c>
      <c r="BL78" s="722">
        <v>580688166</v>
      </c>
      <c r="BM78" s="722">
        <v>0</v>
      </c>
      <c r="BN78" s="722">
        <v>0</v>
      </c>
      <c r="BO78" s="722">
        <v>0</v>
      </c>
      <c r="BP78" s="722">
        <v>0</v>
      </c>
      <c r="BQ78" s="722">
        <v>0</v>
      </c>
      <c r="BR78" s="722">
        <v>0</v>
      </c>
      <c r="BS78" s="722">
        <v>0</v>
      </c>
      <c r="BT78" s="722">
        <v>0</v>
      </c>
      <c r="BU78" s="722">
        <v>0</v>
      </c>
      <c r="BV78" s="580">
        <f t="shared" si="74"/>
        <v>6.25E-2</v>
      </c>
      <c r="BW78" s="588">
        <v>40</v>
      </c>
      <c r="BX78" s="623">
        <f t="shared" si="75"/>
        <v>0.25</v>
      </c>
      <c r="BY78" s="607">
        <v>50</v>
      </c>
      <c r="BZ78" s="629">
        <v>50</v>
      </c>
      <c r="CA78" s="1017">
        <v>57</v>
      </c>
      <c r="CB78" s="721">
        <f t="shared" si="76"/>
        <v>14.25</v>
      </c>
      <c r="CC78" s="721">
        <f t="shared" si="77"/>
        <v>142.5</v>
      </c>
      <c r="CD78" s="720">
        <f t="shared" si="78"/>
        <v>100</v>
      </c>
      <c r="CE78" s="618">
        <f t="shared" si="79"/>
        <v>6.25E-2</v>
      </c>
      <c r="CF78" s="719">
        <f t="shared" si="80"/>
        <v>100</v>
      </c>
      <c r="CG78" s="618">
        <f t="shared" si="81"/>
        <v>8.9062500000000003E-2</v>
      </c>
      <c r="CH78" s="718">
        <f t="shared" si="82"/>
        <v>6.25E-2</v>
      </c>
      <c r="CI78" s="552">
        <v>40</v>
      </c>
      <c r="CJ78" s="551">
        <f t="shared" si="83"/>
        <v>0.25</v>
      </c>
      <c r="CK78" s="874">
        <v>1</v>
      </c>
      <c r="CL78" s="533">
        <f t="shared" si="84"/>
        <v>39</v>
      </c>
      <c r="CM78" s="619">
        <f t="shared" si="85"/>
        <v>0.25</v>
      </c>
      <c r="CN78" s="619">
        <f t="shared" si="86"/>
        <v>2.5</v>
      </c>
      <c r="CO78" s="619">
        <f t="shared" si="87"/>
        <v>2.5</v>
      </c>
      <c r="CP78" s="619">
        <f t="shared" si="88"/>
        <v>1.5625000000000001E-3</v>
      </c>
      <c r="CQ78" s="619">
        <f t="shared" si="89"/>
        <v>1.5625000000000001E-3</v>
      </c>
      <c r="CR78" s="546">
        <v>775000000</v>
      </c>
      <c r="CS78" s="546">
        <v>400000000</v>
      </c>
      <c r="CT78" s="546">
        <v>0</v>
      </c>
      <c r="CU78" s="546">
        <v>0</v>
      </c>
      <c r="CV78" s="546">
        <v>0</v>
      </c>
      <c r="CW78" s="546">
        <v>0</v>
      </c>
      <c r="CX78" s="546">
        <v>0</v>
      </c>
      <c r="CY78" s="546">
        <v>375000000</v>
      </c>
      <c r="CZ78" s="618">
        <v>0</v>
      </c>
      <c r="DA78" s="618">
        <v>0</v>
      </c>
      <c r="DB78" s="618">
        <v>0</v>
      </c>
      <c r="DC78" s="618">
        <v>0</v>
      </c>
      <c r="DD78" s="618">
        <v>0</v>
      </c>
      <c r="DE78" s="618">
        <v>0</v>
      </c>
      <c r="DF78" s="618">
        <v>0</v>
      </c>
      <c r="DG78" s="618">
        <v>0</v>
      </c>
      <c r="DH78" s="618">
        <v>0</v>
      </c>
      <c r="DI78" s="618">
        <v>0</v>
      </c>
      <c r="DJ78" s="618">
        <v>0</v>
      </c>
      <c r="DK78" s="1034">
        <f t="shared" si="90"/>
        <v>58.25</v>
      </c>
      <c r="DL78" s="543">
        <f t="shared" si="91"/>
        <v>0.25</v>
      </c>
      <c r="DM78" s="542">
        <f t="shared" si="92"/>
        <v>145.625</v>
      </c>
      <c r="DN78" s="594">
        <f t="shared" si="93"/>
        <v>100</v>
      </c>
      <c r="DO78" s="540">
        <f t="shared" si="94"/>
        <v>0.25</v>
      </c>
      <c r="DP78" s="597">
        <f>+IF(M78="M",DO78,0)</f>
        <v>0.25</v>
      </c>
      <c r="DQ78" s="538">
        <f t="shared" si="95"/>
        <v>0.25</v>
      </c>
      <c r="DR78" s="617">
        <f t="shared" si="96"/>
        <v>1</v>
      </c>
      <c r="DS78" s="616">
        <f t="shared" si="97"/>
        <v>0</v>
      </c>
      <c r="DT78" s="259">
        <v>74</v>
      </c>
      <c r="DU78" s="260" t="s">
        <v>442</v>
      </c>
      <c r="DV78" s="259"/>
      <c r="DW78" s="260" t="s">
        <v>242</v>
      </c>
      <c r="DX78" s="259"/>
      <c r="DY78" s="259"/>
      <c r="DZ78" s="259"/>
      <c r="EA78" s="987"/>
      <c r="EB78" s="1041" t="s">
        <v>2425</v>
      </c>
      <c r="EC78" s="802">
        <v>775000000</v>
      </c>
      <c r="EE78" s="1047"/>
    </row>
    <row r="79" spans="4:135" s="534" customFormat="1" ht="127.5" hidden="1" x14ac:dyDescent="0.3">
      <c r="D79" s="783">
        <v>76</v>
      </c>
      <c r="E79" s="799">
        <v>103</v>
      </c>
      <c r="F79" s="787" t="s">
        <v>200</v>
      </c>
      <c r="G79" s="787" t="s">
        <v>239</v>
      </c>
      <c r="H79" s="788" t="s">
        <v>140</v>
      </c>
      <c r="I79" s="712" t="s">
        <v>346</v>
      </c>
      <c r="J79" s="573" t="s">
        <v>485</v>
      </c>
      <c r="K79" s="573" t="s">
        <v>486</v>
      </c>
      <c r="L79" s="702" t="s">
        <v>2241</v>
      </c>
      <c r="M79" s="570" t="s">
        <v>2017</v>
      </c>
      <c r="N79" s="570">
        <v>92</v>
      </c>
      <c r="O79" s="570">
        <v>116</v>
      </c>
      <c r="P79" s="569">
        <v>116</v>
      </c>
      <c r="Q79" s="628">
        <v>0.16500000000000001</v>
      </c>
      <c r="R79" s="580">
        <f t="shared" si="61"/>
        <v>4.1250000000000002E-2</v>
      </c>
      <c r="S79" s="708">
        <v>29</v>
      </c>
      <c r="T79" s="625">
        <f t="shared" si="62"/>
        <v>0.25</v>
      </c>
      <c r="U79" s="992">
        <v>47</v>
      </c>
      <c r="V79" s="626">
        <f t="shared" si="63"/>
        <v>47</v>
      </c>
      <c r="W79" s="594">
        <f t="shared" si="64"/>
        <v>162.06896551724137</v>
      </c>
      <c r="X79" s="594">
        <f t="shared" si="65"/>
        <v>100</v>
      </c>
      <c r="Y79" s="594">
        <f t="shared" si="40"/>
        <v>4.1250000000000002E-2</v>
      </c>
      <c r="Z79" s="594">
        <f t="shared" si="66"/>
        <v>100</v>
      </c>
      <c r="AA79" s="546">
        <v>72000000</v>
      </c>
      <c r="AB79" s="546">
        <v>54000000</v>
      </c>
      <c r="AC79" s="546">
        <v>0</v>
      </c>
      <c r="AD79" s="546">
        <v>18000000</v>
      </c>
      <c r="AE79" s="546">
        <v>0</v>
      </c>
      <c r="AF79" s="546">
        <v>0</v>
      </c>
      <c r="AG79" s="546">
        <v>0</v>
      </c>
      <c r="AH79" s="546">
        <v>0</v>
      </c>
      <c r="AI79" s="546">
        <v>0</v>
      </c>
      <c r="AJ79" s="546">
        <v>0</v>
      </c>
      <c r="AK79" s="546">
        <v>0</v>
      </c>
      <c r="AL79" s="546">
        <v>0</v>
      </c>
      <c r="AM79" s="546">
        <v>0</v>
      </c>
      <c r="AN79" s="546">
        <v>0</v>
      </c>
      <c r="AO79" s="546">
        <v>0</v>
      </c>
      <c r="AP79" s="546">
        <v>0</v>
      </c>
      <c r="AQ79" s="546">
        <v>0</v>
      </c>
      <c r="AR79" s="546">
        <v>18182000</v>
      </c>
      <c r="AS79" s="546" t="s">
        <v>2240</v>
      </c>
      <c r="AT79" s="570">
        <f t="shared" si="67"/>
        <v>4.1250000000000002E-2</v>
      </c>
      <c r="AU79" s="570">
        <v>29</v>
      </c>
      <c r="AV79" s="625">
        <f t="shared" si="68"/>
        <v>0.25</v>
      </c>
      <c r="AW79" s="1003">
        <v>84</v>
      </c>
      <c r="AX79" s="724">
        <f t="shared" si="69"/>
        <v>84</v>
      </c>
      <c r="AY79" s="724">
        <f t="shared" si="70"/>
        <v>289.65517241379308</v>
      </c>
      <c r="AZ79" s="724">
        <f t="shared" si="71"/>
        <v>100</v>
      </c>
      <c r="BA79" s="594">
        <f t="shared" si="72"/>
        <v>4.1250000000000002E-2</v>
      </c>
      <c r="BB79" s="594">
        <f t="shared" si="73"/>
        <v>100</v>
      </c>
      <c r="BC79" s="546">
        <v>276000000</v>
      </c>
      <c r="BD79" s="546">
        <v>0</v>
      </c>
      <c r="BE79" s="546">
        <v>116000000</v>
      </c>
      <c r="BF79" s="546">
        <v>0</v>
      </c>
      <c r="BG79" s="546">
        <v>0</v>
      </c>
      <c r="BH79" s="546">
        <v>0</v>
      </c>
      <c r="BI79" s="546">
        <v>0</v>
      </c>
      <c r="BJ79" s="546">
        <v>160000000</v>
      </c>
      <c r="BK79" s="723">
        <v>95000000</v>
      </c>
      <c r="BL79" s="722">
        <v>95000000</v>
      </c>
      <c r="BM79" s="722">
        <v>0</v>
      </c>
      <c r="BN79" s="722">
        <v>0</v>
      </c>
      <c r="BO79" s="722">
        <v>0</v>
      </c>
      <c r="BP79" s="722">
        <v>0</v>
      </c>
      <c r="BQ79" s="722">
        <v>0</v>
      </c>
      <c r="BR79" s="722">
        <v>0</v>
      </c>
      <c r="BS79" s="722">
        <v>0</v>
      </c>
      <c r="BT79" s="722">
        <v>0</v>
      </c>
      <c r="BU79" s="722">
        <v>0</v>
      </c>
      <c r="BV79" s="580">
        <f t="shared" si="74"/>
        <v>4.1250000000000002E-2</v>
      </c>
      <c r="BW79" s="588">
        <v>29</v>
      </c>
      <c r="BX79" s="623">
        <f t="shared" si="75"/>
        <v>0.25</v>
      </c>
      <c r="BY79" s="639">
        <v>100</v>
      </c>
      <c r="BZ79" s="638">
        <v>100</v>
      </c>
      <c r="CA79" s="1018">
        <v>120</v>
      </c>
      <c r="CB79" s="721">
        <f t="shared" si="76"/>
        <v>120</v>
      </c>
      <c r="CC79" s="721">
        <f t="shared" si="77"/>
        <v>413.79310344827587</v>
      </c>
      <c r="CD79" s="720">
        <f t="shared" si="78"/>
        <v>100</v>
      </c>
      <c r="CE79" s="618">
        <f t="shared" si="79"/>
        <v>4.1250000000000002E-2</v>
      </c>
      <c r="CF79" s="719">
        <f t="shared" si="80"/>
        <v>100</v>
      </c>
      <c r="CG79" s="618">
        <f t="shared" si="81"/>
        <v>0.1706896551724138</v>
      </c>
      <c r="CH79" s="718">
        <f t="shared" si="82"/>
        <v>4.1250000000000002E-2</v>
      </c>
      <c r="CI79" s="552">
        <v>29</v>
      </c>
      <c r="CJ79" s="551">
        <f t="shared" si="83"/>
        <v>0.25</v>
      </c>
      <c r="CK79" s="874">
        <v>110</v>
      </c>
      <c r="CL79" s="533">
        <f t="shared" si="84"/>
        <v>-81</v>
      </c>
      <c r="CM79" s="619">
        <f t="shared" si="85"/>
        <v>110</v>
      </c>
      <c r="CN79" s="619">
        <f t="shared" si="86"/>
        <v>379.31034482758622</v>
      </c>
      <c r="CO79" s="549">
        <f t="shared" si="87"/>
        <v>100</v>
      </c>
      <c r="CP79" s="619">
        <f t="shared" si="88"/>
        <v>4.1250000000000002E-2</v>
      </c>
      <c r="CQ79" s="619">
        <f t="shared" si="89"/>
        <v>0.15646551724137933</v>
      </c>
      <c r="CR79" s="546">
        <v>276000000</v>
      </c>
      <c r="CS79" s="546">
        <v>116000000</v>
      </c>
      <c r="CT79" s="546">
        <v>0</v>
      </c>
      <c r="CU79" s="546">
        <v>0</v>
      </c>
      <c r="CV79" s="546">
        <v>0</v>
      </c>
      <c r="CW79" s="546">
        <v>0</v>
      </c>
      <c r="CX79" s="546">
        <v>0</v>
      </c>
      <c r="CY79" s="546">
        <v>160000000</v>
      </c>
      <c r="CZ79" s="618">
        <v>0</v>
      </c>
      <c r="DA79" s="618">
        <v>0</v>
      </c>
      <c r="DB79" s="618">
        <v>0</v>
      </c>
      <c r="DC79" s="618">
        <v>0</v>
      </c>
      <c r="DD79" s="618">
        <v>0</v>
      </c>
      <c r="DE79" s="618">
        <v>0</v>
      </c>
      <c r="DF79" s="618">
        <v>0</v>
      </c>
      <c r="DG79" s="618">
        <v>0</v>
      </c>
      <c r="DH79" s="618">
        <v>0</v>
      </c>
      <c r="DI79" s="618">
        <v>0</v>
      </c>
      <c r="DJ79" s="618">
        <v>0</v>
      </c>
      <c r="DK79" s="1034">
        <f t="shared" si="90"/>
        <v>361</v>
      </c>
      <c r="DL79" s="543">
        <f t="shared" si="91"/>
        <v>0.16500000000000001</v>
      </c>
      <c r="DM79" s="542">
        <f t="shared" si="92"/>
        <v>311.20689655172413</v>
      </c>
      <c r="DN79" s="594">
        <f t="shared" si="93"/>
        <v>100</v>
      </c>
      <c r="DO79" s="540">
        <f t="shared" si="94"/>
        <v>0.16500000000000001</v>
      </c>
      <c r="DP79" s="597">
        <f>+IF(((DN79*Q79)/100)&lt;Q79, ((DN79*Q79)/100),Q79)</f>
        <v>0.16500000000000001</v>
      </c>
      <c r="DQ79" s="538">
        <f t="shared" si="95"/>
        <v>0.16500000000000001</v>
      </c>
      <c r="DR79" s="617">
        <f t="shared" si="96"/>
        <v>1</v>
      </c>
      <c r="DS79" s="616">
        <f t="shared" si="97"/>
        <v>0</v>
      </c>
      <c r="DT79" s="259">
        <v>74</v>
      </c>
      <c r="DU79" s="260" t="s">
        <v>442</v>
      </c>
      <c r="DV79" s="259"/>
      <c r="DW79" s="260" t="s">
        <v>242</v>
      </c>
      <c r="DX79" s="259"/>
      <c r="DY79" s="259"/>
      <c r="DZ79" s="259"/>
      <c r="EA79" s="987"/>
      <c r="EB79" s="1041" t="s">
        <v>2392</v>
      </c>
      <c r="EC79" s="802">
        <v>276000000</v>
      </c>
      <c r="EE79" s="1047"/>
    </row>
    <row r="80" spans="4:135" s="534" customFormat="1" ht="72" hidden="1" x14ac:dyDescent="0.3">
      <c r="D80" s="783">
        <v>77</v>
      </c>
      <c r="E80" s="799">
        <v>104</v>
      </c>
      <c r="F80" s="787" t="s">
        <v>200</v>
      </c>
      <c r="G80" s="787" t="s">
        <v>8</v>
      </c>
      <c r="H80" s="788" t="s">
        <v>140</v>
      </c>
      <c r="I80" s="712" t="s">
        <v>346</v>
      </c>
      <c r="J80" s="573" t="s">
        <v>487</v>
      </c>
      <c r="K80" s="573" t="s">
        <v>488</v>
      </c>
      <c r="L80" s="702" t="s">
        <v>2206</v>
      </c>
      <c r="M80" s="570" t="s">
        <v>2017</v>
      </c>
      <c r="N80" s="570">
        <v>0</v>
      </c>
      <c r="O80" s="570">
        <f>+N80+P80</f>
        <v>5</v>
      </c>
      <c r="P80" s="569">
        <v>5</v>
      </c>
      <c r="Q80" s="628">
        <v>0.25</v>
      </c>
      <c r="R80" s="580">
        <f t="shared" si="61"/>
        <v>0</v>
      </c>
      <c r="S80" s="708">
        <v>0</v>
      </c>
      <c r="T80" s="625">
        <f t="shared" si="62"/>
        <v>0</v>
      </c>
      <c r="U80" s="992">
        <v>0</v>
      </c>
      <c r="V80" s="626">
        <f t="shared" si="63"/>
        <v>0</v>
      </c>
      <c r="W80" s="594">
        <f t="shared" si="64"/>
        <v>0</v>
      </c>
      <c r="X80" s="594">
        <f t="shared" si="65"/>
        <v>0</v>
      </c>
      <c r="Y80" s="594">
        <f t="shared" si="40"/>
        <v>0</v>
      </c>
      <c r="Z80" s="594">
        <f t="shared" si="66"/>
        <v>0</v>
      </c>
      <c r="AA80" s="546">
        <v>0</v>
      </c>
      <c r="AB80" s="546">
        <v>0</v>
      </c>
      <c r="AC80" s="546">
        <v>0</v>
      </c>
      <c r="AD80" s="546">
        <v>0</v>
      </c>
      <c r="AE80" s="546">
        <v>0</v>
      </c>
      <c r="AF80" s="546">
        <v>0</v>
      </c>
      <c r="AG80" s="546">
        <v>0</v>
      </c>
      <c r="AH80" s="546">
        <v>0</v>
      </c>
      <c r="AI80" s="546">
        <v>100000000</v>
      </c>
      <c r="AJ80" s="546">
        <v>100000000</v>
      </c>
      <c r="AK80" s="546">
        <v>0</v>
      </c>
      <c r="AL80" s="546">
        <v>0</v>
      </c>
      <c r="AM80" s="546">
        <v>0</v>
      </c>
      <c r="AN80" s="546">
        <v>0</v>
      </c>
      <c r="AO80" s="546">
        <v>0</v>
      </c>
      <c r="AP80" s="546">
        <v>0</v>
      </c>
      <c r="AQ80" s="546">
        <v>0</v>
      </c>
      <c r="AR80" s="546">
        <v>0</v>
      </c>
      <c r="AS80" s="546" t="s">
        <v>2045</v>
      </c>
      <c r="AT80" s="570">
        <f t="shared" si="67"/>
        <v>0.1</v>
      </c>
      <c r="AU80" s="570">
        <v>2</v>
      </c>
      <c r="AV80" s="625">
        <f t="shared" si="68"/>
        <v>0.4</v>
      </c>
      <c r="AW80" s="1003">
        <v>0</v>
      </c>
      <c r="AX80" s="724">
        <f t="shared" si="69"/>
        <v>0</v>
      </c>
      <c r="AY80" s="724">
        <f t="shared" si="70"/>
        <v>0</v>
      </c>
      <c r="AZ80" s="724">
        <f t="shared" si="71"/>
        <v>0</v>
      </c>
      <c r="BA80" s="594">
        <f t="shared" si="72"/>
        <v>0</v>
      </c>
      <c r="BB80" s="594">
        <f t="shared" si="73"/>
        <v>0</v>
      </c>
      <c r="BC80" s="546">
        <v>0</v>
      </c>
      <c r="BD80" s="546">
        <v>0</v>
      </c>
      <c r="BE80" s="546">
        <v>0</v>
      </c>
      <c r="BF80" s="546">
        <v>0</v>
      </c>
      <c r="BG80" s="546">
        <v>0</v>
      </c>
      <c r="BH80" s="546">
        <v>0</v>
      </c>
      <c r="BI80" s="546">
        <v>0</v>
      </c>
      <c r="BJ80" s="546">
        <v>0</v>
      </c>
      <c r="BK80" s="723">
        <v>0</v>
      </c>
      <c r="BL80" s="722">
        <v>0</v>
      </c>
      <c r="BM80" s="722">
        <v>0</v>
      </c>
      <c r="BN80" s="722">
        <v>0</v>
      </c>
      <c r="BO80" s="722">
        <v>0</v>
      </c>
      <c r="BP80" s="722">
        <v>0</v>
      </c>
      <c r="BQ80" s="722">
        <v>0</v>
      </c>
      <c r="BR80" s="722">
        <v>0</v>
      </c>
      <c r="BS80" s="722">
        <v>0</v>
      </c>
      <c r="BT80" s="722">
        <v>0</v>
      </c>
      <c r="BU80" s="722">
        <v>0</v>
      </c>
      <c r="BV80" s="580">
        <f t="shared" si="74"/>
        <v>0.1</v>
      </c>
      <c r="BW80" s="588">
        <v>2</v>
      </c>
      <c r="BX80" s="623">
        <f t="shared" si="75"/>
        <v>0.4</v>
      </c>
      <c r="BY80" s="607">
        <v>0</v>
      </c>
      <c r="BZ80" s="629">
        <v>0</v>
      </c>
      <c r="CA80" s="1017">
        <v>0</v>
      </c>
      <c r="CB80" s="721">
        <f t="shared" si="76"/>
        <v>0</v>
      </c>
      <c r="CC80" s="721">
        <f t="shared" si="77"/>
        <v>0</v>
      </c>
      <c r="CD80" s="720">
        <f t="shared" si="78"/>
        <v>0</v>
      </c>
      <c r="CE80" s="618">
        <f t="shared" si="79"/>
        <v>0</v>
      </c>
      <c r="CF80" s="719">
        <f t="shared" si="80"/>
        <v>0</v>
      </c>
      <c r="CG80" s="618">
        <f t="shared" si="81"/>
        <v>0</v>
      </c>
      <c r="CH80" s="718">
        <f t="shared" si="82"/>
        <v>0.05</v>
      </c>
      <c r="CI80" s="552">
        <v>1</v>
      </c>
      <c r="CJ80" s="551">
        <f t="shared" si="83"/>
        <v>0.2</v>
      </c>
      <c r="CK80" s="874">
        <v>5</v>
      </c>
      <c r="CL80" s="533">
        <f t="shared" si="84"/>
        <v>-4</v>
      </c>
      <c r="CM80" s="619">
        <f t="shared" si="85"/>
        <v>5</v>
      </c>
      <c r="CN80" s="619">
        <f t="shared" si="86"/>
        <v>500</v>
      </c>
      <c r="CO80" s="549">
        <f t="shared" si="87"/>
        <v>100</v>
      </c>
      <c r="CP80" s="619">
        <f t="shared" si="88"/>
        <v>0.05</v>
      </c>
      <c r="CQ80" s="619">
        <f t="shared" si="89"/>
        <v>0.25</v>
      </c>
      <c r="CR80" s="546">
        <v>0</v>
      </c>
      <c r="CS80" s="546">
        <v>0</v>
      </c>
      <c r="CT80" s="546">
        <v>0</v>
      </c>
      <c r="CU80" s="546">
        <v>0</v>
      </c>
      <c r="CV80" s="546">
        <v>0</v>
      </c>
      <c r="CW80" s="546">
        <v>0</v>
      </c>
      <c r="CX80" s="546">
        <v>0</v>
      </c>
      <c r="CY80" s="546">
        <v>0</v>
      </c>
      <c r="CZ80" s="618">
        <v>0</v>
      </c>
      <c r="DA80" s="618">
        <v>0</v>
      </c>
      <c r="DB80" s="618">
        <v>0</v>
      </c>
      <c r="DC80" s="618">
        <v>0</v>
      </c>
      <c r="DD80" s="618">
        <v>0</v>
      </c>
      <c r="DE80" s="618">
        <v>0</v>
      </c>
      <c r="DF80" s="618">
        <v>0</v>
      </c>
      <c r="DG80" s="618">
        <v>0</v>
      </c>
      <c r="DH80" s="618">
        <v>0</v>
      </c>
      <c r="DI80" s="618">
        <v>0</v>
      </c>
      <c r="DJ80" s="618">
        <v>0</v>
      </c>
      <c r="DK80" s="1034">
        <f t="shared" si="90"/>
        <v>5</v>
      </c>
      <c r="DL80" s="543">
        <f t="shared" si="91"/>
        <v>0.25</v>
      </c>
      <c r="DM80" s="542">
        <f t="shared" si="92"/>
        <v>100</v>
      </c>
      <c r="DN80" s="594">
        <f t="shared" si="93"/>
        <v>100</v>
      </c>
      <c r="DO80" s="540">
        <f t="shared" si="94"/>
        <v>0.25</v>
      </c>
      <c r="DP80" s="597">
        <f>+IF(((DN80*Q80)/100)&lt;Q80, ((DN80*Q80)/100),Q80)</f>
        <v>0.25</v>
      </c>
      <c r="DQ80" s="538">
        <f t="shared" si="95"/>
        <v>0.25</v>
      </c>
      <c r="DR80" s="617">
        <f t="shared" si="96"/>
        <v>1</v>
      </c>
      <c r="DS80" s="616">
        <f t="shared" si="97"/>
        <v>0</v>
      </c>
      <c r="DT80" s="259">
        <v>77</v>
      </c>
      <c r="DU80" s="260" t="s">
        <v>288</v>
      </c>
      <c r="DV80" s="259"/>
      <c r="DW80" s="260" t="s">
        <v>242</v>
      </c>
      <c r="DX80" s="259"/>
      <c r="DY80" s="259"/>
      <c r="DZ80" s="259"/>
      <c r="EA80" s="987"/>
      <c r="EB80" s="1041" t="s">
        <v>2426</v>
      </c>
      <c r="EC80" s="802">
        <v>0</v>
      </c>
      <c r="EE80" s="1047"/>
    </row>
    <row r="81" spans="4:135" s="534" customFormat="1" ht="60" hidden="1" x14ac:dyDescent="0.3">
      <c r="D81" s="783">
        <v>78</v>
      </c>
      <c r="E81" s="799">
        <v>105</v>
      </c>
      <c r="F81" s="787" t="s">
        <v>200</v>
      </c>
      <c r="G81" s="787" t="s">
        <v>8</v>
      </c>
      <c r="H81" s="788" t="s">
        <v>140</v>
      </c>
      <c r="I81" s="712" t="s">
        <v>346</v>
      </c>
      <c r="J81" s="573" t="s">
        <v>489</v>
      </c>
      <c r="K81" s="573" t="s">
        <v>490</v>
      </c>
      <c r="L81" s="702" t="s">
        <v>2208</v>
      </c>
      <c r="M81" s="570" t="s">
        <v>2017</v>
      </c>
      <c r="N81" s="570">
        <v>0</v>
      </c>
      <c r="O81" s="570">
        <f>+P81</f>
        <v>1</v>
      </c>
      <c r="P81" s="569">
        <v>1</v>
      </c>
      <c r="Q81" s="628">
        <v>0.25</v>
      </c>
      <c r="R81" s="580">
        <f t="shared" si="61"/>
        <v>0</v>
      </c>
      <c r="S81" s="708">
        <v>0</v>
      </c>
      <c r="T81" s="625">
        <f t="shared" si="62"/>
        <v>0</v>
      </c>
      <c r="U81" s="992">
        <v>0</v>
      </c>
      <c r="V81" s="626">
        <f t="shared" si="63"/>
        <v>0</v>
      </c>
      <c r="W81" s="594">
        <f t="shared" si="64"/>
        <v>0</v>
      </c>
      <c r="X81" s="594">
        <f t="shared" si="65"/>
        <v>0</v>
      </c>
      <c r="Y81" s="594">
        <f t="shared" si="40"/>
        <v>0</v>
      </c>
      <c r="Z81" s="594">
        <f t="shared" si="66"/>
        <v>0</v>
      </c>
      <c r="AA81" s="546">
        <v>0</v>
      </c>
      <c r="AB81" s="546">
        <v>0</v>
      </c>
      <c r="AC81" s="546">
        <v>0</v>
      </c>
      <c r="AD81" s="546">
        <v>0</v>
      </c>
      <c r="AE81" s="546">
        <v>0</v>
      </c>
      <c r="AF81" s="546">
        <v>0</v>
      </c>
      <c r="AG81" s="546">
        <v>0</v>
      </c>
      <c r="AH81" s="546">
        <v>0</v>
      </c>
      <c r="AI81" s="546">
        <v>0</v>
      </c>
      <c r="AJ81" s="546">
        <v>0</v>
      </c>
      <c r="AK81" s="546">
        <v>0</v>
      </c>
      <c r="AL81" s="546">
        <v>0</v>
      </c>
      <c r="AM81" s="546">
        <v>0</v>
      </c>
      <c r="AN81" s="546">
        <v>0</v>
      </c>
      <c r="AO81" s="546">
        <v>0</v>
      </c>
      <c r="AP81" s="546">
        <v>0</v>
      </c>
      <c r="AQ81" s="546">
        <v>0</v>
      </c>
      <c r="AR81" s="546">
        <v>0</v>
      </c>
      <c r="AS81" s="546" t="s">
        <v>2045</v>
      </c>
      <c r="AT81" s="570">
        <f t="shared" si="67"/>
        <v>0.125</v>
      </c>
      <c r="AU81" s="570">
        <v>0.5</v>
      </c>
      <c r="AV81" s="625">
        <f t="shared" si="68"/>
        <v>0.5</v>
      </c>
      <c r="AW81" s="1011">
        <v>0.5</v>
      </c>
      <c r="AX81" s="724">
        <f t="shared" si="69"/>
        <v>0.5</v>
      </c>
      <c r="AY81" s="724">
        <f t="shared" si="70"/>
        <v>100</v>
      </c>
      <c r="AZ81" s="724">
        <f t="shared" si="71"/>
        <v>100</v>
      </c>
      <c r="BA81" s="594">
        <f t="shared" si="72"/>
        <v>0.125</v>
      </c>
      <c r="BB81" s="594">
        <f t="shared" si="73"/>
        <v>100</v>
      </c>
      <c r="BC81" s="546">
        <v>60000000</v>
      </c>
      <c r="BD81" s="546">
        <v>0</v>
      </c>
      <c r="BE81" s="546">
        <v>60000000</v>
      </c>
      <c r="BF81" s="546">
        <v>0</v>
      </c>
      <c r="BG81" s="546">
        <v>0</v>
      </c>
      <c r="BH81" s="546">
        <v>0</v>
      </c>
      <c r="BI81" s="546">
        <v>0</v>
      </c>
      <c r="BJ81" s="546">
        <v>0</v>
      </c>
      <c r="BK81" s="723">
        <v>50000000</v>
      </c>
      <c r="BL81" s="722">
        <v>50000000</v>
      </c>
      <c r="BM81" s="722">
        <v>0</v>
      </c>
      <c r="BN81" s="722">
        <v>0</v>
      </c>
      <c r="BO81" s="722">
        <v>0</v>
      </c>
      <c r="BP81" s="722">
        <v>0</v>
      </c>
      <c r="BQ81" s="722">
        <v>0</v>
      </c>
      <c r="BR81" s="722">
        <v>0</v>
      </c>
      <c r="BS81" s="722">
        <v>0</v>
      </c>
      <c r="BT81" s="722">
        <v>0</v>
      </c>
      <c r="BU81" s="722">
        <v>0</v>
      </c>
      <c r="BV81" s="580">
        <f t="shared" si="74"/>
        <v>6.25E-2</v>
      </c>
      <c r="BW81" s="588">
        <v>0.25</v>
      </c>
      <c r="BX81" s="623">
        <f t="shared" si="75"/>
        <v>0.25</v>
      </c>
      <c r="BY81" s="607">
        <v>0.5</v>
      </c>
      <c r="BZ81" s="629">
        <v>0.5</v>
      </c>
      <c r="CA81" s="1017">
        <v>0.25</v>
      </c>
      <c r="CB81" s="728">
        <f t="shared" si="76"/>
        <v>0.25</v>
      </c>
      <c r="CC81" s="721">
        <f t="shared" si="77"/>
        <v>100</v>
      </c>
      <c r="CD81" s="720">
        <f t="shared" si="78"/>
        <v>100</v>
      </c>
      <c r="CE81" s="618">
        <f t="shared" si="79"/>
        <v>6.25E-2</v>
      </c>
      <c r="CF81" s="719">
        <f t="shared" si="80"/>
        <v>100</v>
      </c>
      <c r="CG81" s="618">
        <f t="shared" si="81"/>
        <v>6.25E-2</v>
      </c>
      <c r="CH81" s="727">
        <f t="shared" si="82"/>
        <v>6.25E-2</v>
      </c>
      <c r="CI81" s="726">
        <v>0.25</v>
      </c>
      <c r="CJ81" s="551">
        <f t="shared" si="83"/>
        <v>0.25</v>
      </c>
      <c r="CK81" s="874">
        <v>0</v>
      </c>
      <c r="CL81" s="533">
        <f t="shared" si="84"/>
        <v>0.25</v>
      </c>
      <c r="CM81" s="619">
        <f t="shared" si="85"/>
        <v>0</v>
      </c>
      <c r="CN81" s="619">
        <f t="shared" si="86"/>
        <v>0</v>
      </c>
      <c r="CO81" s="549">
        <f t="shared" si="87"/>
        <v>0</v>
      </c>
      <c r="CP81" s="619">
        <f t="shared" si="88"/>
        <v>0</v>
      </c>
      <c r="CQ81" s="619">
        <f t="shared" si="89"/>
        <v>0</v>
      </c>
      <c r="CR81" s="546">
        <v>80000000</v>
      </c>
      <c r="CS81" s="546">
        <v>80000000</v>
      </c>
      <c r="CT81" s="546">
        <v>0</v>
      </c>
      <c r="CU81" s="546">
        <v>0</v>
      </c>
      <c r="CV81" s="546">
        <v>0</v>
      </c>
      <c r="CW81" s="546">
        <v>0</v>
      </c>
      <c r="CX81" s="546">
        <v>0</v>
      </c>
      <c r="CY81" s="546">
        <v>0</v>
      </c>
      <c r="CZ81" s="618">
        <v>0</v>
      </c>
      <c r="DA81" s="618">
        <v>0</v>
      </c>
      <c r="DB81" s="618">
        <v>0</v>
      </c>
      <c r="DC81" s="618">
        <v>0</v>
      </c>
      <c r="DD81" s="618">
        <v>0</v>
      </c>
      <c r="DE81" s="618">
        <v>0</v>
      </c>
      <c r="DF81" s="618">
        <v>0</v>
      </c>
      <c r="DG81" s="618">
        <v>0</v>
      </c>
      <c r="DH81" s="618">
        <v>0</v>
      </c>
      <c r="DI81" s="618">
        <v>0</v>
      </c>
      <c r="DJ81" s="618">
        <v>0</v>
      </c>
      <c r="DK81" s="1034">
        <f t="shared" si="90"/>
        <v>0.75</v>
      </c>
      <c r="DL81" s="543">
        <f t="shared" si="91"/>
        <v>0.25</v>
      </c>
      <c r="DM81" s="542">
        <f t="shared" si="92"/>
        <v>75</v>
      </c>
      <c r="DN81" s="594">
        <f t="shared" si="93"/>
        <v>75</v>
      </c>
      <c r="DO81" s="540">
        <f t="shared" si="94"/>
        <v>0.1875</v>
      </c>
      <c r="DP81" s="597">
        <f>+IF(((DN81*Q81)/100)&lt;Q81, ((DN81*Q81)/100),Q81)</f>
        <v>0.1875</v>
      </c>
      <c r="DQ81" s="538">
        <f t="shared" si="95"/>
        <v>0.1875</v>
      </c>
      <c r="DR81" s="617">
        <f t="shared" si="96"/>
        <v>1</v>
      </c>
      <c r="DS81" s="616">
        <f t="shared" si="97"/>
        <v>0</v>
      </c>
      <c r="DT81" s="259">
        <v>78</v>
      </c>
      <c r="DU81" s="260" t="s">
        <v>287</v>
      </c>
      <c r="DV81" s="259"/>
      <c r="DW81" s="260" t="s">
        <v>242</v>
      </c>
      <c r="DX81" s="259"/>
      <c r="DY81" s="259"/>
      <c r="DZ81" s="259"/>
      <c r="EA81" s="987"/>
      <c r="EB81" s="1041" t="s">
        <v>2427</v>
      </c>
      <c r="EC81" s="802">
        <v>60000000</v>
      </c>
      <c r="EE81" s="1047"/>
    </row>
    <row r="82" spans="4:135" s="534" customFormat="1" ht="72" hidden="1" x14ac:dyDescent="0.3">
      <c r="D82" s="783">
        <v>79</v>
      </c>
      <c r="E82" s="799">
        <v>106</v>
      </c>
      <c r="F82" s="787" t="s">
        <v>200</v>
      </c>
      <c r="G82" s="787" t="s">
        <v>8</v>
      </c>
      <c r="H82" s="788" t="s">
        <v>140</v>
      </c>
      <c r="I82" s="712" t="s">
        <v>366</v>
      </c>
      <c r="J82" s="573" t="s">
        <v>491</v>
      </c>
      <c r="K82" s="573" t="s">
        <v>492</v>
      </c>
      <c r="L82" s="701" t="s">
        <v>2264</v>
      </c>
      <c r="M82" s="570" t="s">
        <v>2032</v>
      </c>
      <c r="N82" s="570">
        <v>0</v>
      </c>
      <c r="O82" s="570">
        <f>+P82</f>
        <v>100</v>
      </c>
      <c r="P82" s="569">
        <v>100</v>
      </c>
      <c r="Q82" s="628">
        <v>0.16500000000000001</v>
      </c>
      <c r="R82" s="580">
        <f t="shared" si="61"/>
        <v>4.1250000000000002E-2</v>
      </c>
      <c r="S82" s="708">
        <v>100</v>
      </c>
      <c r="T82" s="625">
        <f t="shared" si="62"/>
        <v>0.25</v>
      </c>
      <c r="U82" s="992">
        <v>100</v>
      </c>
      <c r="V82" s="626">
        <f t="shared" si="63"/>
        <v>25</v>
      </c>
      <c r="W82" s="594">
        <f t="shared" si="64"/>
        <v>100</v>
      </c>
      <c r="X82" s="594">
        <f t="shared" si="65"/>
        <v>100</v>
      </c>
      <c r="Y82" s="594">
        <f t="shared" ref="Y82:Y145" si="98">+(X82*R82)/100</f>
        <v>4.1250000000000002E-2</v>
      </c>
      <c r="Z82" s="594">
        <f t="shared" si="66"/>
        <v>100</v>
      </c>
      <c r="AA82" s="546">
        <v>0</v>
      </c>
      <c r="AB82" s="546">
        <v>0</v>
      </c>
      <c r="AC82" s="546">
        <v>0</v>
      </c>
      <c r="AD82" s="546">
        <v>0</v>
      </c>
      <c r="AE82" s="546">
        <v>0</v>
      </c>
      <c r="AF82" s="546">
        <v>0</v>
      </c>
      <c r="AG82" s="546">
        <v>0</v>
      </c>
      <c r="AH82" s="546">
        <v>0</v>
      </c>
      <c r="AI82" s="546">
        <v>0</v>
      </c>
      <c r="AJ82" s="546">
        <v>0</v>
      </c>
      <c r="AK82" s="546">
        <v>0</v>
      </c>
      <c r="AL82" s="546">
        <v>0</v>
      </c>
      <c r="AM82" s="546">
        <v>0</v>
      </c>
      <c r="AN82" s="546">
        <v>0</v>
      </c>
      <c r="AO82" s="546">
        <v>0</v>
      </c>
      <c r="AP82" s="546">
        <v>0</v>
      </c>
      <c r="AQ82" s="546">
        <v>0</v>
      </c>
      <c r="AR82" s="546">
        <v>0</v>
      </c>
      <c r="AS82" s="546" t="s">
        <v>2045</v>
      </c>
      <c r="AT82" s="570">
        <f t="shared" si="67"/>
        <v>4.1250000000000002E-2</v>
      </c>
      <c r="AU82" s="570">
        <v>100</v>
      </c>
      <c r="AV82" s="625">
        <f t="shared" si="68"/>
        <v>0.25</v>
      </c>
      <c r="AW82" s="1003">
        <v>100</v>
      </c>
      <c r="AX82" s="724">
        <f t="shared" si="69"/>
        <v>25</v>
      </c>
      <c r="AY82" s="724">
        <f t="shared" si="70"/>
        <v>100</v>
      </c>
      <c r="AZ82" s="724">
        <f t="shared" si="71"/>
        <v>100</v>
      </c>
      <c r="BA82" s="594">
        <f t="shared" si="72"/>
        <v>4.1250000000000002E-2</v>
      </c>
      <c r="BB82" s="594">
        <f t="shared" si="73"/>
        <v>100</v>
      </c>
      <c r="BC82" s="546">
        <v>0</v>
      </c>
      <c r="BD82" s="546">
        <v>0</v>
      </c>
      <c r="BE82" s="546">
        <v>0</v>
      </c>
      <c r="BF82" s="546">
        <v>0</v>
      </c>
      <c r="BG82" s="546">
        <v>0</v>
      </c>
      <c r="BH82" s="546">
        <v>0</v>
      </c>
      <c r="BI82" s="546">
        <v>0</v>
      </c>
      <c r="BJ82" s="546">
        <v>0</v>
      </c>
      <c r="BK82" s="723">
        <v>0</v>
      </c>
      <c r="BL82" s="722">
        <v>0</v>
      </c>
      <c r="BM82" s="722">
        <v>0</v>
      </c>
      <c r="BN82" s="722">
        <v>0</v>
      </c>
      <c r="BO82" s="722">
        <v>0</v>
      </c>
      <c r="BP82" s="722">
        <v>0</v>
      </c>
      <c r="BQ82" s="722">
        <v>0</v>
      </c>
      <c r="BR82" s="722">
        <v>0</v>
      </c>
      <c r="BS82" s="722">
        <v>0</v>
      </c>
      <c r="BT82" s="722">
        <v>0</v>
      </c>
      <c r="BU82" s="722">
        <v>0</v>
      </c>
      <c r="BV82" s="580">
        <f t="shared" si="74"/>
        <v>4.1250000000000002E-2</v>
      </c>
      <c r="BW82" s="588">
        <v>100</v>
      </c>
      <c r="BX82" s="623">
        <f t="shared" si="75"/>
        <v>0.25</v>
      </c>
      <c r="BY82" s="607">
        <v>100</v>
      </c>
      <c r="BZ82" s="629">
        <v>100</v>
      </c>
      <c r="CA82" s="1017">
        <v>100</v>
      </c>
      <c r="CB82" s="721">
        <f t="shared" si="76"/>
        <v>25</v>
      </c>
      <c r="CC82" s="721">
        <f t="shared" si="77"/>
        <v>100</v>
      </c>
      <c r="CD82" s="720">
        <f t="shared" si="78"/>
        <v>100</v>
      </c>
      <c r="CE82" s="618">
        <f t="shared" si="79"/>
        <v>4.1250000000000002E-2</v>
      </c>
      <c r="CF82" s="719">
        <f t="shared" si="80"/>
        <v>100</v>
      </c>
      <c r="CG82" s="618">
        <f t="shared" si="81"/>
        <v>4.1250000000000002E-2</v>
      </c>
      <c r="CH82" s="718">
        <f t="shared" si="82"/>
        <v>4.1250000000000002E-2</v>
      </c>
      <c r="CI82" s="552">
        <v>0</v>
      </c>
      <c r="CJ82" s="551">
        <f t="shared" si="83"/>
        <v>0.25</v>
      </c>
      <c r="CK82" s="874">
        <v>100</v>
      </c>
      <c r="CL82" s="533">
        <f t="shared" si="84"/>
        <v>-100</v>
      </c>
      <c r="CM82" s="619">
        <f t="shared" si="85"/>
        <v>25</v>
      </c>
      <c r="CN82" s="619">
        <f t="shared" si="86"/>
        <v>0</v>
      </c>
      <c r="CO82" s="619">
        <f t="shared" si="87"/>
        <v>0</v>
      </c>
      <c r="CP82" s="619">
        <f t="shared" si="88"/>
        <v>0</v>
      </c>
      <c r="CQ82" s="619">
        <f t="shared" si="89"/>
        <v>0</v>
      </c>
      <c r="CR82" s="546">
        <v>0</v>
      </c>
      <c r="CS82" s="546">
        <v>0</v>
      </c>
      <c r="CT82" s="546">
        <v>0</v>
      </c>
      <c r="CU82" s="546">
        <v>0</v>
      </c>
      <c r="CV82" s="546">
        <v>0</v>
      </c>
      <c r="CW82" s="546">
        <v>0</v>
      </c>
      <c r="CX82" s="546">
        <v>0</v>
      </c>
      <c r="CY82" s="546">
        <v>0</v>
      </c>
      <c r="CZ82" s="618">
        <v>0</v>
      </c>
      <c r="DA82" s="618">
        <v>0</v>
      </c>
      <c r="DB82" s="618">
        <v>0</v>
      </c>
      <c r="DC82" s="618">
        <v>0</v>
      </c>
      <c r="DD82" s="618">
        <v>0</v>
      </c>
      <c r="DE82" s="618">
        <v>0</v>
      </c>
      <c r="DF82" s="618">
        <v>0</v>
      </c>
      <c r="DG82" s="618">
        <v>0</v>
      </c>
      <c r="DH82" s="618">
        <v>0</v>
      </c>
      <c r="DI82" s="618">
        <v>0</v>
      </c>
      <c r="DJ82" s="618">
        <v>0</v>
      </c>
      <c r="DK82" s="1034">
        <f t="shared" si="90"/>
        <v>100</v>
      </c>
      <c r="DL82" s="543">
        <f t="shared" si="91"/>
        <v>0.16500000000000001</v>
      </c>
      <c r="DM82" s="542">
        <f t="shared" si="92"/>
        <v>100</v>
      </c>
      <c r="DN82" s="594">
        <f t="shared" si="93"/>
        <v>100</v>
      </c>
      <c r="DO82" s="540">
        <f t="shared" si="94"/>
        <v>0.16500000000000001</v>
      </c>
      <c r="DP82" s="597">
        <f>+IF(M82="M",DO82,0)</f>
        <v>0.16500000000000001</v>
      </c>
      <c r="DQ82" s="538">
        <f t="shared" si="95"/>
        <v>0.16500000000000001</v>
      </c>
      <c r="DR82" s="617">
        <f t="shared" si="96"/>
        <v>1</v>
      </c>
      <c r="DS82" s="616">
        <f t="shared" si="97"/>
        <v>0</v>
      </c>
      <c r="DT82" s="259">
        <v>77</v>
      </c>
      <c r="DU82" s="260" t="s">
        <v>288</v>
      </c>
      <c r="DV82" s="259"/>
      <c r="DW82" s="260" t="s">
        <v>242</v>
      </c>
      <c r="DX82" s="259"/>
      <c r="DY82" s="259"/>
      <c r="DZ82" s="259"/>
      <c r="EA82" s="987"/>
      <c r="EB82" s="1041" t="s">
        <v>2428</v>
      </c>
      <c r="EC82" s="802">
        <v>0</v>
      </c>
      <c r="EE82" s="1047"/>
    </row>
    <row r="83" spans="4:135" s="534" customFormat="1" ht="114.75" hidden="1" x14ac:dyDescent="0.3">
      <c r="D83" s="783">
        <v>80</v>
      </c>
      <c r="E83" s="799">
        <v>108</v>
      </c>
      <c r="F83" s="787" t="s">
        <v>200</v>
      </c>
      <c r="G83" s="787" t="s">
        <v>12</v>
      </c>
      <c r="H83" s="788" t="s">
        <v>140</v>
      </c>
      <c r="I83" s="712" t="s">
        <v>366</v>
      </c>
      <c r="J83" s="573" t="s">
        <v>493</v>
      </c>
      <c r="K83" s="573" t="s">
        <v>494</v>
      </c>
      <c r="L83" s="701" t="s">
        <v>2219</v>
      </c>
      <c r="M83" s="570" t="s">
        <v>2017</v>
      </c>
      <c r="N83" s="570">
        <v>0</v>
      </c>
      <c r="O83" s="570">
        <f>+N83+P83</f>
        <v>100</v>
      </c>
      <c r="P83" s="569">
        <v>100</v>
      </c>
      <c r="Q83" s="628">
        <v>0.16500000000000001</v>
      </c>
      <c r="R83" s="580">
        <f t="shared" si="61"/>
        <v>8.2500000000000004E-3</v>
      </c>
      <c r="S83" s="708">
        <v>5</v>
      </c>
      <c r="T83" s="625">
        <f t="shared" si="62"/>
        <v>0.05</v>
      </c>
      <c r="U83" s="992">
        <v>6.5</v>
      </c>
      <c r="V83" s="626">
        <f t="shared" si="63"/>
        <v>6.5</v>
      </c>
      <c r="W83" s="594">
        <f t="shared" si="64"/>
        <v>130</v>
      </c>
      <c r="X83" s="594">
        <f t="shared" si="65"/>
        <v>100</v>
      </c>
      <c r="Y83" s="594">
        <f t="shared" si="98"/>
        <v>8.2500000000000004E-3</v>
      </c>
      <c r="Z83" s="594">
        <f t="shared" si="66"/>
        <v>100</v>
      </c>
      <c r="AA83" s="546">
        <v>20000000</v>
      </c>
      <c r="AB83" s="546">
        <v>20000000</v>
      </c>
      <c r="AC83" s="546">
        <v>0</v>
      </c>
      <c r="AD83" s="546">
        <v>0</v>
      </c>
      <c r="AE83" s="546">
        <v>0</v>
      </c>
      <c r="AF83" s="546">
        <v>0</v>
      </c>
      <c r="AG83" s="546">
        <v>0</v>
      </c>
      <c r="AH83" s="546">
        <v>0</v>
      </c>
      <c r="AI83" s="546">
        <v>17500000</v>
      </c>
      <c r="AJ83" s="546">
        <v>17500000</v>
      </c>
      <c r="AK83" s="546">
        <v>0</v>
      </c>
      <c r="AL83" s="546">
        <v>0</v>
      </c>
      <c r="AM83" s="546">
        <v>0</v>
      </c>
      <c r="AN83" s="546">
        <v>0</v>
      </c>
      <c r="AO83" s="546">
        <v>0</v>
      </c>
      <c r="AP83" s="546">
        <v>0</v>
      </c>
      <c r="AQ83" s="546">
        <v>0</v>
      </c>
      <c r="AR83" s="546">
        <v>0</v>
      </c>
      <c r="AS83" s="546" t="s">
        <v>2045</v>
      </c>
      <c r="AT83" s="570">
        <f t="shared" si="67"/>
        <v>4.9500000000000002E-2</v>
      </c>
      <c r="AU83" s="570">
        <v>30</v>
      </c>
      <c r="AV83" s="625">
        <f t="shared" si="68"/>
        <v>0.3</v>
      </c>
      <c r="AW83" s="1003">
        <v>8</v>
      </c>
      <c r="AX83" s="724">
        <f t="shared" si="69"/>
        <v>8</v>
      </c>
      <c r="AY83" s="724">
        <f t="shared" si="70"/>
        <v>26.666666666666668</v>
      </c>
      <c r="AZ83" s="724">
        <f t="shared" si="71"/>
        <v>26.666666666666668</v>
      </c>
      <c r="BA83" s="594">
        <f t="shared" si="72"/>
        <v>1.32E-2</v>
      </c>
      <c r="BB83" s="594">
        <f t="shared" si="73"/>
        <v>26.666666666666668</v>
      </c>
      <c r="BC83" s="546">
        <v>20000000</v>
      </c>
      <c r="BD83" s="546">
        <v>0</v>
      </c>
      <c r="BE83" s="546">
        <v>20000000</v>
      </c>
      <c r="BF83" s="546">
        <v>0</v>
      </c>
      <c r="BG83" s="546">
        <v>0</v>
      </c>
      <c r="BH83" s="546">
        <v>0</v>
      </c>
      <c r="BI83" s="546">
        <v>0</v>
      </c>
      <c r="BJ83" s="546">
        <v>0</v>
      </c>
      <c r="BK83" s="723">
        <v>0</v>
      </c>
      <c r="BL83" s="722">
        <v>0</v>
      </c>
      <c r="BM83" s="722">
        <v>0</v>
      </c>
      <c r="BN83" s="722">
        <v>0</v>
      </c>
      <c r="BO83" s="722">
        <v>0</v>
      </c>
      <c r="BP83" s="722">
        <v>0</v>
      </c>
      <c r="BQ83" s="722">
        <v>0</v>
      </c>
      <c r="BR83" s="722">
        <v>0</v>
      </c>
      <c r="BS83" s="722">
        <v>0</v>
      </c>
      <c r="BT83" s="722">
        <v>0</v>
      </c>
      <c r="BU83" s="722">
        <v>0</v>
      </c>
      <c r="BV83" s="580">
        <f t="shared" si="74"/>
        <v>4.9500000000000002E-2</v>
      </c>
      <c r="BW83" s="588">
        <v>30</v>
      </c>
      <c r="BX83" s="623">
        <f t="shared" si="75"/>
        <v>0.3</v>
      </c>
      <c r="BY83" s="607">
        <v>27.120000839233398</v>
      </c>
      <c r="BZ83" s="629">
        <v>31.02</v>
      </c>
      <c r="CA83" s="1017">
        <v>77.050003051757813</v>
      </c>
      <c r="CB83" s="721">
        <f t="shared" si="76"/>
        <v>77.050003051757813</v>
      </c>
      <c r="CC83" s="721">
        <f t="shared" si="77"/>
        <v>256.83334350585937</v>
      </c>
      <c r="CD83" s="720">
        <f t="shared" si="78"/>
        <v>100</v>
      </c>
      <c r="CE83" s="618">
        <f t="shared" si="79"/>
        <v>4.9500000000000002E-2</v>
      </c>
      <c r="CF83" s="719">
        <f t="shared" si="80"/>
        <v>100</v>
      </c>
      <c r="CG83" s="618">
        <f t="shared" si="81"/>
        <v>0.12713250503540041</v>
      </c>
      <c r="CH83" s="718">
        <f t="shared" si="82"/>
        <v>5.7749999999999996E-2</v>
      </c>
      <c r="CI83" s="552">
        <v>35</v>
      </c>
      <c r="CJ83" s="551">
        <f t="shared" si="83"/>
        <v>0.35</v>
      </c>
      <c r="CK83" s="874">
        <v>42</v>
      </c>
      <c r="CL83" s="533">
        <f t="shared" si="84"/>
        <v>-7</v>
      </c>
      <c r="CM83" s="619">
        <f t="shared" si="85"/>
        <v>42</v>
      </c>
      <c r="CN83" s="619">
        <f t="shared" si="86"/>
        <v>120</v>
      </c>
      <c r="CO83" s="549">
        <f t="shared" si="87"/>
        <v>100</v>
      </c>
      <c r="CP83" s="619">
        <f t="shared" si="88"/>
        <v>5.7749999999999996E-2</v>
      </c>
      <c r="CQ83" s="619">
        <f t="shared" si="89"/>
        <v>6.93E-2</v>
      </c>
      <c r="CR83" s="546">
        <v>0</v>
      </c>
      <c r="CS83" s="546">
        <v>0</v>
      </c>
      <c r="CT83" s="546">
        <v>0</v>
      </c>
      <c r="CU83" s="546">
        <v>0</v>
      </c>
      <c r="CV83" s="546">
        <v>0</v>
      </c>
      <c r="CW83" s="546">
        <v>0</v>
      </c>
      <c r="CX83" s="546">
        <v>0</v>
      </c>
      <c r="CY83" s="546">
        <v>0</v>
      </c>
      <c r="CZ83" s="618">
        <v>0</v>
      </c>
      <c r="DA83" s="618">
        <v>0</v>
      </c>
      <c r="DB83" s="618">
        <v>0</v>
      </c>
      <c r="DC83" s="618">
        <v>0</v>
      </c>
      <c r="DD83" s="618">
        <v>0</v>
      </c>
      <c r="DE83" s="618">
        <v>0</v>
      </c>
      <c r="DF83" s="618">
        <v>0</v>
      </c>
      <c r="DG83" s="618">
        <v>0</v>
      </c>
      <c r="DH83" s="618">
        <v>0</v>
      </c>
      <c r="DI83" s="618">
        <v>0</v>
      </c>
      <c r="DJ83" s="618">
        <v>0</v>
      </c>
      <c r="DK83" s="1034">
        <f t="shared" si="90"/>
        <v>133.55000305175781</v>
      </c>
      <c r="DL83" s="543">
        <f t="shared" si="91"/>
        <v>0.16500000000000001</v>
      </c>
      <c r="DM83" s="542">
        <f t="shared" si="92"/>
        <v>133.55000305175781</v>
      </c>
      <c r="DN83" s="594">
        <f t="shared" si="93"/>
        <v>100</v>
      </c>
      <c r="DO83" s="540">
        <f t="shared" si="94"/>
        <v>0.16500000000000001</v>
      </c>
      <c r="DP83" s="597">
        <f>+IF(((DN83*Q83)/100)&lt;Q83, ((DN83*Q83)/100),Q83)</f>
        <v>0.16500000000000001</v>
      </c>
      <c r="DQ83" s="538">
        <f t="shared" si="95"/>
        <v>0.16500000000000001</v>
      </c>
      <c r="DR83" s="617">
        <f t="shared" si="96"/>
        <v>0.99999999999999989</v>
      </c>
      <c r="DS83" s="616">
        <f t="shared" si="97"/>
        <v>0</v>
      </c>
      <c r="DT83" s="259">
        <v>619</v>
      </c>
      <c r="DU83" s="260" t="s">
        <v>431</v>
      </c>
      <c r="DV83" s="259"/>
      <c r="DW83" s="260" t="s">
        <v>242</v>
      </c>
      <c r="DX83" s="259"/>
      <c r="DY83" s="259"/>
      <c r="DZ83" s="259"/>
      <c r="EA83" s="987"/>
      <c r="EB83" s="1041" t="s">
        <v>2429</v>
      </c>
      <c r="EC83" s="802">
        <v>20000000</v>
      </c>
      <c r="EE83" s="1047"/>
    </row>
    <row r="84" spans="4:135" s="534" customFormat="1" ht="120" hidden="1" x14ac:dyDescent="0.3">
      <c r="D84" s="783">
        <v>81</v>
      </c>
      <c r="E84" s="799">
        <v>109</v>
      </c>
      <c r="F84" s="787" t="s">
        <v>200</v>
      </c>
      <c r="G84" s="787" t="s">
        <v>7</v>
      </c>
      <c r="H84" s="788" t="s">
        <v>140</v>
      </c>
      <c r="I84" s="712" t="s">
        <v>366</v>
      </c>
      <c r="J84" s="573" t="s">
        <v>495</v>
      </c>
      <c r="K84" s="573" t="s">
        <v>496</v>
      </c>
      <c r="L84" s="701" t="s">
        <v>1757</v>
      </c>
      <c r="M84" s="570" t="s">
        <v>2032</v>
      </c>
      <c r="N84" s="570">
        <v>25</v>
      </c>
      <c r="O84" s="570">
        <f>+P84</f>
        <v>50</v>
      </c>
      <c r="P84" s="569">
        <v>50</v>
      </c>
      <c r="Q84" s="628">
        <v>0.25</v>
      </c>
      <c r="R84" s="580">
        <f t="shared" si="61"/>
        <v>6.25E-2</v>
      </c>
      <c r="S84" s="708">
        <v>50</v>
      </c>
      <c r="T84" s="625">
        <f t="shared" si="62"/>
        <v>0.25</v>
      </c>
      <c r="U84" s="992">
        <v>33</v>
      </c>
      <c r="V84" s="626">
        <f t="shared" si="63"/>
        <v>8.25</v>
      </c>
      <c r="W84" s="594">
        <f t="shared" si="64"/>
        <v>66</v>
      </c>
      <c r="X84" s="594">
        <f t="shared" si="65"/>
        <v>66</v>
      </c>
      <c r="Y84" s="594">
        <f t="shared" si="98"/>
        <v>4.1250000000000002E-2</v>
      </c>
      <c r="Z84" s="594">
        <f t="shared" si="66"/>
        <v>66</v>
      </c>
      <c r="AA84" s="546">
        <v>0</v>
      </c>
      <c r="AB84" s="546">
        <v>0</v>
      </c>
      <c r="AC84" s="546">
        <v>0</v>
      </c>
      <c r="AD84" s="546">
        <v>0</v>
      </c>
      <c r="AE84" s="546">
        <v>0</v>
      </c>
      <c r="AF84" s="546">
        <v>0</v>
      </c>
      <c r="AG84" s="546">
        <v>0</v>
      </c>
      <c r="AH84" s="546">
        <v>0</v>
      </c>
      <c r="AI84" s="546">
        <v>0</v>
      </c>
      <c r="AJ84" s="546">
        <v>0</v>
      </c>
      <c r="AK84" s="546">
        <v>0</v>
      </c>
      <c r="AL84" s="546">
        <v>0</v>
      </c>
      <c r="AM84" s="546">
        <v>0</v>
      </c>
      <c r="AN84" s="546">
        <v>0</v>
      </c>
      <c r="AO84" s="546">
        <v>0</v>
      </c>
      <c r="AP84" s="546">
        <v>0</v>
      </c>
      <c r="AQ84" s="546">
        <v>0</v>
      </c>
      <c r="AR84" s="546">
        <v>0</v>
      </c>
      <c r="AS84" s="546" t="s">
        <v>2045</v>
      </c>
      <c r="AT84" s="570">
        <f t="shared" si="67"/>
        <v>6.25E-2</v>
      </c>
      <c r="AU84" s="570">
        <v>50</v>
      </c>
      <c r="AV84" s="625">
        <f t="shared" si="68"/>
        <v>0.25</v>
      </c>
      <c r="AW84" s="1010">
        <v>50</v>
      </c>
      <c r="AX84" s="724">
        <f t="shared" si="69"/>
        <v>12.5</v>
      </c>
      <c r="AY84" s="724">
        <f t="shared" si="70"/>
        <v>100</v>
      </c>
      <c r="AZ84" s="724">
        <f t="shared" si="71"/>
        <v>100</v>
      </c>
      <c r="BA84" s="594">
        <f t="shared" si="72"/>
        <v>6.25E-2</v>
      </c>
      <c r="BB84" s="594">
        <f t="shared" si="73"/>
        <v>100</v>
      </c>
      <c r="BC84" s="546">
        <v>0</v>
      </c>
      <c r="BD84" s="546">
        <v>0</v>
      </c>
      <c r="BE84" s="546">
        <v>0</v>
      </c>
      <c r="BF84" s="546">
        <v>0</v>
      </c>
      <c r="BG84" s="546">
        <v>0</v>
      </c>
      <c r="BH84" s="546">
        <v>0</v>
      </c>
      <c r="BI84" s="546">
        <v>0</v>
      </c>
      <c r="BJ84" s="546">
        <v>0</v>
      </c>
      <c r="BK84" s="723">
        <v>0</v>
      </c>
      <c r="BL84" s="722">
        <v>0</v>
      </c>
      <c r="BM84" s="722">
        <v>0</v>
      </c>
      <c r="BN84" s="722">
        <v>0</v>
      </c>
      <c r="BO84" s="722">
        <v>0</v>
      </c>
      <c r="BP84" s="722">
        <v>0</v>
      </c>
      <c r="BQ84" s="722">
        <v>0</v>
      </c>
      <c r="BR84" s="722">
        <v>0</v>
      </c>
      <c r="BS84" s="722">
        <v>0</v>
      </c>
      <c r="BT84" s="722">
        <v>0</v>
      </c>
      <c r="BU84" s="722">
        <v>0</v>
      </c>
      <c r="BV84" s="580">
        <f t="shared" si="74"/>
        <v>6.25E-2</v>
      </c>
      <c r="BW84" s="588">
        <v>50</v>
      </c>
      <c r="BX84" s="623">
        <f t="shared" si="75"/>
        <v>0.25</v>
      </c>
      <c r="BY84" s="639">
        <v>0</v>
      </c>
      <c r="BZ84" s="638">
        <v>0</v>
      </c>
      <c r="CA84" s="1018">
        <v>50</v>
      </c>
      <c r="CB84" s="721">
        <f t="shared" si="76"/>
        <v>12.5</v>
      </c>
      <c r="CC84" s="721">
        <f t="shared" si="77"/>
        <v>100</v>
      </c>
      <c r="CD84" s="720">
        <f t="shared" si="78"/>
        <v>100</v>
      </c>
      <c r="CE84" s="618">
        <f t="shared" si="79"/>
        <v>6.25E-2</v>
      </c>
      <c r="CF84" s="719">
        <f t="shared" si="80"/>
        <v>100</v>
      </c>
      <c r="CG84" s="618">
        <f t="shared" si="81"/>
        <v>6.25E-2</v>
      </c>
      <c r="CH84" s="718">
        <f t="shared" si="82"/>
        <v>6.25E-2</v>
      </c>
      <c r="CI84" s="552">
        <v>50</v>
      </c>
      <c r="CJ84" s="551">
        <f t="shared" si="83"/>
        <v>0.25</v>
      </c>
      <c r="CK84" s="874">
        <v>25</v>
      </c>
      <c r="CL84" s="533">
        <f t="shared" si="84"/>
        <v>25</v>
      </c>
      <c r="CM84" s="619">
        <f t="shared" si="85"/>
        <v>6.25</v>
      </c>
      <c r="CN84" s="619">
        <f t="shared" si="86"/>
        <v>50</v>
      </c>
      <c r="CO84" s="619">
        <f t="shared" si="87"/>
        <v>50</v>
      </c>
      <c r="CP84" s="619">
        <f t="shared" si="88"/>
        <v>3.125E-2</v>
      </c>
      <c r="CQ84" s="619">
        <f t="shared" si="89"/>
        <v>3.125E-2</v>
      </c>
      <c r="CR84" s="546">
        <v>0</v>
      </c>
      <c r="CS84" s="546">
        <v>0</v>
      </c>
      <c r="CT84" s="546">
        <v>0</v>
      </c>
      <c r="CU84" s="546">
        <v>0</v>
      </c>
      <c r="CV84" s="546">
        <v>0</v>
      </c>
      <c r="CW84" s="546">
        <v>0</v>
      </c>
      <c r="CX84" s="546">
        <v>0</v>
      </c>
      <c r="CY84" s="546">
        <v>0</v>
      </c>
      <c r="CZ84" s="618">
        <v>0</v>
      </c>
      <c r="DA84" s="618">
        <v>0</v>
      </c>
      <c r="DB84" s="618">
        <v>0</v>
      </c>
      <c r="DC84" s="618">
        <v>0</v>
      </c>
      <c r="DD84" s="618">
        <v>0</v>
      </c>
      <c r="DE84" s="618">
        <v>0</v>
      </c>
      <c r="DF84" s="618">
        <v>0</v>
      </c>
      <c r="DG84" s="618">
        <v>0</v>
      </c>
      <c r="DH84" s="618">
        <v>0</v>
      </c>
      <c r="DI84" s="618">
        <v>0</v>
      </c>
      <c r="DJ84" s="618">
        <v>0</v>
      </c>
      <c r="DK84" s="1034">
        <f t="shared" si="90"/>
        <v>39.5</v>
      </c>
      <c r="DL84" s="543">
        <f t="shared" si="91"/>
        <v>0.25</v>
      </c>
      <c r="DM84" s="542">
        <f t="shared" si="92"/>
        <v>79</v>
      </c>
      <c r="DN84" s="594">
        <f t="shared" si="93"/>
        <v>79</v>
      </c>
      <c r="DO84" s="540">
        <f t="shared" si="94"/>
        <v>0.19750000000000001</v>
      </c>
      <c r="DP84" s="597">
        <f>+IF(M84="M",DO84,0)</f>
        <v>0.19750000000000001</v>
      </c>
      <c r="DQ84" s="538">
        <f t="shared" si="95"/>
        <v>0.19750000000000001</v>
      </c>
      <c r="DR84" s="617">
        <f t="shared" si="96"/>
        <v>1</v>
      </c>
      <c r="DS84" s="616">
        <f t="shared" si="97"/>
        <v>0</v>
      </c>
      <c r="DT84" s="259">
        <v>74</v>
      </c>
      <c r="DU84" s="260" t="s">
        <v>442</v>
      </c>
      <c r="DV84" s="259">
        <v>78</v>
      </c>
      <c r="DW84" s="260" t="s">
        <v>287</v>
      </c>
      <c r="DX84" s="259">
        <v>79</v>
      </c>
      <c r="DY84" s="259">
        <v>619</v>
      </c>
      <c r="DZ84" s="259"/>
      <c r="EA84" s="987"/>
      <c r="EB84" s="1041" t="s">
        <v>2430</v>
      </c>
      <c r="EC84" s="802">
        <v>0</v>
      </c>
      <c r="EE84" s="1047"/>
    </row>
    <row r="85" spans="4:135" s="534" customFormat="1" ht="120" hidden="1" x14ac:dyDescent="0.3">
      <c r="D85" s="783">
        <v>82</v>
      </c>
      <c r="E85" s="799">
        <v>110</v>
      </c>
      <c r="F85" s="787" t="s">
        <v>200</v>
      </c>
      <c r="G85" s="787" t="s">
        <v>7</v>
      </c>
      <c r="H85" s="788" t="s">
        <v>140</v>
      </c>
      <c r="I85" s="712" t="s">
        <v>369</v>
      </c>
      <c r="J85" s="573" t="s">
        <v>497</v>
      </c>
      <c r="K85" s="573" t="s">
        <v>498</v>
      </c>
      <c r="L85" s="702" t="s">
        <v>1682</v>
      </c>
      <c r="M85" s="570" t="s">
        <v>2017</v>
      </c>
      <c r="N85" s="570">
        <v>0</v>
      </c>
      <c r="O85" s="570">
        <f>+N85+P85</f>
        <v>2000</v>
      </c>
      <c r="P85" s="569">
        <v>2000</v>
      </c>
      <c r="Q85" s="628">
        <v>0.16500000000000001</v>
      </c>
      <c r="R85" s="580">
        <f t="shared" si="61"/>
        <v>1.6500000000000001E-2</v>
      </c>
      <c r="S85" s="708">
        <v>200</v>
      </c>
      <c r="T85" s="625">
        <f t="shared" si="62"/>
        <v>0.1</v>
      </c>
      <c r="U85" s="992">
        <v>89</v>
      </c>
      <c r="V85" s="626">
        <f t="shared" si="63"/>
        <v>89</v>
      </c>
      <c r="W85" s="594">
        <f t="shared" si="64"/>
        <v>44.5</v>
      </c>
      <c r="X85" s="594">
        <f t="shared" si="65"/>
        <v>44.5</v>
      </c>
      <c r="Y85" s="594">
        <f t="shared" si="98"/>
        <v>7.3425000000000009E-3</v>
      </c>
      <c r="Z85" s="594">
        <f t="shared" si="66"/>
        <v>44.5</v>
      </c>
      <c r="AA85" s="546">
        <v>0</v>
      </c>
      <c r="AB85" s="546">
        <v>0</v>
      </c>
      <c r="AC85" s="546">
        <v>0</v>
      </c>
      <c r="AD85" s="546">
        <v>0</v>
      </c>
      <c r="AE85" s="546">
        <v>0</v>
      </c>
      <c r="AF85" s="546">
        <v>0</v>
      </c>
      <c r="AG85" s="546">
        <v>0</v>
      </c>
      <c r="AH85" s="546">
        <v>0</v>
      </c>
      <c r="AI85" s="546">
        <v>0</v>
      </c>
      <c r="AJ85" s="546">
        <v>0</v>
      </c>
      <c r="AK85" s="546">
        <v>0</v>
      </c>
      <c r="AL85" s="546">
        <v>0</v>
      </c>
      <c r="AM85" s="546">
        <v>0</v>
      </c>
      <c r="AN85" s="546">
        <v>0</v>
      </c>
      <c r="AO85" s="546">
        <v>0</v>
      </c>
      <c r="AP85" s="546">
        <v>0</v>
      </c>
      <c r="AQ85" s="546">
        <v>0</v>
      </c>
      <c r="AR85" s="546">
        <v>0</v>
      </c>
      <c r="AS85" s="546" t="s">
        <v>2045</v>
      </c>
      <c r="AT85" s="570">
        <f t="shared" si="67"/>
        <v>0.14850000000000002</v>
      </c>
      <c r="AU85" s="570">
        <v>1800</v>
      </c>
      <c r="AV85" s="625">
        <f t="shared" si="68"/>
        <v>0.9</v>
      </c>
      <c r="AW85" s="1003">
        <v>2261</v>
      </c>
      <c r="AX85" s="724">
        <f t="shared" si="69"/>
        <v>2261</v>
      </c>
      <c r="AY85" s="724">
        <f t="shared" si="70"/>
        <v>125.61111111111111</v>
      </c>
      <c r="AZ85" s="724">
        <f t="shared" si="71"/>
        <v>100</v>
      </c>
      <c r="BA85" s="594">
        <f t="shared" si="72"/>
        <v>0.14850000000000002</v>
      </c>
      <c r="BB85" s="594">
        <f t="shared" si="73"/>
        <v>100</v>
      </c>
      <c r="BC85" s="546">
        <v>7000000</v>
      </c>
      <c r="BD85" s="546">
        <v>0</v>
      </c>
      <c r="BE85" s="546">
        <v>7000000</v>
      </c>
      <c r="BF85" s="546">
        <v>0</v>
      </c>
      <c r="BG85" s="546">
        <v>0</v>
      </c>
      <c r="BH85" s="546">
        <v>0</v>
      </c>
      <c r="BI85" s="546">
        <v>0</v>
      </c>
      <c r="BJ85" s="546">
        <v>0</v>
      </c>
      <c r="BK85" s="723">
        <v>0</v>
      </c>
      <c r="BL85" s="722">
        <v>0</v>
      </c>
      <c r="BM85" s="722">
        <v>0</v>
      </c>
      <c r="BN85" s="722">
        <v>0</v>
      </c>
      <c r="BO85" s="722">
        <v>0</v>
      </c>
      <c r="BP85" s="722">
        <v>0</v>
      </c>
      <c r="BQ85" s="722">
        <v>0</v>
      </c>
      <c r="BR85" s="722">
        <v>0</v>
      </c>
      <c r="BS85" s="722">
        <v>0</v>
      </c>
      <c r="BT85" s="722">
        <v>0</v>
      </c>
      <c r="BU85" s="722">
        <v>0</v>
      </c>
      <c r="BV85" s="580">
        <f t="shared" si="74"/>
        <v>0</v>
      </c>
      <c r="BW85" s="588">
        <v>0</v>
      </c>
      <c r="BX85" s="623">
        <f t="shared" si="75"/>
        <v>0</v>
      </c>
      <c r="BY85" s="639">
        <v>700</v>
      </c>
      <c r="BZ85" s="638">
        <v>700</v>
      </c>
      <c r="CA85" s="1018">
        <v>17228</v>
      </c>
      <c r="CB85" s="721">
        <f t="shared" si="76"/>
        <v>17228</v>
      </c>
      <c r="CC85" s="721">
        <f t="shared" si="77"/>
        <v>0</v>
      </c>
      <c r="CD85" s="720">
        <f t="shared" si="78"/>
        <v>0</v>
      </c>
      <c r="CE85" s="618">
        <f t="shared" si="79"/>
        <v>0</v>
      </c>
      <c r="CF85" s="719">
        <f t="shared" si="80"/>
        <v>100</v>
      </c>
      <c r="CG85" s="618">
        <f t="shared" si="81"/>
        <v>0</v>
      </c>
      <c r="CH85" s="718">
        <f t="shared" si="82"/>
        <v>0</v>
      </c>
      <c r="CI85" s="552">
        <v>0</v>
      </c>
      <c r="CJ85" s="551">
        <f t="shared" si="83"/>
        <v>0</v>
      </c>
      <c r="CK85" s="874">
        <v>0</v>
      </c>
      <c r="CL85" s="533">
        <f t="shared" si="84"/>
        <v>0</v>
      </c>
      <c r="CM85" s="619">
        <f t="shared" si="85"/>
        <v>0</v>
      </c>
      <c r="CN85" s="619">
        <f t="shared" si="86"/>
        <v>0</v>
      </c>
      <c r="CO85" s="549">
        <f t="shared" si="87"/>
        <v>0</v>
      </c>
      <c r="CP85" s="619">
        <f t="shared" si="88"/>
        <v>0</v>
      </c>
      <c r="CQ85" s="619">
        <f t="shared" si="89"/>
        <v>0</v>
      </c>
      <c r="CR85" s="546">
        <v>15000000</v>
      </c>
      <c r="CS85" s="546">
        <v>15000000</v>
      </c>
      <c r="CT85" s="546">
        <v>0</v>
      </c>
      <c r="CU85" s="546">
        <v>0</v>
      </c>
      <c r="CV85" s="546">
        <v>0</v>
      </c>
      <c r="CW85" s="546">
        <v>0</v>
      </c>
      <c r="CX85" s="546">
        <v>0</v>
      </c>
      <c r="CY85" s="546">
        <v>0</v>
      </c>
      <c r="CZ85" s="618">
        <v>0</v>
      </c>
      <c r="DA85" s="618">
        <v>0</v>
      </c>
      <c r="DB85" s="618">
        <v>0</v>
      </c>
      <c r="DC85" s="618">
        <v>0</v>
      </c>
      <c r="DD85" s="618">
        <v>0</v>
      </c>
      <c r="DE85" s="618">
        <v>0</v>
      </c>
      <c r="DF85" s="618">
        <v>0</v>
      </c>
      <c r="DG85" s="618">
        <v>0</v>
      </c>
      <c r="DH85" s="618">
        <v>0</v>
      </c>
      <c r="DI85" s="618">
        <v>0</v>
      </c>
      <c r="DJ85" s="618">
        <v>0</v>
      </c>
      <c r="DK85" s="1034">
        <f t="shared" si="90"/>
        <v>19578</v>
      </c>
      <c r="DL85" s="543">
        <f t="shared" si="91"/>
        <v>0.16500000000000004</v>
      </c>
      <c r="DM85" s="542">
        <f t="shared" si="92"/>
        <v>978.9</v>
      </c>
      <c r="DN85" s="594">
        <f t="shared" si="93"/>
        <v>100</v>
      </c>
      <c r="DO85" s="540">
        <f t="shared" si="94"/>
        <v>0.16500000000000001</v>
      </c>
      <c r="DP85" s="597">
        <f>+IF(((DN85*Q85)/100)&lt;Q85, ((DN85*Q85)/100),Q85)</f>
        <v>0.16500000000000001</v>
      </c>
      <c r="DQ85" s="538">
        <f t="shared" si="95"/>
        <v>0.16500000000000001</v>
      </c>
      <c r="DR85" s="617">
        <f t="shared" si="96"/>
        <v>1</v>
      </c>
      <c r="DS85" s="616">
        <f t="shared" si="97"/>
        <v>0</v>
      </c>
      <c r="DT85" s="259">
        <v>72</v>
      </c>
      <c r="DU85" s="260" t="s">
        <v>291</v>
      </c>
      <c r="DV85" s="259">
        <v>74</v>
      </c>
      <c r="DW85" s="260" t="s">
        <v>442</v>
      </c>
      <c r="DX85" s="259"/>
      <c r="DY85" s="259"/>
      <c r="DZ85" s="259"/>
      <c r="EA85" s="987"/>
      <c r="EB85" s="1041" t="s">
        <v>2431</v>
      </c>
      <c r="EC85" s="802">
        <v>15000000</v>
      </c>
      <c r="EE85" s="1047"/>
    </row>
    <row r="86" spans="4:135" s="534" customFormat="1" ht="120" hidden="1" x14ac:dyDescent="0.3">
      <c r="D86" s="783">
        <v>83</v>
      </c>
      <c r="E86" s="799">
        <v>111</v>
      </c>
      <c r="F86" s="787" t="s">
        <v>200</v>
      </c>
      <c r="G86" s="787" t="s">
        <v>7</v>
      </c>
      <c r="H86" s="788" t="s">
        <v>140</v>
      </c>
      <c r="I86" s="712" t="s">
        <v>369</v>
      </c>
      <c r="J86" s="573" t="s">
        <v>499</v>
      </c>
      <c r="K86" s="573" t="s">
        <v>437</v>
      </c>
      <c r="L86" s="702" t="s">
        <v>2043</v>
      </c>
      <c r="M86" s="570" t="s">
        <v>2017</v>
      </c>
      <c r="N86" s="570">
        <v>0</v>
      </c>
      <c r="O86" s="570">
        <f>+N86+P86</f>
        <v>1</v>
      </c>
      <c r="P86" s="569">
        <v>1</v>
      </c>
      <c r="Q86" s="628">
        <v>0.25</v>
      </c>
      <c r="R86" s="580">
        <f t="shared" si="61"/>
        <v>7.4999999999999997E-2</v>
      </c>
      <c r="S86" s="708">
        <v>0.3</v>
      </c>
      <c r="T86" s="625">
        <f t="shared" si="62"/>
        <v>0.3</v>
      </c>
      <c r="U86" s="992">
        <v>0.3</v>
      </c>
      <c r="V86" s="626">
        <f t="shared" si="63"/>
        <v>0.3</v>
      </c>
      <c r="W86" s="594">
        <f t="shared" si="64"/>
        <v>100</v>
      </c>
      <c r="X86" s="594">
        <f t="shared" si="65"/>
        <v>100</v>
      </c>
      <c r="Y86" s="594">
        <f t="shared" si="98"/>
        <v>7.4999999999999997E-2</v>
      </c>
      <c r="Z86" s="594">
        <f t="shared" si="66"/>
        <v>100</v>
      </c>
      <c r="AA86" s="546">
        <v>50000000</v>
      </c>
      <c r="AB86" s="546">
        <v>25000000</v>
      </c>
      <c r="AC86" s="546">
        <v>0</v>
      </c>
      <c r="AD86" s="546">
        <v>0</v>
      </c>
      <c r="AE86" s="546">
        <v>0</v>
      </c>
      <c r="AF86" s="546">
        <v>0</v>
      </c>
      <c r="AG86" s="546">
        <v>0</v>
      </c>
      <c r="AH86" s="546">
        <v>25000000</v>
      </c>
      <c r="AI86" s="546">
        <v>25000000</v>
      </c>
      <c r="AJ86" s="546">
        <v>25000000</v>
      </c>
      <c r="AK86" s="546">
        <v>0</v>
      </c>
      <c r="AL86" s="546">
        <v>0</v>
      </c>
      <c r="AM86" s="546">
        <v>0</v>
      </c>
      <c r="AN86" s="546">
        <v>0</v>
      </c>
      <c r="AO86" s="546">
        <v>0</v>
      </c>
      <c r="AP86" s="546">
        <v>0</v>
      </c>
      <c r="AQ86" s="546">
        <v>0</v>
      </c>
      <c r="AR86" s="546">
        <v>50000000</v>
      </c>
      <c r="AS86" s="546" t="s">
        <v>2263</v>
      </c>
      <c r="AT86" s="570">
        <f t="shared" si="67"/>
        <v>7.4999999999999997E-2</v>
      </c>
      <c r="AU86" s="570">
        <v>0.3</v>
      </c>
      <c r="AV86" s="625">
        <f t="shared" si="68"/>
        <v>0.3</v>
      </c>
      <c r="AW86" s="1010">
        <v>0.3</v>
      </c>
      <c r="AX86" s="724">
        <f t="shared" si="69"/>
        <v>0.3</v>
      </c>
      <c r="AY86" s="724">
        <f t="shared" si="70"/>
        <v>100</v>
      </c>
      <c r="AZ86" s="724">
        <f t="shared" si="71"/>
        <v>100</v>
      </c>
      <c r="BA86" s="594">
        <f t="shared" si="72"/>
        <v>7.4999999999999997E-2</v>
      </c>
      <c r="BB86" s="594">
        <f t="shared" si="73"/>
        <v>100</v>
      </c>
      <c r="BC86" s="546">
        <v>5000000</v>
      </c>
      <c r="BD86" s="546">
        <v>0</v>
      </c>
      <c r="BE86" s="546">
        <v>5000000</v>
      </c>
      <c r="BF86" s="546">
        <v>0</v>
      </c>
      <c r="BG86" s="546">
        <v>0</v>
      </c>
      <c r="BH86" s="546">
        <v>0</v>
      </c>
      <c r="BI86" s="546">
        <v>0</v>
      </c>
      <c r="BJ86" s="546">
        <v>0</v>
      </c>
      <c r="BK86" s="723">
        <v>75000000</v>
      </c>
      <c r="BL86" s="722">
        <v>75000000</v>
      </c>
      <c r="BM86" s="722">
        <v>0</v>
      </c>
      <c r="BN86" s="722">
        <v>0</v>
      </c>
      <c r="BO86" s="722">
        <v>0</v>
      </c>
      <c r="BP86" s="722">
        <v>0</v>
      </c>
      <c r="BQ86" s="722">
        <v>0</v>
      </c>
      <c r="BR86" s="722">
        <v>0</v>
      </c>
      <c r="BS86" s="722">
        <v>0</v>
      </c>
      <c r="BT86" s="722">
        <v>135500000</v>
      </c>
      <c r="BU86" s="722" t="s">
        <v>2262</v>
      </c>
      <c r="BV86" s="580">
        <f t="shared" si="74"/>
        <v>0.05</v>
      </c>
      <c r="BW86" s="588">
        <v>0.2</v>
      </c>
      <c r="BX86" s="623">
        <f t="shared" si="75"/>
        <v>0.2</v>
      </c>
      <c r="BY86" s="725">
        <v>0.23999999463558197</v>
      </c>
      <c r="BZ86" s="679">
        <v>0.1</v>
      </c>
      <c r="CA86" s="1020">
        <v>0.2</v>
      </c>
      <c r="CB86" s="721">
        <f t="shared" si="76"/>
        <v>0.2</v>
      </c>
      <c r="CC86" s="721">
        <f t="shared" si="77"/>
        <v>100</v>
      </c>
      <c r="CD86" s="720">
        <f t="shared" si="78"/>
        <v>100</v>
      </c>
      <c r="CE86" s="618">
        <f t="shared" si="79"/>
        <v>0.05</v>
      </c>
      <c r="CF86" s="719">
        <f t="shared" si="80"/>
        <v>100</v>
      </c>
      <c r="CG86" s="618">
        <f t="shared" si="81"/>
        <v>0.05</v>
      </c>
      <c r="CH86" s="718">
        <f t="shared" si="82"/>
        <v>0.05</v>
      </c>
      <c r="CI86" s="552">
        <v>0.2</v>
      </c>
      <c r="CJ86" s="551">
        <f t="shared" si="83"/>
        <v>0.2</v>
      </c>
      <c r="CK86" s="874">
        <v>0.2</v>
      </c>
      <c r="CL86" s="533">
        <f t="shared" si="84"/>
        <v>0</v>
      </c>
      <c r="CM86" s="619">
        <f t="shared" si="85"/>
        <v>0.2</v>
      </c>
      <c r="CN86" s="619">
        <f t="shared" si="86"/>
        <v>100</v>
      </c>
      <c r="CO86" s="549">
        <f t="shared" si="87"/>
        <v>100</v>
      </c>
      <c r="CP86" s="619">
        <f t="shared" si="88"/>
        <v>0.05</v>
      </c>
      <c r="CQ86" s="619">
        <f t="shared" si="89"/>
        <v>0.05</v>
      </c>
      <c r="CR86" s="546">
        <v>12000000</v>
      </c>
      <c r="CS86" s="546">
        <v>12000000</v>
      </c>
      <c r="CT86" s="546">
        <v>0</v>
      </c>
      <c r="CU86" s="546">
        <v>0</v>
      </c>
      <c r="CV86" s="546">
        <v>0</v>
      </c>
      <c r="CW86" s="546">
        <v>0</v>
      </c>
      <c r="CX86" s="546">
        <v>0</v>
      </c>
      <c r="CY86" s="546">
        <v>0</v>
      </c>
      <c r="CZ86" s="618">
        <v>0</v>
      </c>
      <c r="DA86" s="618">
        <v>0</v>
      </c>
      <c r="DB86" s="618">
        <v>0</v>
      </c>
      <c r="DC86" s="618">
        <v>0</v>
      </c>
      <c r="DD86" s="618">
        <v>0</v>
      </c>
      <c r="DE86" s="618">
        <v>0</v>
      </c>
      <c r="DF86" s="618">
        <v>0</v>
      </c>
      <c r="DG86" s="618">
        <v>0</v>
      </c>
      <c r="DH86" s="618">
        <v>0</v>
      </c>
      <c r="DI86" s="618">
        <v>0</v>
      </c>
      <c r="DJ86" s="618">
        <v>0</v>
      </c>
      <c r="DK86" s="1035">
        <f t="shared" si="90"/>
        <v>1</v>
      </c>
      <c r="DL86" s="543">
        <f t="shared" si="91"/>
        <v>0.25</v>
      </c>
      <c r="DM86" s="542">
        <f t="shared" si="92"/>
        <v>100</v>
      </c>
      <c r="DN86" s="594">
        <f t="shared" si="93"/>
        <v>100</v>
      </c>
      <c r="DO86" s="540">
        <f t="shared" si="94"/>
        <v>0.25</v>
      </c>
      <c r="DP86" s="597">
        <f>+IF(((DN86*Q86)/100)&lt;Q86, ((DN86*Q86)/100),Q86)</f>
        <v>0.25</v>
      </c>
      <c r="DQ86" s="538">
        <f t="shared" si="95"/>
        <v>0.25</v>
      </c>
      <c r="DR86" s="617">
        <f t="shared" si="96"/>
        <v>1</v>
      </c>
      <c r="DS86" s="616">
        <f t="shared" si="97"/>
        <v>0</v>
      </c>
      <c r="DT86" s="259">
        <v>74</v>
      </c>
      <c r="DU86" s="260" t="s">
        <v>442</v>
      </c>
      <c r="DV86" s="259">
        <v>78</v>
      </c>
      <c r="DW86" s="260" t="s">
        <v>287</v>
      </c>
      <c r="DX86" s="259"/>
      <c r="DY86" s="259"/>
      <c r="DZ86" s="259"/>
      <c r="EA86" s="987"/>
      <c r="EB86" s="1041" t="s">
        <v>2432</v>
      </c>
      <c r="EC86" s="802">
        <v>12000000</v>
      </c>
      <c r="EE86" s="1047"/>
    </row>
    <row r="87" spans="4:135" s="534" customFormat="1" ht="120" hidden="1" x14ac:dyDescent="0.3">
      <c r="D87" s="783">
        <v>84</v>
      </c>
      <c r="E87" s="799">
        <v>112</v>
      </c>
      <c r="F87" s="787" t="s">
        <v>200</v>
      </c>
      <c r="G87" s="787" t="s">
        <v>7</v>
      </c>
      <c r="H87" s="788" t="s">
        <v>140</v>
      </c>
      <c r="I87" s="712" t="s">
        <v>369</v>
      </c>
      <c r="J87" s="573" t="s">
        <v>500</v>
      </c>
      <c r="K87" s="573" t="s">
        <v>501</v>
      </c>
      <c r="L87" s="702" t="s">
        <v>2072</v>
      </c>
      <c r="M87" s="570" t="s">
        <v>2017</v>
      </c>
      <c r="N87" s="570">
        <v>0</v>
      </c>
      <c r="O87" s="570">
        <f>+N87+P87</f>
        <v>1</v>
      </c>
      <c r="P87" s="569">
        <v>1</v>
      </c>
      <c r="Q87" s="628">
        <v>0.25</v>
      </c>
      <c r="R87" s="580">
        <f t="shared" si="61"/>
        <v>2.5000000000000001E-2</v>
      </c>
      <c r="S87" s="708">
        <v>0.1</v>
      </c>
      <c r="T87" s="625">
        <f t="shared" si="62"/>
        <v>0.1</v>
      </c>
      <c r="U87" s="992">
        <v>0.1</v>
      </c>
      <c r="V87" s="626">
        <f t="shared" si="63"/>
        <v>0.1</v>
      </c>
      <c r="W87" s="594">
        <f t="shared" si="64"/>
        <v>100</v>
      </c>
      <c r="X87" s="594">
        <f t="shared" si="65"/>
        <v>100</v>
      </c>
      <c r="Y87" s="594">
        <f t="shared" si="98"/>
        <v>2.5000000000000001E-2</v>
      </c>
      <c r="Z87" s="594">
        <f t="shared" si="66"/>
        <v>100</v>
      </c>
      <c r="AA87" s="546">
        <v>0</v>
      </c>
      <c r="AB87" s="546">
        <v>0</v>
      </c>
      <c r="AC87" s="546">
        <v>0</v>
      </c>
      <c r="AD87" s="546">
        <v>0</v>
      </c>
      <c r="AE87" s="546">
        <v>0</v>
      </c>
      <c r="AF87" s="546">
        <v>0</v>
      </c>
      <c r="AG87" s="546">
        <v>0</v>
      </c>
      <c r="AH87" s="546">
        <v>0</v>
      </c>
      <c r="AI87" s="546">
        <v>0</v>
      </c>
      <c r="AJ87" s="546">
        <v>0</v>
      </c>
      <c r="AK87" s="546">
        <v>0</v>
      </c>
      <c r="AL87" s="546">
        <v>0</v>
      </c>
      <c r="AM87" s="546">
        <v>0</v>
      </c>
      <c r="AN87" s="546">
        <v>0</v>
      </c>
      <c r="AO87" s="546">
        <v>0</v>
      </c>
      <c r="AP87" s="546">
        <v>0</v>
      </c>
      <c r="AQ87" s="546">
        <v>0</v>
      </c>
      <c r="AR87" s="546">
        <v>0</v>
      </c>
      <c r="AS87" s="546" t="s">
        <v>2045</v>
      </c>
      <c r="AT87" s="570">
        <f t="shared" si="67"/>
        <v>0.125</v>
      </c>
      <c r="AU87" s="570">
        <v>0.5</v>
      </c>
      <c r="AV87" s="625">
        <f t="shared" si="68"/>
        <v>0.5</v>
      </c>
      <c r="AW87" s="1010">
        <v>0.5</v>
      </c>
      <c r="AX87" s="724">
        <f t="shared" si="69"/>
        <v>0.5</v>
      </c>
      <c r="AY87" s="724">
        <f t="shared" si="70"/>
        <v>100</v>
      </c>
      <c r="AZ87" s="724">
        <f t="shared" si="71"/>
        <v>100</v>
      </c>
      <c r="BA87" s="594">
        <f t="shared" si="72"/>
        <v>0.125</v>
      </c>
      <c r="BB87" s="594">
        <f t="shared" si="73"/>
        <v>100</v>
      </c>
      <c r="BC87" s="546">
        <v>5000000</v>
      </c>
      <c r="BD87" s="546">
        <v>0</v>
      </c>
      <c r="BE87" s="546">
        <v>5000000</v>
      </c>
      <c r="BF87" s="546">
        <v>0</v>
      </c>
      <c r="BG87" s="546">
        <v>0</v>
      </c>
      <c r="BH87" s="546">
        <v>0</v>
      </c>
      <c r="BI87" s="546">
        <v>0</v>
      </c>
      <c r="BJ87" s="546">
        <v>0</v>
      </c>
      <c r="BK87" s="723">
        <v>0</v>
      </c>
      <c r="BL87" s="722">
        <v>0</v>
      </c>
      <c r="BM87" s="722">
        <v>0</v>
      </c>
      <c r="BN87" s="722">
        <v>0</v>
      </c>
      <c r="BO87" s="722">
        <v>0</v>
      </c>
      <c r="BP87" s="722">
        <v>0</v>
      </c>
      <c r="BQ87" s="722">
        <v>0</v>
      </c>
      <c r="BR87" s="722">
        <v>0</v>
      </c>
      <c r="BS87" s="722">
        <v>0</v>
      </c>
      <c r="BT87" s="722">
        <v>0</v>
      </c>
      <c r="BU87" s="722">
        <v>0</v>
      </c>
      <c r="BV87" s="580">
        <f t="shared" si="74"/>
        <v>0.05</v>
      </c>
      <c r="BW87" s="588">
        <v>0.2</v>
      </c>
      <c r="BX87" s="623">
        <f t="shared" si="75"/>
        <v>0.2</v>
      </c>
      <c r="BY87" s="725">
        <v>0.25999999046325684</v>
      </c>
      <c r="BZ87" s="679">
        <v>0.1</v>
      </c>
      <c r="CA87" s="1020">
        <v>0.20000000298023224</v>
      </c>
      <c r="CB87" s="721">
        <f t="shared" si="76"/>
        <v>0.20000000298023224</v>
      </c>
      <c r="CC87" s="721">
        <f t="shared" si="77"/>
        <v>100.00000149011612</v>
      </c>
      <c r="CD87" s="720">
        <f t="shared" si="78"/>
        <v>100</v>
      </c>
      <c r="CE87" s="618">
        <f t="shared" si="79"/>
        <v>0.05</v>
      </c>
      <c r="CF87" s="719">
        <f t="shared" si="80"/>
        <v>100</v>
      </c>
      <c r="CG87" s="618">
        <f t="shared" si="81"/>
        <v>5.000000074505806E-2</v>
      </c>
      <c r="CH87" s="718">
        <f t="shared" si="82"/>
        <v>0.05</v>
      </c>
      <c r="CI87" s="552">
        <v>0.2</v>
      </c>
      <c r="CJ87" s="551">
        <f t="shared" si="83"/>
        <v>0.2</v>
      </c>
      <c r="CK87" s="874">
        <v>5.000000074505806E-2</v>
      </c>
      <c r="CL87" s="533">
        <f t="shared" si="84"/>
        <v>0.14999999925494195</v>
      </c>
      <c r="CM87" s="619">
        <f t="shared" si="85"/>
        <v>5.000000074505806E-2</v>
      </c>
      <c r="CN87" s="619">
        <f t="shared" si="86"/>
        <v>25.00000037252903</v>
      </c>
      <c r="CO87" s="549">
        <f t="shared" si="87"/>
        <v>25.00000037252903</v>
      </c>
      <c r="CP87" s="619">
        <f t="shared" si="88"/>
        <v>1.2500000186264515E-2</v>
      </c>
      <c r="CQ87" s="619">
        <f t="shared" si="89"/>
        <v>1.2500000186264515E-2</v>
      </c>
      <c r="CR87" s="546">
        <v>12000000</v>
      </c>
      <c r="CS87" s="546">
        <v>12000000</v>
      </c>
      <c r="CT87" s="546">
        <v>0</v>
      </c>
      <c r="CU87" s="546">
        <v>0</v>
      </c>
      <c r="CV87" s="546">
        <v>0</v>
      </c>
      <c r="CW87" s="546">
        <v>0</v>
      </c>
      <c r="CX87" s="546">
        <v>0</v>
      </c>
      <c r="CY87" s="546">
        <v>0</v>
      </c>
      <c r="CZ87" s="618">
        <v>0</v>
      </c>
      <c r="DA87" s="618">
        <v>0</v>
      </c>
      <c r="DB87" s="618">
        <v>0</v>
      </c>
      <c r="DC87" s="618">
        <v>0</v>
      </c>
      <c r="DD87" s="618">
        <v>0</v>
      </c>
      <c r="DE87" s="618">
        <v>0</v>
      </c>
      <c r="DF87" s="618">
        <v>0</v>
      </c>
      <c r="DG87" s="618">
        <v>0</v>
      </c>
      <c r="DH87" s="618">
        <v>0</v>
      </c>
      <c r="DI87" s="618">
        <v>0</v>
      </c>
      <c r="DJ87" s="618">
        <v>0</v>
      </c>
      <c r="DK87" s="1034">
        <f t="shared" si="90"/>
        <v>0.85000000372529028</v>
      </c>
      <c r="DL87" s="543">
        <f t="shared" si="91"/>
        <v>0.25</v>
      </c>
      <c r="DM87" s="542">
        <f t="shared" si="92"/>
        <v>85.00000037252903</v>
      </c>
      <c r="DN87" s="594">
        <f t="shared" si="93"/>
        <v>85.00000037252903</v>
      </c>
      <c r="DO87" s="540">
        <f t="shared" si="94"/>
        <v>0.21250000093132257</v>
      </c>
      <c r="DP87" s="597">
        <f>+IF(((DN87*Q87)/100)&lt;Q87, ((DN87*Q87)/100),Q87)</f>
        <v>0.21250000093132257</v>
      </c>
      <c r="DQ87" s="538">
        <f t="shared" si="95"/>
        <v>0.21250000093132257</v>
      </c>
      <c r="DR87" s="617">
        <f t="shared" si="96"/>
        <v>1</v>
      </c>
      <c r="DS87" s="616">
        <f t="shared" si="97"/>
        <v>0</v>
      </c>
      <c r="DT87" s="259">
        <v>74</v>
      </c>
      <c r="DU87" s="260" t="s">
        <v>442</v>
      </c>
      <c r="DV87" s="259">
        <v>78</v>
      </c>
      <c r="DW87" s="260" t="s">
        <v>287</v>
      </c>
      <c r="DX87" s="259"/>
      <c r="DY87" s="259"/>
      <c r="DZ87" s="259"/>
      <c r="EA87" s="987"/>
      <c r="EB87" s="1041" t="s">
        <v>2433</v>
      </c>
      <c r="EC87" s="802">
        <v>12000000</v>
      </c>
      <c r="EE87" s="1047"/>
    </row>
    <row r="88" spans="4:135" s="534" customFormat="1" ht="89.25" hidden="1" x14ac:dyDescent="0.3">
      <c r="D88" s="783">
        <v>85</v>
      </c>
      <c r="E88" s="799">
        <v>113</v>
      </c>
      <c r="F88" s="787" t="s">
        <v>200</v>
      </c>
      <c r="G88" s="787" t="s">
        <v>9</v>
      </c>
      <c r="H88" s="788" t="s">
        <v>140</v>
      </c>
      <c r="I88" s="712" t="s">
        <v>369</v>
      </c>
      <c r="J88" s="573" t="s">
        <v>502</v>
      </c>
      <c r="K88" s="573" t="s">
        <v>503</v>
      </c>
      <c r="L88" s="701" t="s">
        <v>2201</v>
      </c>
      <c r="M88" s="570" t="s">
        <v>2032</v>
      </c>
      <c r="N88" s="570">
        <v>100</v>
      </c>
      <c r="O88" s="570">
        <f>+P88</f>
        <v>100</v>
      </c>
      <c r="P88" s="569">
        <v>100</v>
      </c>
      <c r="Q88" s="628">
        <v>0.16500000000000001</v>
      </c>
      <c r="R88" s="580">
        <f t="shared" si="61"/>
        <v>4.1250000000000002E-2</v>
      </c>
      <c r="S88" s="708">
        <v>100</v>
      </c>
      <c r="T88" s="625">
        <f t="shared" si="62"/>
        <v>0.25</v>
      </c>
      <c r="U88" s="992">
        <v>100</v>
      </c>
      <c r="V88" s="626">
        <f t="shared" si="63"/>
        <v>25</v>
      </c>
      <c r="W88" s="594">
        <f t="shared" si="64"/>
        <v>100</v>
      </c>
      <c r="X88" s="594">
        <f t="shared" si="65"/>
        <v>100</v>
      </c>
      <c r="Y88" s="594">
        <f t="shared" si="98"/>
        <v>4.1250000000000002E-2</v>
      </c>
      <c r="Z88" s="594">
        <f t="shared" si="66"/>
        <v>100</v>
      </c>
      <c r="AA88" s="546">
        <v>0</v>
      </c>
      <c r="AB88" s="546">
        <v>0</v>
      </c>
      <c r="AC88" s="546">
        <v>0</v>
      </c>
      <c r="AD88" s="546">
        <v>0</v>
      </c>
      <c r="AE88" s="546">
        <v>0</v>
      </c>
      <c r="AF88" s="546">
        <v>0</v>
      </c>
      <c r="AG88" s="546">
        <v>0</v>
      </c>
      <c r="AH88" s="546">
        <v>0</v>
      </c>
      <c r="AI88" s="546">
        <v>0</v>
      </c>
      <c r="AJ88" s="546">
        <v>0</v>
      </c>
      <c r="AK88" s="546">
        <v>0</v>
      </c>
      <c r="AL88" s="546">
        <v>0</v>
      </c>
      <c r="AM88" s="546">
        <v>0</v>
      </c>
      <c r="AN88" s="546">
        <v>0</v>
      </c>
      <c r="AO88" s="546">
        <v>0</v>
      </c>
      <c r="AP88" s="546">
        <v>0</v>
      </c>
      <c r="AQ88" s="546">
        <v>0</v>
      </c>
      <c r="AR88" s="546">
        <v>0</v>
      </c>
      <c r="AS88" s="546" t="s">
        <v>2045</v>
      </c>
      <c r="AT88" s="570">
        <f t="shared" si="67"/>
        <v>4.1250000000000002E-2</v>
      </c>
      <c r="AU88" s="570">
        <v>100</v>
      </c>
      <c r="AV88" s="625">
        <f t="shared" si="68"/>
        <v>0.25</v>
      </c>
      <c r="AW88" s="1003">
        <v>50</v>
      </c>
      <c r="AX88" s="724">
        <f t="shared" si="69"/>
        <v>12.5</v>
      </c>
      <c r="AY88" s="724">
        <f t="shared" si="70"/>
        <v>50</v>
      </c>
      <c r="AZ88" s="724">
        <f t="shared" si="71"/>
        <v>50</v>
      </c>
      <c r="BA88" s="594">
        <f t="shared" si="72"/>
        <v>2.0625000000000001E-2</v>
      </c>
      <c r="BB88" s="594">
        <f t="shared" si="73"/>
        <v>50</v>
      </c>
      <c r="BC88" s="546">
        <v>20000000</v>
      </c>
      <c r="BD88" s="546">
        <v>0</v>
      </c>
      <c r="BE88" s="546">
        <v>20000000</v>
      </c>
      <c r="BF88" s="546">
        <v>0</v>
      </c>
      <c r="BG88" s="546">
        <v>0</v>
      </c>
      <c r="BH88" s="546">
        <v>0</v>
      </c>
      <c r="BI88" s="546">
        <v>0</v>
      </c>
      <c r="BJ88" s="546">
        <v>0</v>
      </c>
      <c r="BK88" s="723">
        <v>5000000</v>
      </c>
      <c r="BL88" s="722">
        <v>5000000</v>
      </c>
      <c r="BM88" s="722">
        <v>0</v>
      </c>
      <c r="BN88" s="722">
        <v>0</v>
      </c>
      <c r="BO88" s="722">
        <v>0</v>
      </c>
      <c r="BP88" s="722">
        <v>0</v>
      </c>
      <c r="BQ88" s="722">
        <v>0</v>
      </c>
      <c r="BR88" s="722">
        <v>0</v>
      </c>
      <c r="BS88" s="722">
        <v>0</v>
      </c>
      <c r="BT88" s="722">
        <v>0</v>
      </c>
      <c r="BU88" s="722">
        <v>0</v>
      </c>
      <c r="BV88" s="580">
        <f t="shared" si="74"/>
        <v>4.1250000000000002E-2</v>
      </c>
      <c r="BW88" s="588">
        <v>100</v>
      </c>
      <c r="BX88" s="623">
        <f t="shared" si="75"/>
        <v>0.25</v>
      </c>
      <c r="BY88" s="607">
        <v>100</v>
      </c>
      <c r="BZ88" s="629">
        <v>100</v>
      </c>
      <c r="CA88" s="1017">
        <v>100</v>
      </c>
      <c r="CB88" s="721">
        <f t="shared" si="76"/>
        <v>25</v>
      </c>
      <c r="CC88" s="721">
        <f t="shared" si="77"/>
        <v>100</v>
      </c>
      <c r="CD88" s="720">
        <f t="shared" si="78"/>
        <v>100</v>
      </c>
      <c r="CE88" s="618">
        <f t="shared" si="79"/>
        <v>4.1250000000000002E-2</v>
      </c>
      <c r="CF88" s="719">
        <f t="shared" si="80"/>
        <v>100</v>
      </c>
      <c r="CG88" s="618">
        <f t="shared" si="81"/>
        <v>4.1250000000000002E-2</v>
      </c>
      <c r="CH88" s="718">
        <f t="shared" si="82"/>
        <v>4.1250000000000002E-2</v>
      </c>
      <c r="CI88" s="552">
        <v>100</v>
      </c>
      <c r="CJ88" s="551">
        <f t="shared" si="83"/>
        <v>0.25</v>
      </c>
      <c r="CK88" s="874">
        <v>100</v>
      </c>
      <c r="CL88" s="533">
        <f t="shared" si="84"/>
        <v>0</v>
      </c>
      <c r="CM88" s="619">
        <f t="shared" si="85"/>
        <v>25</v>
      </c>
      <c r="CN88" s="619">
        <f t="shared" si="86"/>
        <v>100</v>
      </c>
      <c r="CO88" s="619">
        <f t="shared" si="87"/>
        <v>100</v>
      </c>
      <c r="CP88" s="619">
        <f t="shared" si="88"/>
        <v>4.1250000000000002E-2</v>
      </c>
      <c r="CQ88" s="619">
        <f t="shared" si="89"/>
        <v>4.1250000000000002E-2</v>
      </c>
      <c r="CR88" s="546">
        <v>0</v>
      </c>
      <c r="CS88" s="546">
        <v>0</v>
      </c>
      <c r="CT88" s="546">
        <v>0</v>
      </c>
      <c r="CU88" s="546">
        <v>0</v>
      </c>
      <c r="CV88" s="546">
        <v>0</v>
      </c>
      <c r="CW88" s="546">
        <v>0</v>
      </c>
      <c r="CX88" s="546">
        <v>0</v>
      </c>
      <c r="CY88" s="546">
        <v>0</v>
      </c>
      <c r="CZ88" s="618">
        <v>0</v>
      </c>
      <c r="DA88" s="618">
        <v>0</v>
      </c>
      <c r="DB88" s="618">
        <v>0</v>
      </c>
      <c r="DC88" s="618">
        <v>0</v>
      </c>
      <c r="DD88" s="618">
        <v>0</v>
      </c>
      <c r="DE88" s="618">
        <v>0</v>
      </c>
      <c r="DF88" s="618">
        <v>0</v>
      </c>
      <c r="DG88" s="618">
        <v>0</v>
      </c>
      <c r="DH88" s="618">
        <v>0</v>
      </c>
      <c r="DI88" s="618">
        <v>0</v>
      </c>
      <c r="DJ88" s="618">
        <v>0</v>
      </c>
      <c r="DK88" s="1034">
        <f t="shared" si="90"/>
        <v>87.5</v>
      </c>
      <c r="DL88" s="543">
        <f t="shared" si="91"/>
        <v>0.16500000000000001</v>
      </c>
      <c r="DM88" s="542">
        <f t="shared" si="92"/>
        <v>87.5</v>
      </c>
      <c r="DN88" s="594">
        <f t="shared" si="93"/>
        <v>87.5</v>
      </c>
      <c r="DO88" s="540">
        <f t="shared" si="94"/>
        <v>0.144375</v>
      </c>
      <c r="DP88" s="597">
        <f>+IF(M88="M",DO88,0)</f>
        <v>0.144375</v>
      </c>
      <c r="DQ88" s="538">
        <f t="shared" si="95"/>
        <v>0.144375</v>
      </c>
      <c r="DR88" s="617">
        <f t="shared" si="96"/>
        <v>1</v>
      </c>
      <c r="DS88" s="616">
        <f t="shared" si="97"/>
        <v>0</v>
      </c>
      <c r="DT88" s="259">
        <v>72</v>
      </c>
      <c r="DU88" s="260" t="s">
        <v>291</v>
      </c>
      <c r="DV88" s="259"/>
      <c r="DW88" s="260" t="s">
        <v>242</v>
      </c>
      <c r="DX88" s="259"/>
      <c r="DY88" s="259"/>
      <c r="DZ88" s="259"/>
      <c r="EA88" s="987"/>
      <c r="EB88" s="1041" t="s">
        <v>2434</v>
      </c>
      <c r="EC88" s="802">
        <v>0</v>
      </c>
      <c r="EE88" s="1047"/>
    </row>
    <row r="89" spans="4:135" s="534" customFormat="1" ht="89.25" hidden="1" x14ac:dyDescent="0.3">
      <c r="D89" s="783">
        <v>86</v>
      </c>
      <c r="E89" s="799">
        <v>114</v>
      </c>
      <c r="F89" s="787" t="s">
        <v>200</v>
      </c>
      <c r="G89" s="787" t="s">
        <v>9</v>
      </c>
      <c r="H89" s="788" t="s">
        <v>140</v>
      </c>
      <c r="I89" s="712" t="s">
        <v>369</v>
      </c>
      <c r="J89" s="573" t="s">
        <v>504</v>
      </c>
      <c r="K89" s="573" t="s">
        <v>505</v>
      </c>
      <c r="L89" s="702" t="s">
        <v>2038</v>
      </c>
      <c r="M89" s="570" t="s">
        <v>2017</v>
      </c>
      <c r="N89" s="570">
        <v>0</v>
      </c>
      <c r="O89" s="570">
        <f t="shared" ref="O89:O100" si="99">+N89+P89</f>
        <v>15</v>
      </c>
      <c r="P89" s="569">
        <v>15</v>
      </c>
      <c r="Q89" s="628">
        <v>0.16500000000000001</v>
      </c>
      <c r="R89" s="580">
        <f t="shared" si="61"/>
        <v>3.3000000000000002E-2</v>
      </c>
      <c r="S89" s="708">
        <v>3</v>
      </c>
      <c r="T89" s="625">
        <f t="shared" si="62"/>
        <v>0.2</v>
      </c>
      <c r="U89" s="992">
        <v>2</v>
      </c>
      <c r="V89" s="626">
        <f t="shared" si="63"/>
        <v>2</v>
      </c>
      <c r="W89" s="594">
        <f t="shared" si="64"/>
        <v>66.666666666666671</v>
      </c>
      <c r="X89" s="594">
        <f t="shared" si="65"/>
        <v>66.666666666666671</v>
      </c>
      <c r="Y89" s="594">
        <f t="shared" si="98"/>
        <v>2.2000000000000002E-2</v>
      </c>
      <c r="Z89" s="594">
        <f t="shared" si="66"/>
        <v>66.666666666666671</v>
      </c>
      <c r="AA89" s="546">
        <v>0</v>
      </c>
      <c r="AB89" s="546">
        <v>0</v>
      </c>
      <c r="AC89" s="546">
        <v>0</v>
      </c>
      <c r="AD89" s="546">
        <v>0</v>
      </c>
      <c r="AE89" s="546">
        <v>0</v>
      </c>
      <c r="AF89" s="546">
        <v>0</v>
      </c>
      <c r="AG89" s="546">
        <v>0</v>
      </c>
      <c r="AH89" s="546">
        <v>0</v>
      </c>
      <c r="AI89" s="546">
        <v>0</v>
      </c>
      <c r="AJ89" s="546">
        <v>0</v>
      </c>
      <c r="AK89" s="546">
        <v>0</v>
      </c>
      <c r="AL89" s="546">
        <v>0</v>
      </c>
      <c r="AM89" s="546">
        <v>0</v>
      </c>
      <c r="AN89" s="546">
        <v>0</v>
      </c>
      <c r="AO89" s="546">
        <v>0</v>
      </c>
      <c r="AP89" s="546">
        <v>0</v>
      </c>
      <c r="AQ89" s="546">
        <v>0</v>
      </c>
      <c r="AR89" s="546">
        <v>0</v>
      </c>
      <c r="AS89" s="546" t="s">
        <v>2045</v>
      </c>
      <c r="AT89" s="570">
        <f t="shared" si="67"/>
        <v>4.4000000000000004E-2</v>
      </c>
      <c r="AU89" s="570">
        <v>4</v>
      </c>
      <c r="AV89" s="625">
        <f t="shared" si="68"/>
        <v>0.26666666666666666</v>
      </c>
      <c r="AW89" s="1003">
        <v>2</v>
      </c>
      <c r="AX89" s="724">
        <f t="shared" si="69"/>
        <v>2</v>
      </c>
      <c r="AY89" s="724">
        <f t="shared" si="70"/>
        <v>50</v>
      </c>
      <c r="AZ89" s="724">
        <f t="shared" si="71"/>
        <v>50</v>
      </c>
      <c r="BA89" s="594">
        <f t="shared" si="72"/>
        <v>2.2000000000000002E-2</v>
      </c>
      <c r="BB89" s="594">
        <f t="shared" si="73"/>
        <v>50</v>
      </c>
      <c r="BC89" s="546">
        <v>0</v>
      </c>
      <c r="BD89" s="546">
        <v>0</v>
      </c>
      <c r="BE89" s="546">
        <v>0</v>
      </c>
      <c r="BF89" s="546">
        <v>0</v>
      </c>
      <c r="BG89" s="546">
        <v>0</v>
      </c>
      <c r="BH89" s="546">
        <v>0</v>
      </c>
      <c r="BI89" s="546">
        <v>0</v>
      </c>
      <c r="BJ89" s="546">
        <v>0</v>
      </c>
      <c r="BK89" s="723">
        <v>0</v>
      </c>
      <c r="BL89" s="722">
        <v>0</v>
      </c>
      <c r="BM89" s="722">
        <v>0</v>
      </c>
      <c r="BN89" s="722">
        <v>0</v>
      </c>
      <c r="BO89" s="722">
        <v>0</v>
      </c>
      <c r="BP89" s="722">
        <v>0</v>
      </c>
      <c r="BQ89" s="722">
        <v>0</v>
      </c>
      <c r="BR89" s="722">
        <v>0</v>
      </c>
      <c r="BS89" s="722">
        <v>0</v>
      </c>
      <c r="BT89" s="722">
        <v>0</v>
      </c>
      <c r="BU89" s="722">
        <v>0</v>
      </c>
      <c r="BV89" s="580">
        <f t="shared" si="74"/>
        <v>4.4000000000000004E-2</v>
      </c>
      <c r="BW89" s="588">
        <v>4</v>
      </c>
      <c r="BX89" s="623">
        <f t="shared" si="75"/>
        <v>0.26666666666666666</v>
      </c>
      <c r="BY89" s="607">
        <v>15</v>
      </c>
      <c r="BZ89" s="629">
        <v>15</v>
      </c>
      <c r="CA89" s="1017">
        <v>23</v>
      </c>
      <c r="CB89" s="721">
        <f t="shared" si="76"/>
        <v>23</v>
      </c>
      <c r="CC89" s="721">
        <f t="shared" si="77"/>
        <v>575</v>
      </c>
      <c r="CD89" s="720">
        <f t="shared" si="78"/>
        <v>100</v>
      </c>
      <c r="CE89" s="618">
        <f t="shared" si="79"/>
        <v>4.4000000000000004E-2</v>
      </c>
      <c r="CF89" s="719">
        <f t="shared" si="80"/>
        <v>100</v>
      </c>
      <c r="CG89" s="618">
        <f t="shared" si="81"/>
        <v>0.25300000000000006</v>
      </c>
      <c r="CH89" s="718">
        <f t="shared" si="82"/>
        <v>4.4000000000000004E-2</v>
      </c>
      <c r="CI89" s="552">
        <v>4</v>
      </c>
      <c r="CJ89" s="551">
        <f t="shared" si="83"/>
        <v>0.26666666666666666</v>
      </c>
      <c r="CK89" s="871">
        <v>0</v>
      </c>
      <c r="CL89" s="533">
        <f t="shared" si="84"/>
        <v>4</v>
      </c>
      <c r="CM89" s="619">
        <f t="shared" si="85"/>
        <v>0</v>
      </c>
      <c r="CN89" s="619">
        <f t="shared" si="86"/>
        <v>0</v>
      </c>
      <c r="CO89" s="549">
        <f t="shared" si="87"/>
        <v>0</v>
      </c>
      <c r="CP89" s="619">
        <f t="shared" si="88"/>
        <v>0</v>
      </c>
      <c r="CQ89" s="619">
        <f t="shared" si="89"/>
        <v>0</v>
      </c>
      <c r="CR89" s="546">
        <v>0</v>
      </c>
      <c r="CS89" s="546">
        <v>0</v>
      </c>
      <c r="CT89" s="546">
        <v>0</v>
      </c>
      <c r="CU89" s="546">
        <v>0</v>
      </c>
      <c r="CV89" s="546">
        <v>0</v>
      </c>
      <c r="CW89" s="546">
        <v>0</v>
      </c>
      <c r="CX89" s="546">
        <v>0</v>
      </c>
      <c r="CY89" s="546">
        <v>0</v>
      </c>
      <c r="CZ89" s="618">
        <v>0</v>
      </c>
      <c r="DA89" s="618">
        <v>0</v>
      </c>
      <c r="DB89" s="618">
        <v>0</v>
      </c>
      <c r="DC89" s="618">
        <v>0</v>
      </c>
      <c r="DD89" s="618">
        <v>0</v>
      </c>
      <c r="DE89" s="618">
        <v>0</v>
      </c>
      <c r="DF89" s="618">
        <v>0</v>
      </c>
      <c r="DG89" s="618">
        <v>0</v>
      </c>
      <c r="DH89" s="618">
        <v>0</v>
      </c>
      <c r="DI89" s="618">
        <v>0</v>
      </c>
      <c r="DJ89" s="618">
        <v>0</v>
      </c>
      <c r="DK89" s="1034">
        <f t="shared" si="90"/>
        <v>27</v>
      </c>
      <c r="DL89" s="543">
        <f t="shared" si="91"/>
        <v>0.16500000000000004</v>
      </c>
      <c r="DM89" s="542">
        <f t="shared" si="92"/>
        <v>180</v>
      </c>
      <c r="DN89" s="594">
        <f t="shared" si="93"/>
        <v>100</v>
      </c>
      <c r="DO89" s="540">
        <f t="shared" si="94"/>
        <v>0.16500000000000001</v>
      </c>
      <c r="DP89" s="597">
        <f t="shared" ref="DP89:DP100" si="100">+IF(((DN89*Q89)/100)&lt;Q89, ((DN89*Q89)/100),Q89)</f>
        <v>0.16500000000000001</v>
      </c>
      <c r="DQ89" s="538">
        <f t="shared" si="95"/>
        <v>0.16500000000000001</v>
      </c>
      <c r="DR89" s="617">
        <f t="shared" si="96"/>
        <v>1</v>
      </c>
      <c r="DS89" s="616">
        <f t="shared" si="97"/>
        <v>0</v>
      </c>
      <c r="DT89" s="259">
        <v>77</v>
      </c>
      <c r="DU89" s="260" t="s">
        <v>288</v>
      </c>
      <c r="DV89" s="259"/>
      <c r="DW89" s="260" t="s">
        <v>242</v>
      </c>
      <c r="DX89" s="259"/>
      <c r="DY89" s="259"/>
      <c r="DZ89" s="259"/>
      <c r="EA89" s="987"/>
      <c r="EB89" s="1041" t="s">
        <v>2435</v>
      </c>
      <c r="EC89" s="802">
        <v>0</v>
      </c>
      <c r="EE89" s="1047"/>
    </row>
    <row r="90" spans="4:135" s="534" customFormat="1" ht="114.75" hidden="1" x14ac:dyDescent="0.3">
      <c r="D90" s="783">
        <v>87</v>
      </c>
      <c r="E90" s="799">
        <v>120</v>
      </c>
      <c r="F90" s="787" t="s">
        <v>200</v>
      </c>
      <c r="G90" s="787" t="s">
        <v>10</v>
      </c>
      <c r="H90" s="788" t="s">
        <v>136</v>
      </c>
      <c r="I90" s="712" t="s">
        <v>330</v>
      </c>
      <c r="J90" s="573" t="s">
        <v>506</v>
      </c>
      <c r="K90" s="573" t="s">
        <v>507</v>
      </c>
      <c r="L90" s="701" t="s">
        <v>1707</v>
      </c>
      <c r="M90" s="570" t="s">
        <v>2017</v>
      </c>
      <c r="N90" s="570">
        <v>0</v>
      </c>
      <c r="O90" s="570">
        <f t="shared" si="99"/>
        <v>100</v>
      </c>
      <c r="P90" s="569">
        <v>100</v>
      </c>
      <c r="Q90" s="628">
        <v>0.25</v>
      </c>
      <c r="R90" s="580">
        <f t="shared" si="61"/>
        <v>2.5000000000000001E-2</v>
      </c>
      <c r="S90" s="708">
        <v>10</v>
      </c>
      <c r="T90" s="625">
        <f t="shared" si="62"/>
        <v>0.1</v>
      </c>
      <c r="U90" s="992">
        <v>10</v>
      </c>
      <c r="V90" s="626">
        <f t="shared" si="63"/>
        <v>10</v>
      </c>
      <c r="W90" s="594">
        <f t="shared" si="64"/>
        <v>100</v>
      </c>
      <c r="X90" s="594">
        <f t="shared" si="65"/>
        <v>100</v>
      </c>
      <c r="Y90" s="594">
        <f t="shared" si="98"/>
        <v>2.5000000000000001E-2</v>
      </c>
      <c r="Z90" s="594">
        <f t="shared" si="66"/>
        <v>100</v>
      </c>
      <c r="AA90" s="546">
        <v>300000000</v>
      </c>
      <c r="AB90" s="546">
        <v>0</v>
      </c>
      <c r="AC90" s="546">
        <v>300000000</v>
      </c>
      <c r="AD90" s="546">
        <v>0</v>
      </c>
      <c r="AE90" s="546">
        <v>0</v>
      </c>
      <c r="AF90" s="546">
        <v>0</v>
      </c>
      <c r="AG90" s="546">
        <v>0</v>
      </c>
      <c r="AH90" s="546">
        <v>0</v>
      </c>
      <c r="AI90" s="546">
        <v>0</v>
      </c>
      <c r="AJ90" s="546">
        <v>0</v>
      </c>
      <c r="AK90" s="546">
        <v>0</v>
      </c>
      <c r="AL90" s="546">
        <v>0</v>
      </c>
      <c r="AM90" s="546">
        <v>0</v>
      </c>
      <c r="AN90" s="546">
        <v>0</v>
      </c>
      <c r="AO90" s="546">
        <v>0</v>
      </c>
      <c r="AP90" s="546">
        <v>0</v>
      </c>
      <c r="AQ90" s="546">
        <v>0</v>
      </c>
      <c r="AR90" s="546">
        <v>0</v>
      </c>
      <c r="AS90" s="546" t="s">
        <v>2045</v>
      </c>
      <c r="AT90" s="570">
        <f t="shared" si="67"/>
        <v>0.05</v>
      </c>
      <c r="AU90" s="570">
        <v>20</v>
      </c>
      <c r="AV90" s="625">
        <f t="shared" si="68"/>
        <v>0.2</v>
      </c>
      <c r="AW90" s="1003">
        <v>20</v>
      </c>
      <c r="AX90" s="724">
        <f t="shared" si="69"/>
        <v>20</v>
      </c>
      <c r="AY90" s="724">
        <f t="shared" si="70"/>
        <v>100</v>
      </c>
      <c r="AZ90" s="724">
        <f t="shared" si="71"/>
        <v>100</v>
      </c>
      <c r="BA90" s="594">
        <f t="shared" si="72"/>
        <v>0.05</v>
      </c>
      <c r="BB90" s="594">
        <f t="shared" si="73"/>
        <v>100</v>
      </c>
      <c r="BC90" s="546">
        <v>665000000</v>
      </c>
      <c r="BD90" s="546">
        <v>600000000</v>
      </c>
      <c r="BE90" s="546">
        <v>65000000</v>
      </c>
      <c r="BF90" s="546">
        <v>0</v>
      </c>
      <c r="BG90" s="546">
        <v>0</v>
      </c>
      <c r="BH90" s="546">
        <v>0</v>
      </c>
      <c r="BI90" s="546">
        <v>0</v>
      </c>
      <c r="BJ90" s="546">
        <v>0</v>
      </c>
      <c r="BK90" s="723">
        <v>379767933</v>
      </c>
      <c r="BL90" s="722">
        <v>0</v>
      </c>
      <c r="BM90" s="722">
        <v>379767933</v>
      </c>
      <c r="BN90" s="722">
        <v>0</v>
      </c>
      <c r="BO90" s="722">
        <v>0</v>
      </c>
      <c r="BP90" s="722">
        <v>0</v>
      </c>
      <c r="BQ90" s="722">
        <v>0</v>
      </c>
      <c r="BR90" s="722">
        <v>0</v>
      </c>
      <c r="BS90" s="722">
        <v>0</v>
      </c>
      <c r="BT90" s="722">
        <v>0</v>
      </c>
      <c r="BU90" s="722">
        <v>0</v>
      </c>
      <c r="BV90" s="580">
        <f t="shared" si="74"/>
        <v>8.7499999999999994E-2</v>
      </c>
      <c r="BW90" s="588">
        <v>35</v>
      </c>
      <c r="BX90" s="623">
        <f t="shared" si="75"/>
        <v>0.35</v>
      </c>
      <c r="BY90" s="607">
        <v>24.299999237060547</v>
      </c>
      <c r="BZ90" s="629">
        <v>41</v>
      </c>
      <c r="CA90" s="1017">
        <v>41</v>
      </c>
      <c r="CB90" s="721">
        <f t="shared" si="76"/>
        <v>41</v>
      </c>
      <c r="CC90" s="721">
        <f t="shared" si="77"/>
        <v>117.14285714285714</v>
      </c>
      <c r="CD90" s="720">
        <f t="shared" si="78"/>
        <v>100</v>
      </c>
      <c r="CE90" s="618">
        <f t="shared" si="79"/>
        <v>8.7499999999999994E-2</v>
      </c>
      <c r="CF90" s="719">
        <f t="shared" si="80"/>
        <v>100</v>
      </c>
      <c r="CG90" s="618">
        <f t="shared" si="81"/>
        <v>0.10249999999999998</v>
      </c>
      <c r="CH90" s="718">
        <f t="shared" si="82"/>
        <v>8.7499999999999994E-2</v>
      </c>
      <c r="CI90" s="552">
        <v>35</v>
      </c>
      <c r="CJ90" s="551">
        <f t="shared" si="83"/>
        <v>0.35</v>
      </c>
      <c r="CK90" s="871">
        <v>16.649999999999999</v>
      </c>
      <c r="CL90" s="533">
        <f t="shared" si="84"/>
        <v>18.350000000000001</v>
      </c>
      <c r="CM90" s="619">
        <f t="shared" si="85"/>
        <v>16.649999999999999</v>
      </c>
      <c r="CN90" s="619">
        <f t="shared" si="86"/>
        <v>47.571428571428562</v>
      </c>
      <c r="CO90" s="549">
        <f t="shared" si="87"/>
        <v>47.571428571428562</v>
      </c>
      <c r="CP90" s="619">
        <f t="shared" si="88"/>
        <v>4.1624999999999988E-2</v>
      </c>
      <c r="CQ90" s="619">
        <f t="shared" si="89"/>
        <v>4.1624999999999988E-2</v>
      </c>
      <c r="CR90" s="546">
        <v>751000000</v>
      </c>
      <c r="CS90" s="546">
        <v>151000000</v>
      </c>
      <c r="CT90" s="546">
        <v>600000000</v>
      </c>
      <c r="CU90" s="546">
        <v>0</v>
      </c>
      <c r="CV90" s="546">
        <v>0</v>
      </c>
      <c r="CW90" s="546">
        <v>0</v>
      </c>
      <c r="CX90" s="546">
        <v>0</v>
      </c>
      <c r="CY90" s="546">
        <v>0</v>
      </c>
      <c r="CZ90" s="618">
        <v>0</v>
      </c>
      <c r="DA90" s="618">
        <v>0</v>
      </c>
      <c r="DB90" s="618">
        <v>0</v>
      </c>
      <c r="DC90" s="618">
        <v>0</v>
      </c>
      <c r="DD90" s="618">
        <v>0</v>
      </c>
      <c r="DE90" s="618">
        <v>0</v>
      </c>
      <c r="DF90" s="618">
        <v>0</v>
      </c>
      <c r="DG90" s="618">
        <v>0</v>
      </c>
      <c r="DH90" s="618">
        <v>0</v>
      </c>
      <c r="DI90" s="618">
        <v>0</v>
      </c>
      <c r="DJ90" s="618">
        <v>0</v>
      </c>
      <c r="DK90" s="1034">
        <f t="shared" si="90"/>
        <v>87.65</v>
      </c>
      <c r="DL90" s="543">
        <f t="shared" si="91"/>
        <v>0.25</v>
      </c>
      <c r="DM90" s="542">
        <f t="shared" si="92"/>
        <v>87.65</v>
      </c>
      <c r="DN90" s="594">
        <f t="shared" si="93"/>
        <v>87.65</v>
      </c>
      <c r="DO90" s="540">
        <f t="shared" si="94"/>
        <v>0.21912500000000001</v>
      </c>
      <c r="DP90" s="597">
        <f t="shared" si="100"/>
        <v>0.21912500000000001</v>
      </c>
      <c r="DQ90" s="538">
        <f t="shared" si="95"/>
        <v>0.21912500000000001</v>
      </c>
      <c r="DR90" s="617">
        <f t="shared" si="96"/>
        <v>1</v>
      </c>
      <c r="DS90" s="616">
        <f t="shared" si="97"/>
        <v>0</v>
      </c>
      <c r="DT90" s="259">
        <v>115</v>
      </c>
      <c r="DU90" s="260" t="s">
        <v>285</v>
      </c>
      <c r="DV90" s="259"/>
      <c r="DW90" s="260" t="s">
        <v>242</v>
      </c>
      <c r="DX90" s="259"/>
      <c r="DY90" s="259"/>
      <c r="DZ90" s="259"/>
      <c r="EA90" s="987"/>
      <c r="EB90" s="1041" t="s">
        <v>2436</v>
      </c>
      <c r="EC90" s="802">
        <v>751000000</v>
      </c>
      <c r="EE90" s="1047"/>
    </row>
    <row r="91" spans="4:135" s="534" customFormat="1" ht="120" hidden="1" x14ac:dyDescent="0.3">
      <c r="D91" s="783">
        <v>88</v>
      </c>
      <c r="E91" s="799">
        <v>121</v>
      </c>
      <c r="F91" s="574" t="s">
        <v>200</v>
      </c>
      <c r="G91" s="574" t="s">
        <v>8</v>
      </c>
      <c r="H91" s="788" t="s">
        <v>136</v>
      </c>
      <c r="I91" s="574" t="s">
        <v>346</v>
      </c>
      <c r="J91" s="573" t="s">
        <v>1424</v>
      </c>
      <c r="K91" s="573" t="s">
        <v>508</v>
      </c>
      <c r="L91" s="702" t="s">
        <v>2261</v>
      </c>
      <c r="M91" s="570" t="s">
        <v>2017</v>
      </c>
      <c r="N91" s="570">
        <v>0</v>
      </c>
      <c r="O91" s="570">
        <f t="shared" si="99"/>
        <v>3000</v>
      </c>
      <c r="P91" s="569">
        <v>3000</v>
      </c>
      <c r="Q91" s="631">
        <v>0.33</v>
      </c>
      <c r="R91" s="580">
        <f t="shared" si="61"/>
        <v>6.4900000000000001E-3</v>
      </c>
      <c r="S91" s="708">
        <v>59</v>
      </c>
      <c r="T91" s="625">
        <f t="shared" si="62"/>
        <v>1.9666666666666666E-2</v>
      </c>
      <c r="U91" s="992">
        <v>59</v>
      </c>
      <c r="V91" s="626">
        <f t="shared" si="63"/>
        <v>59</v>
      </c>
      <c r="W91" s="594">
        <f t="shared" si="64"/>
        <v>100</v>
      </c>
      <c r="X91" s="594">
        <f t="shared" si="65"/>
        <v>100</v>
      </c>
      <c r="Y91" s="594">
        <f t="shared" si="98"/>
        <v>6.4900000000000001E-3</v>
      </c>
      <c r="Z91" s="594">
        <f t="shared" si="66"/>
        <v>100</v>
      </c>
      <c r="AA91" s="546">
        <v>0</v>
      </c>
      <c r="AB91" s="546">
        <v>0</v>
      </c>
      <c r="AC91" s="546">
        <v>0</v>
      </c>
      <c r="AD91" s="546">
        <v>0</v>
      </c>
      <c r="AE91" s="546">
        <v>0</v>
      </c>
      <c r="AF91" s="546">
        <v>0</v>
      </c>
      <c r="AG91" s="546">
        <v>0</v>
      </c>
      <c r="AH91" s="546">
        <v>0</v>
      </c>
      <c r="AI91" s="546">
        <v>0</v>
      </c>
      <c r="AJ91" s="546">
        <v>0</v>
      </c>
      <c r="AK91" s="546">
        <v>0</v>
      </c>
      <c r="AL91" s="546">
        <v>0</v>
      </c>
      <c r="AM91" s="546">
        <v>0</v>
      </c>
      <c r="AN91" s="546">
        <v>0</v>
      </c>
      <c r="AO91" s="546">
        <v>0</v>
      </c>
      <c r="AP91" s="546">
        <v>0</v>
      </c>
      <c r="AQ91" s="546">
        <v>0</v>
      </c>
      <c r="AR91" s="546">
        <v>0</v>
      </c>
      <c r="AS91" s="546">
        <v>0</v>
      </c>
      <c r="AT91" s="630">
        <f t="shared" si="67"/>
        <v>6.7540000000000003E-2</v>
      </c>
      <c r="AU91" s="570">
        <v>614</v>
      </c>
      <c r="AV91" s="570">
        <f t="shared" si="68"/>
        <v>0.20466666666666666</v>
      </c>
      <c r="AW91" s="1003">
        <v>555</v>
      </c>
      <c r="AX91" s="724">
        <f t="shared" si="69"/>
        <v>555</v>
      </c>
      <c r="AY91" s="724">
        <f t="shared" si="70"/>
        <v>90.390879478827358</v>
      </c>
      <c r="AZ91" s="724">
        <f t="shared" si="71"/>
        <v>90.390879478827358</v>
      </c>
      <c r="BA91" s="594">
        <f t="shared" si="72"/>
        <v>6.1050000000000007E-2</v>
      </c>
      <c r="BB91" s="594">
        <f t="shared" si="73"/>
        <v>90.390879478827358</v>
      </c>
      <c r="BC91" s="546">
        <v>5685000000</v>
      </c>
      <c r="BD91" s="546">
        <v>0</v>
      </c>
      <c r="BE91" s="546">
        <v>585000000</v>
      </c>
      <c r="BF91" s="546">
        <v>0</v>
      </c>
      <c r="BG91" s="546">
        <v>0</v>
      </c>
      <c r="BH91" s="546">
        <v>0</v>
      </c>
      <c r="BI91" s="546">
        <v>0</v>
      </c>
      <c r="BJ91" s="546">
        <v>5100000000</v>
      </c>
      <c r="BK91" s="723">
        <v>437838128</v>
      </c>
      <c r="BL91" s="722">
        <v>437838128</v>
      </c>
      <c r="BM91" s="722">
        <v>0</v>
      </c>
      <c r="BN91" s="722">
        <v>0</v>
      </c>
      <c r="BO91" s="722">
        <v>0</v>
      </c>
      <c r="BP91" s="722">
        <v>0</v>
      </c>
      <c r="BQ91" s="722">
        <v>0</v>
      </c>
      <c r="BR91" s="722">
        <v>0</v>
      </c>
      <c r="BS91" s="722">
        <v>0</v>
      </c>
      <c r="BT91" s="722">
        <v>4537412340</v>
      </c>
      <c r="BU91" s="722" t="s">
        <v>2260</v>
      </c>
      <c r="BV91" s="580">
        <f t="shared" si="74"/>
        <v>0.15103</v>
      </c>
      <c r="BW91" s="588">
        <v>1373</v>
      </c>
      <c r="BX91" s="623">
        <f t="shared" si="75"/>
        <v>0.45766666666666667</v>
      </c>
      <c r="BY91" s="607">
        <v>893</v>
      </c>
      <c r="BZ91" s="629">
        <v>1373</v>
      </c>
      <c r="CA91" s="1017">
        <v>1373</v>
      </c>
      <c r="CB91" s="721">
        <f t="shared" si="76"/>
        <v>1373</v>
      </c>
      <c r="CC91" s="721">
        <f t="shared" si="77"/>
        <v>100</v>
      </c>
      <c r="CD91" s="720">
        <f t="shared" si="78"/>
        <v>100</v>
      </c>
      <c r="CE91" s="618">
        <f t="shared" si="79"/>
        <v>0.15103</v>
      </c>
      <c r="CF91" s="719">
        <f t="shared" si="80"/>
        <v>100</v>
      </c>
      <c r="CG91" s="618">
        <f t="shared" si="81"/>
        <v>0.15103</v>
      </c>
      <c r="CH91" s="718">
        <f t="shared" si="82"/>
        <v>0.10494000000000001</v>
      </c>
      <c r="CI91" s="552">
        <v>954</v>
      </c>
      <c r="CJ91" s="551">
        <f t="shared" si="83"/>
        <v>0.318</v>
      </c>
      <c r="CK91" s="874">
        <v>0</v>
      </c>
      <c r="CL91" s="533">
        <f t="shared" si="84"/>
        <v>954</v>
      </c>
      <c r="CM91" s="619">
        <f t="shared" si="85"/>
        <v>0</v>
      </c>
      <c r="CN91" s="619">
        <f t="shared" si="86"/>
        <v>0</v>
      </c>
      <c r="CO91" s="549">
        <f t="shared" si="87"/>
        <v>0</v>
      </c>
      <c r="CP91" s="619">
        <f t="shared" si="88"/>
        <v>0</v>
      </c>
      <c r="CQ91" s="619">
        <f t="shared" si="89"/>
        <v>0</v>
      </c>
      <c r="CR91" s="546">
        <v>4750000000</v>
      </c>
      <c r="CS91" s="546">
        <v>1350000000</v>
      </c>
      <c r="CT91" s="546">
        <v>0</v>
      </c>
      <c r="CU91" s="546">
        <v>0</v>
      </c>
      <c r="CV91" s="546">
        <v>0</v>
      </c>
      <c r="CW91" s="546">
        <v>0</v>
      </c>
      <c r="CX91" s="546">
        <v>0</v>
      </c>
      <c r="CY91" s="546">
        <v>3400000000</v>
      </c>
      <c r="CZ91" s="618">
        <v>0</v>
      </c>
      <c r="DA91" s="618">
        <v>0</v>
      </c>
      <c r="DB91" s="618">
        <v>0</v>
      </c>
      <c r="DC91" s="618">
        <v>0</v>
      </c>
      <c r="DD91" s="618">
        <v>0</v>
      </c>
      <c r="DE91" s="618">
        <v>0</v>
      </c>
      <c r="DF91" s="618">
        <v>0</v>
      </c>
      <c r="DG91" s="618">
        <v>0</v>
      </c>
      <c r="DH91" s="618">
        <v>0</v>
      </c>
      <c r="DI91" s="618">
        <v>0</v>
      </c>
      <c r="DJ91" s="618">
        <v>0</v>
      </c>
      <c r="DK91" s="1034">
        <f t="shared" si="90"/>
        <v>1987</v>
      </c>
      <c r="DL91" s="543">
        <f t="shared" si="91"/>
        <v>0.32999999999999996</v>
      </c>
      <c r="DM91" s="542">
        <f t="shared" si="92"/>
        <v>66.233333333333334</v>
      </c>
      <c r="DN91" s="594">
        <f t="shared" si="93"/>
        <v>66.233333333333334</v>
      </c>
      <c r="DO91" s="540">
        <f t="shared" si="94"/>
        <v>0.21857000000000004</v>
      </c>
      <c r="DP91" s="597">
        <f t="shared" si="100"/>
        <v>0.21857000000000004</v>
      </c>
      <c r="DQ91" s="538">
        <f t="shared" si="95"/>
        <v>0.21857000000000004</v>
      </c>
      <c r="DR91" s="617">
        <f t="shared" si="96"/>
        <v>1</v>
      </c>
      <c r="DS91" s="616">
        <f t="shared" si="97"/>
        <v>0</v>
      </c>
      <c r="DT91" s="259">
        <v>37</v>
      </c>
      <c r="DU91" s="260" t="s">
        <v>293</v>
      </c>
      <c r="DV91" s="259">
        <v>78</v>
      </c>
      <c r="DW91" s="260" t="s">
        <v>287</v>
      </c>
      <c r="DX91" s="259"/>
      <c r="DY91" s="259"/>
      <c r="DZ91" s="259"/>
      <c r="EA91" s="987"/>
      <c r="EB91" s="1041" t="s">
        <v>2437</v>
      </c>
      <c r="EC91" s="802">
        <v>6450000000</v>
      </c>
      <c r="EE91" s="1047"/>
    </row>
    <row r="92" spans="4:135" s="534" customFormat="1" ht="76.5" hidden="1" x14ac:dyDescent="0.3">
      <c r="D92" s="783">
        <v>89</v>
      </c>
      <c r="E92" s="799">
        <v>122</v>
      </c>
      <c r="F92" s="787" t="s">
        <v>200</v>
      </c>
      <c r="G92" s="787" t="s">
        <v>8</v>
      </c>
      <c r="H92" s="788" t="s">
        <v>136</v>
      </c>
      <c r="I92" s="712" t="s">
        <v>346</v>
      </c>
      <c r="J92" s="573" t="s">
        <v>509</v>
      </c>
      <c r="K92" s="573" t="s">
        <v>510</v>
      </c>
      <c r="L92" s="702" t="s">
        <v>2011</v>
      </c>
      <c r="M92" s="570" t="s">
        <v>2017</v>
      </c>
      <c r="N92" s="570">
        <v>0</v>
      </c>
      <c r="O92" s="570">
        <f t="shared" si="99"/>
        <v>4</v>
      </c>
      <c r="P92" s="569">
        <v>4</v>
      </c>
      <c r="Q92" s="628">
        <v>0.25</v>
      </c>
      <c r="R92" s="580">
        <f t="shared" si="61"/>
        <v>0</v>
      </c>
      <c r="S92" s="708">
        <v>0</v>
      </c>
      <c r="T92" s="625">
        <f t="shared" si="62"/>
        <v>0</v>
      </c>
      <c r="U92" s="992">
        <v>0</v>
      </c>
      <c r="V92" s="626">
        <f t="shared" si="63"/>
        <v>0</v>
      </c>
      <c r="W92" s="594">
        <f t="shared" si="64"/>
        <v>0</v>
      </c>
      <c r="X92" s="594">
        <f t="shared" si="65"/>
        <v>0</v>
      </c>
      <c r="Y92" s="594">
        <f t="shared" si="98"/>
        <v>0</v>
      </c>
      <c r="Z92" s="594">
        <f t="shared" si="66"/>
        <v>0</v>
      </c>
      <c r="AA92" s="546">
        <v>0</v>
      </c>
      <c r="AB92" s="546">
        <v>0</v>
      </c>
      <c r="AC92" s="546">
        <v>0</v>
      </c>
      <c r="AD92" s="546">
        <v>0</v>
      </c>
      <c r="AE92" s="546">
        <v>0</v>
      </c>
      <c r="AF92" s="546">
        <v>0</v>
      </c>
      <c r="AG92" s="546">
        <v>0</v>
      </c>
      <c r="AH92" s="546">
        <v>0</v>
      </c>
      <c r="AI92" s="546">
        <v>0</v>
      </c>
      <c r="AJ92" s="546">
        <v>0</v>
      </c>
      <c r="AK92" s="546">
        <v>0</v>
      </c>
      <c r="AL92" s="546">
        <v>0</v>
      </c>
      <c r="AM92" s="546">
        <v>0</v>
      </c>
      <c r="AN92" s="546">
        <v>0</v>
      </c>
      <c r="AO92" s="546">
        <v>0</v>
      </c>
      <c r="AP92" s="546">
        <v>0</v>
      </c>
      <c r="AQ92" s="546">
        <v>0</v>
      </c>
      <c r="AR92" s="546">
        <v>0</v>
      </c>
      <c r="AS92" s="546">
        <v>0</v>
      </c>
      <c r="AT92" s="570">
        <f t="shared" si="67"/>
        <v>6.25E-2</v>
      </c>
      <c r="AU92" s="570">
        <v>1</v>
      </c>
      <c r="AV92" s="570">
        <f t="shared" si="68"/>
        <v>0.25</v>
      </c>
      <c r="AW92" s="1003">
        <v>2</v>
      </c>
      <c r="AX92" s="724">
        <f t="shared" si="69"/>
        <v>2</v>
      </c>
      <c r="AY92" s="724">
        <f t="shared" si="70"/>
        <v>200</v>
      </c>
      <c r="AZ92" s="724">
        <f t="shared" si="71"/>
        <v>100</v>
      </c>
      <c r="BA92" s="594">
        <f t="shared" si="72"/>
        <v>6.25E-2</v>
      </c>
      <c r="BB92" s="594">
        <f t="shared" si="73"/>
        <v>100</v>
      </c>
      <c r="BC92" s="546">
        <v>78000000</v>
      </c>
      <c r="BD92" s="546">
        <v>0</v>
      </c>
      <c r="BE92" s="546">
        <v>78000000</v>
      </c>
      <c r="BF92" s="546">
        <v>0</v>
      </c>
      <c r="BG92" s="546">
        <v>0</v>
      </c>
      <c r="BH92" s="546">
        <v>0</v>
      </c>
      <c r="BI92" s="546">
        <v>0</v>
      </c>
      <c r="BJ92" s="546">
        <v>0</v>
      </c>
      <c r="BK92" s="723">
        <v>55010385</v>
      </c>
      <c r="BL92" s="722">
        <v>55010385</v>
      </c>
      <c r="BM92" s="722">
        <v>0</v>
      </c>
      <c r="BN92" s="722">
        <v>0</v>
      </c>
      <c r="BO92" s="722">
        <v>0</v>
      </c>
      <c r="BP92" s="722">
        <v>0</v>
      </c>
      <c r="BQ92" s="722">
        <v>0</v>
      </c>
      <c r="BR92" s="722">
        <v>0</v>
      </c>
      <c r="BS92" s="722">
        <v>0</v>
      </c>
      <c r="BT92" s="722">
        <v>0</v>
      </c>
      <c r="BU92" s="722">
        <v>0</v>
      </c>
      <c r="BV92" s="580">
        <f t="shared" si="74"/>
        <v>0.125</v>
      </c>
      <c r="BW92" s="588">
        <v>2</v>
      </c>
      <c r="BX92" s="623">
        <f t="shared" si="75"/>
        <v>0.5</v>
      </c>
      <c r="BY92" s="607">
        <v>4</v>
      </c>
      <c r="BZ92" s="629">
        <v>2</v>
      </c>
      <c r="CA92" s="1017">
        <v>4</v>
      </c>
      <c r="CB92" s="721">
        <f t="shared" si="76"/>
        <v>4</v>
      </c>
      <c r="CC92" s="721">
        <f t="shared" si="77"/>
        <v>200</v>
      </c>
      <c r="CD92" s="720">
        <f t="shared" si="78"/>
        <v>100</v>
      </c>
      <c r="CE92" s="618">
        <f t="shared" si="79"/>
        <v>0.125</v>
      </c>
      <c r="CF92" s="719">
        <f t="shared" si="80"/>
        <v>100</v>
      </c>
      <c r="CG92" s="618">
        <f t="shared" si="81"/>
        <v>0.25</v>
      </c>
      <c r="CH92" s="718">
        <f t="shared" si="82"/>
        <v>6.25E-2</v>
      </c>
      <c r="CI92" s="552">
        <v>1</v>
      </c>
      <c r="CJ92" s="551">
        <f t="shared" si="83"/>
        <v>0.25</v>
      </c>
      <c r="CK92" s="874">
        <v>0</v>
      </c>
      <c r="CL92" s="533">
        <f t="shared" si="84"/>
        <v>1</v>
      </c>
      <c r="CM92" s="619">
        <f t="shared" si="85"/>
        <v>0</v>
      </c>
      <c r="CN92" s="619">
        <f t="shared" si="86"/>
        <v>0</v>
      </c>
      <c r="CO92" s="549">
        <f t="shared" si="87"/>
        <v>0</v>
      </c>
      <c r="CP92" s="619">
        <f t="shared" si="88"/>
        <v>0</v>
      </c>
      <c r="CQ92" s="619">
        <f t="shared" si="89"/>
        <v>0</v>
      </c>
      <c r="CR92" s="546">
        <v>180000000</v>
      </c>
      <c r="CS92" s="546">
        <v>180000000</v>
      </c>
      <c r="CT92" s="546">
        <v>0</v>
      </c>
      <c r="CU92" s="546">
        <v>0</v>
      </c>
      <c r="CV92" s="546">
        <v>0</v>
      </c>
      <c r="CW92" s="546">
        <v>0</v>
      </c>
      <c r="CX92" s="546">
        <v>0</v>
      </c>
      <c r="CY92" s="546">
        <v>0</v>
      </c>
      <c r="CZ92" s="618">
        <v>0</v>
      </c>
      <c r="DA92" s="618">
        <v>0</v>
      </c>
      <c r="DB92" s="618">
        <v>0</v>
      </c>
      <c r="DC92" s="618">
        <v>0</v>
      </c>
      <c r="DD92" s="618">
        <v>0</v>
      </c>
      <c r="DE92" s="618">
        <v>0</v>
      </c>
      <c r="DF92" s="618">
        <v>0</v>
      </c>
      <c r="DG92" s="618">
        <v>0</v>
      </c>
      <c r="DH92" s="618">
        <v>0</v>
      </c>
      <c r="DI92" s="618">
        <v>0</v>
      </c>
      <c r="DJ92" s="618">
        <v>0</v>
      </c>
      <c r="DK92" s="1034">
        <f t="shared" si="90"/>
        <v>6</v>
      </c>
      <c r="DL92" s="543">
        <f t="shared" si="91"/>
        <v>0.25</v>
      </c>
      <c r="DM92" s="542">
        <f t="shared" si="92"/>
        <v>150</v>
      </c>
      <c r="DN92" s="594">
        <f t="shared" si="93"/>
        <v>100</v>
      </c>
      <c r="DO92" s="540">
        <f t="shared" si="94"/>
        <v>0.25</v>
      </c>
      <c r="DP92" s="597">
        <f t="shared" si="100"/>
        <v>0.25</v>
      </c>
      <c r="DQ92" s="538">
        <f t="shared" si="95"/>
        <v>0.25</v>
      </c>
      <c r="DR92" s="617">
        <f t="shared" si="96"/>
        <v>1</v>
      </c>
      <c r="DS92" s="616">
        <f t="shared" si="97"/>
        <v>0</v>
      </c>
      <c r="DT92" s="259">
        <v>118</v>
      </c>
      <c r="DU92" s="260" t="s">
        <v>478</v>
      </c>
      <c r="DV92" s="259"/>
      <c r="DW92" s="260" t="s">
        <v>242</v>
      </c>
      <c r="DX92" s="259"/>
      <c r="DY92" s="259"/>
      <c r="DZ92" s="259"/>
      <c r="EA92" s="987"/>
      <c r="EB92" s="1041" t="s">
        <v>2438</v>
      </c>
      <c r="EC92" s="802">
        <v>180000000</v>
      </c>
      <c r="EE92" s="1047"/>
    </row>
    <row r="93" spans="4:135" s="534" customFormat="1" ht="165.75" hidden="1" x14ac:dyDescent="0.3">
      <c r="D93" s="783">
        <v>90</v>
      </c>
      <c r="E93" s="799">
        <v>123</v>
      </c>
      <c r="F93" s="787" t="s">
        <v>200</v>
      </c>
      <c r="G93" s="787" t="s">
        <v>8</v>
      </c>
      <c r="H93" s="788" t="s">
        <v>136</v>
      </c>
      <c r="I93" s="712" t="s">
        <v>346</v>
      </c>
      <c r="J93" s="573" t="s">
        <v>511</v>
      </c>
      <c r="K93" s="573" t="s">
        <v>512</v>
      </c>
      <c r="L93" s="702" t="s">
        <v>2011</v>
      </c>
      <c r="M93" s="655" t="s">
        <v>2017</v>
      </c>
      <c r="N93" s="570">
        <v>15</v>
      </c>
      <c r="O93" s="570">
        <f t="shared" si="99"/>
        <v>19</v>
      </c>
      <c r="P93" s="569">
        <v>4</v>
      </c>
      <c r="Q93" s="628">
        <v>0.25</v>
      </c>
      <c r="R93" s="580">
        <f t="shared" si="61"/>
        <v>0</v>
      </c>
      <c r="S93" s="708">
        <v>0</v>
      </c>
      <c r="T93" s="625">
        <f t="shared" si="62"/>
        <v>0</v>
      </c>
      <c r="U93" s="992">
        <v>0</v>
      </c>
      <c r="V93" s="626">
        <f t="shared" si="63"/>
        <v>0</v>
      </c>
      <c r="W93" s="594">
        <f t="shared" si="64"/>
        <v>0</v>
      </c>
      <c r="X93" s="594">
        <f t="shared" si="65"/>
        <v>0</v>
      </c>
      <c r="Y93" s="594">
        <f t="shared" si="98"/>
        <v>0</v>
      </c>
      <c r="Z93" s="594">
        <f t="shared" si="66"/>
        <v>0</v>
      </c>
      <c r="AA93" s="546">
        <v>0</v>
      </c>
      <c r="AB93" s="546">
        <v>0</v>
      </c>
      <c r="AC93" s="546">
        <v>0</v>
      </c>
      <c r="AD93" s="546">
        <v>0</v>
      </c>
      <c r="AE93" s="546">
        <v>0</v>
      </c>
      <c r="AF93" s="546">
        <v>0</v>
      </c>
      <c r="AG93" s="546">
        <v>0</v>
      </c>
      <c r="AH93" s="546">
        <v>0</v>
      </c>
      <c r="AI93" s="546">
        <v>0</v>
      </c>
      <c r="AJ93" s="546">
        <v>0</v>
      </c>
      <c r="AK93" s="546">
        <v>0</v>
      </c>
      <c r="AL93" s="546">
        <v>0</v>
      </c>
      <c r="AM93" s="546">
        <v>0</v>
      </c>
      <c r="AN93" s="546">
        <v>0</v>
      </c>
      <c r="AO93" s="546">
        <v>0</v>
      </c>
      <c r="AP93" s="546">
        <v>0</v>
      </c>
      <c r="AQ93" s="546">
        <v>0</v>
      </c>
      <c r="AR93" s="546">
        <v>0</v>
      </c>
      <c r="AS93" s="546">
        <v>0</v>
      </c>
      <c r="AT93" s="570">
        <f t="shared" si="67"/>
        <v>0.125</v>
      </c>
      <c r="AU93" s="570">
        <v>2</v>
      </c>
      <c r="AV93" s="625">
        <f t="shared" si="68"/>
        <v>0.5</v>
      </c>
      <c r="AW93" s="1003">
        <v>4</v>
      </c>
      <c r="AX93" s="724">
        <f t="shared" si="69"/>
        <v>4</v>
      </c>
      <c r="AY93" s="724">
        <f t="shared" si="70"/>
        <v>200</v>
      </c>
      <c r="AZ93" s="724">
        <f t="shared" si="71"/>
        <v>100</v>
      </c>
      <c r="BA93" s="594">
        <f t="shared" si="72"/>
        <v>0.125</v>
      </c>
      <c r="BB93" s="594">
        <f t="shared" si="73"/>
        <v>100</v>
      </c>
      <c r="BC93" s="546">
        <v>286000000</v>
      </c>
      <c r="BD93" s="546">
        <v>0</v>
      </c>
      <c r="BE93" s="546">
        <v>286000000</v>
      </c>
      <c r="BF93" s="546">
        <v>0</v>
      </c>
      <c r="BG93" s="546">
        <v>0</v>
      </c>
      <c r="BH93" s="546">
        <v>0</v>
      </c>
      <c r="BI93" s="546">
        <v>0</v>
      </c>
      <c r="BJ93" s="546">
        <v>0</v>
      </c>
      <c r="BK93" s="723">
        <v>423650572</v>
      </c>
      <c r="BL93" s="722">
        <v>423650572</v>
      </c>
      <c r="BM93" s="722">
        <v>0</v>
      </c>
      <c r="BN93" s="722">
        <v>0</v>
      </c>
      <c r="BO93" s="722">
        <v>0</v>
      </c>
      <c r="BP93" s="722">
        <v>0</v>
      </c>
      <c r="BQ93" s="722">
        <v>0</v>
      </c>
      <c r="BR93" s="722">
        <v>0</v>
      </c>
      <c r="BS93" s="722">
        <v>0</v>
      </c>
      <c r="BT93" s="722">
        <v>1583033262</v>
      </c>
      <c r="BU93" s="722" t="s">
        <v>2259</v>
      </c>
      <c r="BV93" s="580">
        <f t="shared" si="74"/>
        <v>6.25E-2</v>
      </c>
      <c r="BW93" s="588">
        <v>1</v>
      </c>
      <c r="BX93" s="623">
        <f t="shared" si="75"/>
        <v>0.25</v>
      </c>
      <c r="BY93" s="607">
        <v>4</v>
      </c>
      <c r="BZ93" s="629">
        <v>4</v>
      </c>
      <c r="CA93" s="1017">
        <v>0</v>
      </c>
      <c r="CB93" s="721">
        <f t="shared" si="76"/>
        <v>0</v>
      </c>
      <c r="CC93" s="721">
        <f t="shared" si="77"/>
        <v>0</v>
      </c>
      <c r="CD93" s="720">
        <f t="shared" si="78"/>
        <v>0</v>
      </c>
      <c r="CE93" s="618">
        <f t="shared" si="79"/>
        <v>0</v>
      </c>
      <c r="CF93" s="719">
        <f t="shared" si="80"/>
        <v>100</v>
      </c>
      <c r="CG93" s="618">
        <f t="shared" si="81"/>
        <v>0</v>
      </c>
      <c r="CH93" s="718">
        <f t="shared" si="82"/>
        <v>6.25E-2</v>
      </c>
      <c r="CI93" s="552">
        <v>1</v>
      </c>
      <c r="CJ93" s="551">
        <f t="shared" si="83"/>
        <v>0.25</v>
      </c>
      <c r="CK93" s="874">
        <v>0</v>
      </c>
      <c r="CL93" s="533">
        <f t="shared" si="84"/>
        <v>1</v>
      </c>
      <c r="CM93" s="619">
        <f t="shared" si="85"/>
        <v>0</v>
      </c>
      <c r="CN93" s="619">
        <f t="shared" si="86"/>
        <v>0</v>
      </c>
      <c r="CO93" s="549">
        <f t="shared" si="87"/>
        <v>0</v>
      </c>
      <c r="CP93" s="619">
        <f t="shared" si="88"/>
        <v>0</v>
      </c>
      <c r="CQ93" s="619">
        <f t="shared" si="89"/>
        <v>0</v>
      </c>
      <c r="CR93" s="546">
        <v>660000000</v>
      </c>
      <c r="CS93" s="546">
        <v>660000000</v>
      </c>
      <c r="CT93" s="546">
        <v>0</v>
      </c>
      <c r="CU93" s="546">
        <v>0</v>
      </c>
      <c r="CV93" s="546">
        <v>0</v>
      </c>
      <c r="CW93" s="546">
        <v>0</v>
      </c>
      <c r="CX93" s="546">
        <v>0</v>
      </c>
      <c r="CY93" s="546">
        <v>0</v>
      </c>
      <c r="CZ93" s="618">
        <v>0</v>
      </c>
      <c r="DA93" s="618">
        <v>0</v>
      </c>
      <c r="DB93" s="618">
        <v>0</v>
      </c>
      <c r="DC93" s="618">
        <v>0</v>
      </c>
      <c r="DD93" s="618">
        <v>0</v>
      </c>
      <c r="DE93" s="618">
        <v>0</v>
      </c>
      <c r="DF93" s="618">
        <v>0</v>
      </c>
      <c r="DG93" s="618">
        <v>0</v>
      </c>
      <c r="DH93" s="618">
        <v>0</v>
      </c>
      <c r="DI93" s="618">
        <v>0</v>
      </c>
      <c r="DJ93" s="618">
        <v>0</v>
      </c>
      <c r="DK93" s="1034">
        <f t="shared" si="90"/>
        <v>4</v>
      </c>
      <c r="DL93" s="543">
        <f t="shared" si="91"/>
        <v>0.25</v>
      </c>
      <c r="DM93" s="542">
        <f t="shared" si="92"/>
        <v>100</v>
      </c>
      <c r="DN93" s="594">
        <f t="shared" si="93"/>
        <v>100</v>
      </c>
      <c r="DO93" s="540">
        <f t="shared" si="94"/>
        <v>0.25</v>
      </c>
      <c r="DP93" s="597">
        <f t="shared" si="100"/>
        <v>0.25</v>
      </c>
      <c r="DQ93" s="538">
        <f t="shared" si="95"/>
        <v>0.25</v>
      </c>
      <c r="DR93" s="617">
        <f t="shared" si="96"/>
        <v>1</v>
      </c>
      <c r="DS93" s="616">
        <f t="shared" si="97"/>
        <v>0</v>
      </c>
      <c r="DT93" s="259">
        <v>118</v>
      </c>
      <c r="DU93" s="260" t="s">
        <v>478</v>
      </c>
      <c r="DV93" s="259"/>
      <c r="DW93" s="260" t="s">
        <v>242</v>
      </c>
      <c r="DX93" s="259"/>
      <c r="DY93" s="259"/>
      <c r="DZ93" s="259"/>
      <c r="EA93" s="987"/>
      <c r="EB93" s="1041" t="s">
        <v>2439</v>
      </c>
      <c r="EC93" s="802">
        <v>660000000</v>
      </c>
      <c r="EE93" s="1047"/>
    </row>
    <row r="94" spans="4:135" s="534" customFormat="1" ht="120" hidden="1" x14ac:dyDescent="0.3">
      <c r="D94" s="783">
        <v>91</v>
      </c>
      <c r="E94" s="799">
        <v>124</v>
      </c>
      <c r="F94" s="787" t="s">
        <v>200</v>
      </c>
      <c r="G94" s="787" t="s">
        <v>8</v>
      </c>
      <c r="H94" s="788" t="s">
        <v>136</v>
      </c>
      <c r="I94" s="712" t="s">
        <v>346</v>
      </c>
      <c r="J94" s="573" t="s">
        <v>513</v>
      </c>
      <c r="K94" s="573" t="s">
        <v>514</v>
      </c>
      <c r="L94" s="702" t="s">
        <v>2244</v>
      </c>
      <c r="M94" s="570" t="s">
        <v>2017</v>
      </c>
      <c r="N94" s="570">
        <v>1264</v>
      </c>
      <c r="O94" s="570">
        <f t="shared" si="99"/>
        <v>4987</v>
      </c>
      <c r="P94" s="569">
        <v>3723</v>
      </c>
      <c r="Q94" s="628">
        <v>0.16500000000000001</v>
      </c>
      <c r="R94" s="580">
        <f t="shared" si="61"/>
        <v>1.4758259468170829E-2</v>
      </c>
      <c r="S94" s="708">
        <v>333</v>
      </c>
      <c r="T94" s="625">
        <f t="shared" si="62"/>
        <v>8.9443996776792906E-2</v>
      </c>
      <c r="U94" s="992">
        <v>333</v>
      </c>
      <c r="V94" s="626">
        <f t="shared" si="63"/>
        <v>333</v>
      </c>
      <c r="W94" s="594">
        <f t="shared" si="64"/>
        <v>100</v>
      </c>
      <c r="X94" s="594">
        <f t="shared" si="65"/>
        <v>100</v>
      </c>
      <c r="Y94" s="594">
        <f t="shared" si="98"/>
        <v>1.4758259468170829E-2</v>
      </c>
      <c r="Z94" s="594">
        <f t="shared" si="66"/>
        <v>100</v>
      </c>
      <c r="AA94" s="546">
        <v>200000000</v>
      </c>
      <c r="AB94" s="546">
        <v>200000000</v>
      </c>
      <c r="AC94" s="546">
        <v>0</v>
      </c>
      <c r="AD94" s="546">
        <v>0</v>
      </c>
      <c r="AE94" s="546">
        <v>0</v>
      </c>
      <c r="AF94" s="546">
        <v>0</v>
      </c>
      <c r="AG94" s="546">
        <v>0</v>
      </c>
      <c r="AH94" s="546">
        <v>0</v>
      </c>
      <c r="AI94" s="546">
        <v>135000000</v>
      </c>
      <c r="AJ94" s="546">
        <v>135000000</v>
      </c>
      <c r="AK94" s="546">
        <v>0</v>
      </c>
      <c r="AL94" s="546">
        <v>0</v>
      </c>
      <c r="AM94" s="546">
        <v>0</v>
      </c>
      <c r="AN94" s="546">
        <v>0</v>
      </c>
      <c r="AO94" s="546">
        <v>0</v>
      </c>
      <c r="AP94" s="546">
        <v>0</v>
      </c>
      <c r="AQ94" s="546">
        <v>0</v>
      </c>
      <c r="AR94" s="546">
        <v>0</v>
      </c>
      <c r="AS94" s="546">
        <v>0</v>
      </c>
      <c r="AT94" s="570">
        <f t="shared" si="67"/>
        <v>7.0999194198227242E-2</v>
      </c>
      <c r="AU94" s="570">
        <v>1602</v>
      </c>
      <c r="AV94" s="625">
        <f t="shared" si="68"/>
        <v>0.43029814665592264</v>
      </c>
      <c r="AW94" s="1003">
        <v>1602</v>
      </c>
      <c r="AX94" s="724">
        <f t="shared" si="69"/>
        <v>1602</v>
      </c>
      <c r="AY94" s="724">
        <f t="shared" si="70"/>
        <v>100</v>
      </c>
      <c r="AZ94" s="724">
        <f t="shared" si="71"/>
        <v>100</v>
      </c>
      <c r="BA94" s="594">
        <f t="shared" si="72"/>
        <v>7.0999194198227242E-2</v>
      </c>
      <c r="BB94" s="594">
        <f t="shared" si="73"/>
        <v>100</v>
      </c>
      <c r="BC94" s="546">
        <v>57000000</v>
      </c>
      <c r="BD94" s="546">
        <v>0</v>
      </c>
      <c r="BE94" s="546">
        <v>57000000</v>
      </c>
      <c r="BF94" s="546">
        <v>0</v>
      </c>
      <c r="BG94" s="546">
        <v>0</v>
      </c>
      <c r="BH94" s="546">
        <v>0</v>
      </c>
      <c r="BI94" s="546">
        <v>0</v>
      </c>
      <c r="BJ94" s="546">
        <v>0</v>
      </c>
      <c r="BK94" s="723">
        <v>57193000</v>
      </c>
      <c r="BL94" s="722">
        <v>57193000</v>
      </c>
      <c r="BM94" s="722">
        <v>0</v>
      </c>
      <c r="BN94" s="722">
        <v>0</v>
      </c>
      <c r="BO94" s="722">
        <v>0</v>
      </c>
      <c r="BP94" s="722">
        <v>0</v>
      </c>
      <c r="BQ94" s="722">
        <v>0</v>
      </c>
      <c r="BR94" s="722">
        <v>0</v>
      </c>
      <c r="BS94" s="722">
        <v>0</v>
      </c>
      <c r="BT94" s="722">
        <v>0</v>
      </c>
      <c r="BU94" s="722">
        <v>0</v>
      </c>
      <c r="BV94" s="580">
        <f t="shared" si="74"/>
        <v>3.2884770346494764E-2</v>
      </c>
      <c r="BW94" s="588">
        <v>742</v>
      </c>
      <c r="BX94" s="623">
        <f t="shared" si="75"/>
        <v>0.19930163846360463</v>
      </c>
      <c r="BY94" s="607">
        <v>0</v>
      </c>
      <c r="BZ94" s="629">
        <v>0</v>
      </c>
      <c r="CA94" s="1017">
        <v>467</v>
      </c>
      <c r="CB94" s="721">
        <f t="shared" si="76"/>
        <v>467</v>
      </c>
      <c r="CC94" s="721">
        <f t="shared" si="77"/>
        <v>62.938005390835578</v>
      </c>
      <c r="CD94" s="720">
        <f t="shared" si="78"/>
        <v>62.938005390835578</v>
      </c>
      <c r="CE94" s="618">
        <f t="shared" si="79"/>
        <v>2.0697018533440775E-2</v>
      </c>
      <c r="CF94" s="719">
        <f t="shared" si="80"/>
        <v>62.938005390835578</v>
      </c>
      <c r="CG94" s="618">
        <f t="shared" si="81"/>
        <v>2.0697018533440775E-2</v>
      </c>
      <c r="CH94" s="718">
        <f t="shared" si="82"/>
        <v>4.6357775987107171E-2</v>
      </c>
      <c r="CI94" s="552">
        <v>1046</v>
      </c>
      <c r="CJ94" s="551">
        <f t="shared" si="83"/>
        <v>0.28095621810367982</v>
      </c>
      <c r="CK94" s="875">
        <v>0</v>
      </c>
      <c r="CL94" s="533">
        <f t="shared" si="84"/>
        <v>1046</v>
      </c>
      <c r="CM94" s="619">
        <f t="shared" si="85"/>
        <v>0</v>
      </c>
      <c r="CN94" s="619">
        <f t="shared" si="86"/>
        <v>0</v>
      </c>
      <c r="CO94" s="549">
        <f t="shared" si="87"/>
        <v>0</v>
      </c>
      <c r="CP94" s="619">
        <f t="shared" si="88"/>
        <v>0</v>
      </c>
      <c r="CQ94" s="619">
        <f t="shared" si="89"/>
        <v>0</v>
      </c>
      <c r="CR94" s="546">
        <v>132000000</v>
      </c>
      <c r="CS94" s="546">
        <v>132000000</v>
      </c>
      <c r="CT94" s="546">
        <v>0</v>
      </c>
      <c r="CU94" s="546">
        <v>0</v>
      </c>
      <c r="CV94" s="546">
        <v>0</v>
      </c>
      <c r="CW94" s="546">
        <v>0</v>
      </c>
      <c r="CX94" s="546">
        <v>0</v>
      </c>
      <c r="CY94" s="546">
        <v>0</v>
      </c>
      <c r="CZ94" s="618">
        <v>0</v>
      </c>
      <c r="DA94" s="618">
        <v>0</v>
      </c>
      <c r="DB94" s="618">
        <v>0</v>
      </c>
      <c r="DC94" s="618">
        <v>0</v>
      </c>
      <c r="DD94" s="618">
        <v>0</v>
      </c>
      <c r="DE94" s="618">
        <v>0</v>
      </c>
      <c r="DF94" s="618">
        <v>0</v>
      </c>
      <c r="DG94" s="618">
        <v>0</v>
      </c>
      <c r="DH94" s="618">
        <v>0</v>
      </c>
      <c r="DI94" s="618">
        <v>0</v>
      </c>
      <c r="DJ94" s="618">
        <v>0</v>
      </c>
      <c r="DK94" s="1034">
        <f t="shared" si="90"/>
        <v>2402</v>
      </c>
      <c r="DL94" s="543">
        <f t="shared" si="91"/>
        <v>0.16500000000000001</v>
      </c>
      <c r="DM94" s="542">
        <f t="shared" si="92"/>
        <v>64.517861939296267</v>
      </c>
      <c r="DN94" s="594">
        <f t="shared" si="93"/>
        <v>64.517861939296267</v>
      </c>
      <c r="DO94" s="540">
        <f t="shared" si="94"/>
        <v>0.10645447219983885</v>
      </c>
      <c r="DP94" s="597">
        <f t="shared" si="100"/>
        <v>0.10645447219983885</v>
      </c>
      <c r="DQ94" s="538">
        <f t="shared" si="95"/>
        <v>0.10645447219983885</v>
      </c>
      <c r="DR94" s="617">
        <f t="shared" si="96"/>
        <v>1</v>
      </c>
      <c r="DS94" s="616">
        <f t="shared" si="97"/>
        <v>0</v>
      </c>
      <c r="DT94" s="259">
        <v>36</v>
      </c>
      <c r="DU94" s="260" t="s">
        <v>294</v>
      </c>
      <c r="DV94" s="259">
        <v>78</v>
      </c>
      <c r="DW94" s="260" t="s">
        <v>287</v>
      </c>
      <c r="DX94" s="259"/>
      <c r="DY94" s="259"/>
      <c r="DZ94" s="259"/>
      <c r="EA94" s="987"/>
      <c r="EB94" s="1041" t="s">
        <v>2440</v>
      </c>
      <c r="EC94" s="802">
        <v>132000000</v>
      </c>
      <c r="EE94" s="1047"/>
    </row>
    <row r="95" spans="4:135" s="534" customFormat="1" ht="132" hidden="1" x14ac:dyDescent="0.3">
      <c r="D95" s="783">
        <v>92</v>
      </c>
      <c r="E95" s="799">
        <v>125</v>
      </c>
      <c r="F95" s="574" t="s">
        <v>200</v>
      </c>
      <c r="G95" s="574" t="s">
        <v>7</v>
      </c>
      <c r="H95" s="574" t="s">
        <v>136</v>
      </c>
      <c r="I95" s="574" t="s">
        <v>346</v>
      </c>
      <c r="J95" s="573" t="s">
        <v>1425</v>
      </c>
      <c r="K95" s="573" t="s">
        <v>515</v>
      </c>
      <c r="L95" s="702" t="s">
        <v>1682</v>
      </c>
      <c r="M95" s="570" t="s">
        <v>2017</v>
      </c>
      <c r="N95" s="570">
        <v>35</v>
      </c>
      <c r="O95" s="570">
        <f t="shared" si="99"/>
        <v>8035</v>
      </c>
      <c r="P95" s="569">
        <v>8000</v>
      </c>
      <c r="Q95" s="631">
        <v>0.25</v>
      </c>
      <c r="R95" s="580">
        <f t="shared" si="61"/>
        <v>1.5625000000000001E-3</v>
      </c>
      <c r="S95" s="708">
        <v>50</v>
      </c>
      <c r="T95" s="625">
        <f t="shared" si="62"/>
        <v>6.2500000000000003E-3</v>
      </c>
      <c r="U95" s="992">
        <v>50</v>
      </c>
      <c r="V95" s="626">
        <f t="shared" si="63"/>
        <v>50</v>
      </c>
      <c r="W95" s="594">
        <f t="shared" si="64"/>
        <v>100</v>
      </c>
      <c r="X95" s="594">
        <f t="shared" si="65"/>
        <v>100</v>
      </c>
      <c r="Y95" s="594">
        <f t="shared" si="98"/>
        <v>1.5625000000000001E-3</v>
      </c>
      <c r="Z95" s="594">
        <f t="shared" si="66"/>
        <v>100</v>
      </c>
      <c r="AA95" s="546">
        <v>50000000</v>
      </c>
      <c r="AB95" s="546">
        <v>50000000</v>
      </c>
      <c r="AC95" s="546">
        <v>0</v>
      </c>
      <c r="AD95" s="546">
        <v>0</v>
      </c>
      <c r="AE95" s="546">
        <v>0</v>
      </c>
      <c r="AF95" s="546">
        <v>0</v>
      </c>
      <c r="AG95" s="546">
        <v>0</v>
      </c>
      <c r="AH95" s="546">
        <v>0</v>
      </c>
      <c r="AI95" s="546">
        <v>35000000</v>
      </c>
      <c r="AJ95" s="546">
        <v>35000000</v>
      </c>
      <c r="AK95" s="546">
        <v>0</v>
      </c>
      <c r="AL95" s="546">
        <v>0</v>
      </c>
      <c r="AM95" s="546">
        <v>0</v>
      </c>
      <c r="AN95" s="546">
        <v>0</v>
      </c>
      <c r="AO95" s="546">
        <v>0</v>
      </c>
      <c r="AP95" s="546">
        <v>0</v>
      </c>
      <c r="AQ95" s="546">
        <v>0</v>
      </c>
      <c r="AR95" s="546">
        <v>4000000</v>
      </c>
      <c r="AS95" s="546" t="s">
        <v>2258</v>
      </c>
      <c r="AT95" s="630">
        <f t="shared" si="67"/>
        <v>1.2375000000000001E-2</v>
      </c>
      <c r="AU95" s="570">
        <v>396</v>
      </c>
      <c r="AV95" s="625">
        <f t="shared" si="68"/>
        <v>4.9500000000000002E-2</v>
      </c>
      <c r="AW95" s="1003">
        <v>396</v>
      </c>
      <c r="AX95" s="724">
        <f t="shared" si="69"/>
        <v>396</v>
      </c>
      <c r="AY95" s="724">
        <f t="shared" si="70"/>
        <v>100</v>
      </c>
      <c r="AZ95" s="724">
        <f t="shared" si="71"/>
        <v>100</v>
      </c>
      <c r="BA95" s="594">
        <f t="shared" si="72"/>
        <v>1.2375000000000001E-2</v>
      </c>
      <c r="BB95" s="594">
        <f t="shared" si="73"/>
        <v>100</v>
      </c>
      <c r="BC95" s="546">
        <v>13000000</v>
      </c>
      <c r="BD95" s="546">
        <v>0</v>
      </c>
      <c r="BE95" s="546">
        <v>13000000</v>
      </c>
      <c r="BF95" s="546">
        <v>0</v>
      </c>
      <c r="BG95" s="546">
        <v>0</v>
      </c>
      <c r="BH95" s="546">
        <v>0</v>
      </c>
      <c r="BI95" s="546">
        <v>0</v>
      </c>
      <c r="BJ95" s="546">
        <v>0</v>
      </c>
      <c r="BK95" s="723">
        <v>25000000</v>
      </c>
      <c r="BL95" s="722">
        <v>25000000</v>
      </c>
      <c r="BM95" s="722">
        <v>0</v>
      </c>
      <c r="BN95" s="722">
        <v>0</v>
      </c>
      <c r="BO95" s="722">
        <v>0</v>
      </c>
      <c r="BP95" s="722">
        <v>0</v>
      </c>
      <c r="BQ95" s="722">
        <v>0</v>
      </c>
      <c r="BR95" s="722">
        <v>0</v>
      </c>
      <c r="BS95" s="722">
        <v>0</v>
      </c>
      <c r="BT95" s="722">
        <v>0</v>
      </c>
      <c r="BU95" s="722">
        <v>0</v>
      </c>
      <c r="BV95" s="580">
        <f t="shared" si="74"/>
        <v>0.203125</v>
      </c>
      <c r="BW95" s="588">
        <v>6500</v>
      </c>
      <c r="BX95" s="623">
        <f t="shared" si="75"/>
        <v>0.8125</v>
      </c>
      <c r="BY95" s="639">
        <v>800</v>
      </c>
      <c r="BZ95" s="638">
        <v>6186</v>
      </c>
      <c r="CA95" s="1018">
        <v>6500</v>
      </c>
      <c r="CB95" s="721">
        <f t="shared" si="76"/>
        <v>6500</v>
      </c>
      <c r="CC95" s="721">
        <f t="shared" si="77"/>
        <v>100</v>
      </c>
      <c r="CD95" s="720">
        <f t="shared" si="78"/>
        <v>100</v>
      </c>
      <c r="CE95" s="618">
        <f t="shared" si="79"/>
        <v>0.203125</v>
      </c>
      <c r="CF95" s="719">
        <f t="shared" si="80"/>
        <v>100</v>
      </c>
      <c r="CG95" s="618">
        <f t="shared" si="81"/>
        <v>0.203125</v>
      </c>
      <c r="CH95" s="718">
        <f t="shared" si="82"/>
        <v>3.2937500000000001E-2</v>
      </c>
      <c r="CI95" s="552">
        <v>1054</v>
      </c>
      <c r="CJ95" s="551">
        <f t="shared" si="83"/>
        <v>0.13175000000000001</v>
      </c>
      <c r="CK95" s="874">
        <v>160</v>
      </c>
      <c r="CL95" s="533">
        <f t="shared" si="84"/>
        <v>894</v>
      </c>
      <c r="CM95" s="619">
        <f t="shared" si="85"/>
        <v>160</v>
      </c>
      <c r="CN95" s="619">
        <f t="shared" si="86"/>
        <v>15.180265654648956</v>
      </c>
      <c r="CO95" s="549">
        <f t="shared" si="87"/>
        <v>15.180265654648956</v>
      </c>
      <c r="CP95" s="619">
        <f t="shared" si="88"/>
        <v>5.0000000000000001E-3</v>
      </c>
      <c r="CQ95" s="619">
        <f t="shared" si="89"/>
        <v>5.0000000000000001E-3</v>
      </c>
      <c r="CR95" s="546">
        <v>30000000</v>
      </c>
      <c r="CS95" s="546">
        <v>30000000</v>
      </c>
      <c r="CT95" s="546">
        <v>0</v>
      </c>
      <c r="CU95" s="546">
        <v>0</v>
      </c>
      <c r="CV95" s="546">
        <v>0</v>
      </c>
      <c r="CW95" s="546">
        <v>0</v>
      </c>
      <c r="CX95" s="546">
        <v>0</v>
      </c>
      <c r="CY95" s="546">
        <v>0</v>
      </c>
      <c r="CZ95" s="618">
        <v>0</v>
      </c>
      <c r="DA95" s="618">
        <v>0</v>
      </c>
      <c r="DB95" s="618">
        <v>0</v>
      </c>
      <c r="DC95" s="618">
        <v>0</v>
      </c>
      <c r="DD95" s="618">
        <v>0</v>
      </c>
      <c r="DE95" s="618">
        <v>0</v>
      </c>
      <c r="DF95" s="618">
        <v>0</v>
      </c>
      <c r="DG95" s="618">
        <v>0</v>
      </c>
      <c r="DH95" s="618">
        <v>0</v>
      </c>
      <c r="DI95" s="618">
        <v>0</v>
      </c>
      <c r="DJ95" s="618">
        <v>0</v>
      </c>
      <c r="DK95" s="1034">
        <f t="shared" si="90"/>
        <v>7106</v>
      </c>
      <c r="DL95" s="543">
        <f t="shared" si="91"/>
        <v>0.25</v>
      </c>
      <c r="DM95" s="542">
        <f t="shared" si="92"/>
        <v>88.825000000000003</v>
      </c>
      <c r="DN95" s="594">
        <f t="shared" si="93"/>
        <v>88.825000000000003</v>
      </c>
      <c r="DO95" s="540">
        <f t="shared" si="94"/>
        <v>0.2220625</v>
      </c>
      <c r="DP95" s="597">
        <f t="shared" si="100"/>
        <v>0.2220625</v>
      </c>
      <c r="DQ95" s="538">
        <f t="shared" si="95"/>
        <v>0.2220625</v>
      </c>
      <c r="DR95" s="617">
        <f t="shared" si="96"/>
        <v>1</v>
      </c>
      <c r="DS95" s="616">
        <f t="shared" si="97"/>
        <v>0</v>
      </c>
      <c r="DT95" s="259">
        <v>117</v>
      </c>
      <c r="DU95" s="260" t="s">
        <v>284</v>
      </c>
      <c r="DV95" s="259">
        <v>118</v>
      </c>
      <c r="DW95" s="260" t="s">
        <v>478</v>
      </c>
      <c r="DX95" s="259"/>
      <c r="DY95" s="259"/>
      <c r="DZ95" s="259"/>
      <c r="EA95" s="987"/>
      <c r="EB95" s="1041" t="s">
        <v>2441</v>
      </c>
      <c r="EC95" s="802">
        <v>30000000</v>
      </c>
      <c r="EE95" s="1047"/>
    </row>
    <row r="96" spans="4:135" s="534" customFormat="1" ht="60" hidden="1" x14ac:dyDescent="0.3">
      <c r="D96" s="783">
        <v>93</v>
      </c>
      <c r="E96" s="799">
        <v>126</v>
      </c>
      <c r="F96" s="787" t="s">
        <v>200</v>
      </c>
      <c r="G96" s="787" t="s">
        <v>7</v>
      </c>
      <c r="H96" s="788" t="s">
        <v>136</v>
      </c>
      <c r="I96" s="712" t="s">
        <v>346</v>
      </c>
      <c r="J96" s="573" t="s">
        <v>516</v>
      </c>
      <c r="K96" s="573" t="s">
        <v>517</v>
      </c>
      <c r="L96" s="702" t="s">
        <v>2242</v>
      </c>
      <c r="M96" s="570" t="s">
        <v>2017</v>
      </c>
      <c r="N96" s="570">
        <v>0</v>
      </c>
      <c r="O96" s="570">
        <f t="shared" si="99"/>
        <v>160</v>
      </c>
      <c r="P96" s="569">
        <v>160</v>
      </c>
      <c r="Q96" s="628">
        <v>0.16500000000000001</v>
      </c>
      <c r="R96" s="580">
        <f t="shared" si="61"/>
        <v>7.2187499999999995E-3</v>
      </c>
      <c r="S96" s="708">
        <v>7</v>
      </c>
      <c r="T96" s="625">
        <f t="shared" si="62"/>
        <v>4.3749999999999997E-2</v>
      </c>
      <c r="U96" s="992">
        <v>0</v>
      </c>
      <c r="V96" s="626">
        <f t="shared" si="63"/>
        <v>0</v>
      </c>
      <c r="W96" s="594">
        <f t="shared" si="64"/>
        <v>0</v>
      </c>
      <c r="X96" s="594">
        <f t="shared" si="65"/>
        <v>0</v>
      </c>
      <c r="Y96" s="594">
        <f t="shared" si="98"/>
        <v>0</v>
      </c>
      <c r="Z96" s="594">
        <f t="shared" si="66"/>
        <v>0</v>
      </c>
      <c r="AA96" s="546">
        <v>100000000</v>
      </c>
      <c r="AB96" s="546">
        <v>0</v>
      </c>
      <c r="AC96" s="546">
        <v>0</v>
      </c>
      <c r="AD96" s="546">
        <v>0</v>
      </c>
      <c r="AE96" s="546">
        <v>0</v>
      </c>
      <c r="AF96" s="546">
        <v>0</v>
      </c>
      <c r="AG96" s="546">
        <v>0</v>
      </c>
      <c r="AH96" s="546">
        <v>100000000</v>
      </c>
      <c r="AI96" s="546">
        <v>0</v>
      </c>
      <c r="AJ96" s="546">
        <v>0</v>
      </c>
      <c r="AK96" s="546">
        <v>0</v>
      </c>
      <c r="AL96" s="546">
        <v>0</v>
      </c>
      <c r="AM96" s="546">
        <v>0</v>
      </c>
      <c r="AN96" s="546">
        <v>0</v>
      </c>
      <c r="AO96" s="546">
        <v>0</v>
      </c>
      <c r="AP96" s="546">
        <v>0</v>
      </c>
      <c r="AQ96" s="546">
        <v>0</v>
      </c>
      <c r="AR96" s="546">
        <v>0</v>
      </c>
      <c r="AS96" s="546">
        <v>0</v>
      </c>
      <c r="AT96" s="570">
        <f t="shared" si="67"/>
        <v>5.2593750000000002E-2</v>
      </c>
      <c r="AU96" s="570">
        <v>51</v>
      </c>
      <c r="AV96" s="625">
        <f t="shared" si="68"/>
        <v>0.31874999999999998</v>
      </c>
      <c r="AW96" s="1003">
        <v>70</v>
      </c>
      <c r="AX96" s="724">
        <f t="shared" si="69"/>
        <v>70</v>
      </c>
      <c r="AY96" s="724">
        <f t="shared" si="70"/>
        <v>137.25490196078431</v>
      </c>
      <c r="AZ96" s="724">
        <f t="shared" si="71"/>
        <v>100</v>
      </c>
      <c r="BA96" s="594">
        <f t="shared" si="72"/>
        <v>5.2593750000000002E-2</v>
      </c>
      <c r="BB96" s="594">
        <f t="shared" si="73"/>
        <v>100</v>
      </c>
      <c r="BC96" s="546">
        <v>152000000</v>
      </c>
      <c r="BD96" s="546">
        <v>0</v>
      </c>
      <c r="BE96" s="546">
        <v>23000000</v>
      </c>
      <c r="BF96" s="546">
        <v>0</v>
      </c>
      <c r="BG96" s="546">
        <v>0</v>
      </c>
      <c r="BH96" s="546">
        <v>0</v>
      </c>
      <c r="BI96" s="546">
        <v>0</v>
      </c>
      <c r="BJ96" s="546">
        <v>129000000</v>
      </c>
      <c r="BK96" s="723">
        <v>15000000</v>
      </c>
      <c r="BL96" s="722">
        <v>15000000</v>
      </c>
      <c r="BM96" s="722">
        <v>0</v>
      </c>
      <c r="BN96" s="722">
        <v>0</v>
      </c>
      <c r="BO96" s="722">
        <v>0</v>
      </c>
      <c r="BP96" s="722">
        <v>0</v>
      </c>
      <c r="BQ96" s="722">
        <v>0</v>
      </c>
      <c r="BR96" s="722">
        <v>0</v>
      </c>
      <c r="BS96" s="722">
        <v>0</v>
      </c>
      <c r="BT96" s="722">
        <v>0</v>
      </c>
      <c r="BU96" s="722">
        <v>0</v>
      </c>
      <c r="BV96" s="580">
        <f t="shared" si="74"/>
        <v>5.2593750000000002E-2</v>
      </c>
      <c r="BW96" s="588">
        <v>51</v>
      </c>
      <c r="BX96" s="623">
        <f t="shared" si="75"/>
        <v>0.31874999999999998</v>
      </c>
      <c r="BY96" s="639">
        <v>0</v>
      </c>
      <c r="BZ96" s="638">
        <v>0</v>
      </c>
      <c r="CA96" s="1018">
        <v>0</v>
      </c>
      <c r="CB96" s="721">
        <f t="shared" si="76"/>
        <v>0</v>
      </c>
      <c r="CC96" s="721">
        <f t="shared" si="77"/>
        <v>0</v>
      </c>
      <c r="CD96" s="720">
        <f t="shared" si="78"/>
        <v>0</v>
      </c>
      <c r="CE96" s="618">
        <f t="shared" si="79"/>
        <v>0</v>
      </c>
      <c r="CF96" s="719">
        <f t="shared" si="80"/>
        <v>0</v>
      </c>
      <c r="CG96" s="618">
        <f t="shared" si="81"/>
        <v>0</v>
      </c>
      <c r="CH96" s="718">
        <f t="shared" si="82"/>
        <v>5.2593750000000002E-2</v>
      </c>
      <c r="CI96" s="552">
        <v>51</v>
      </c>
      <c r="CJ96" s="551">
        <f t="shared" si="83"/>
        <v>0.31874999999999998</v>
      </c>
      <c r="CK96" s="874">
        <v>0</v>
      </c>
      <c r="CL96" s="533">
        <f t="shared" si="84"/>
        <v>51</v>
      </c>
      <c r="CM96" s="619">
        <f t="shared" si="85"/>
        <v>0</v>
      </c>
      <c r="CN96" s="619">
        <f t="shared" si="86"/>
        <v>0</v>
      </c>
      <c r="CO96" s="549">
        <f t="shared" si="87"/>
        <v>0</v>
      </c>
      <c r="CP96" s="619">
        <f t="shared" si="88"/>
        <v>0</v>
      </c>
      <c r="CQ96" s="619">
        <f t="shared" si="89"/>
        <v>0</v>
      </c>
      <c r="CR96" s="546">
        <v>183000000</v>
      </c>
      <c r="CS96" s="546">
        <v>54000000</v>
      </c>
      <c r="CT96" s="546">
        <v>0</v>
      </c>
      <c r="CU96" s="546">
        <v>0</v>
      </c>
      <c r="CV96" s="546">
        <v>0</v>
      </c>
      <c r="CW96" s="546">
        <v>0</v>
      </c>
      <c r="CX96" s="546">
        <v>0</v>
      </c>
      <c r="CY96" s="546">
        <v>129000000</v>
      </c>
      <c r="CZ96" s="618">
        <v>0</v>
      </c>
      <c r="DA96" s="618">
        <v>0</v>
      </c>
      <c r="DB96" s="618">
        <v>0</v>
      </c>
      <c r="DC96" s="618">
        <v>0</v>
      </c>
      <c r="DD96" s="618">
        <v>0</v>
      </c>
      <c r="DE96" s="618">
        <v>0</v>
      </c>
      <c r="DF96" s="618">
        <v>0</v>
      </c>
      <c r="DG96" s="618">
        <v>0</v>
      </c>
      <c r="DH96" s="618">
        <v>0</v>
      </c>
      <c r="DI96" s="618">
        <v>0</v>
      </c>
      <c r="DJ96" s="618">
        <v>0</v>
      </c>
      <c r="DK96" s="1034">
        <f t="shared" si="90"/>
        <v>70</v>
      </c>
      <c r="DL96" s="543">
        <f t="shared" si="91"/>
        <v>0.16500000000000001</v>
      </c>
      <c r="DM96" s="542">
        <f t="shared" si="92"/>
        <v>43.75</v>
      </c>
      <c r="DN96" s="594">
        <f t="shared" si="93"/>
        <v>43.75</v>
      </c>
      <c r="DO96" s="540">
        <f t="shared" si="94"/>
        <v>7.2187500000000002E-2</v>
      </c>
      <c r="DP96" s="597">
        <f t="shared" si="100"/>
        <v>7.2187500000000002E-2</v>
      </c>
      <c r="DQ96" s="538">
        <f t="shared" si="95"/>
        <v>7.2187500000000002E-2</v>
      </c>
      <c r="DR96" s="617">
        <f t="shared" si="96"/>
        <v>0.99999999999999989</v>
      </c>
      <c r="DS96" s="616">
        <f t="shared" si="97"/>
        <v>0</v>
      </c>
      <c r="DT96" s="259">
        <v>118</v>
      </c>
      <c r="DU96" s="260" t="s">
        <v>478</v>
      </c>
      <c r="DV96" s="259"/>
      <c r="DW96" s="260" t="s">
        <v>242</v>
      </c>
      <c r="DX96" s="259"/>
      <c r="DY96" s="259"/>
      <c r="DZ96" s="259"/>
      <c r="EA96" s="987"/>
      <c r="EB96" s="1041" t="s">
        <v>2442</v>
      </c>
      <c r="EC96" s="802">
        <v>183000000</v>
      </c>
      <c r="EE96" s="1047"/>
    </row>
    <row r="97" spans="4:135" s="534" customFormat="1" ht="132" hidden="1" x14ac:dyDescent="0.3">
      <c r="D97" s="783">
        <v>94</v>
      </c>
      <c r="E97" s="799">
        <v>127</v>
      </c>
      <c r="F97" s="787" t="s">
        <v>200</v>
      </c>
      <c r="G97" s="787" t="s">
        <v>7</v>
      </c>
      <c r="H97" s="788" t="s">
        <v>136</v>
      </c>
      <c r="I97" s="712" t="s">
        <v>346</v>
      </c>
      <c r="J97" s="573" t="s">
        <v>518</v>
      </c>
      <c r="K97" s="573" t="s">
        <v>519</v>
      </c>
      <c r="L97" s="702" t="s">
        <v>2205</v>
      </c>
      <c r="M97" s="570" t="s">
        <v>2017</v>
      </c>
      <c r="N97" s="570">
        <v>0</v>
      </c>
      <c r="O97" s="570">
        <f t="shared" si="99"/>
        <v>8</v>
      </c>
      <c r="P97" s="569">
        <v>8</v>
      </c>
      <c r="Q97" s="628">
        <v>8.8999999999999996E-2</v>
      </c>
      <c r="R97" s="580">
        <f t="shared" si="61"/>
        <v>0</v>
      </c>
      <c r="S97" s="708">
        <v>0</v>
      </c>
      <c r="T97" s="625">
        <f t="shared" si="62"/>
        <v>0</v>
      </c>
      <c r="U97" s="992">
        <v>0</v>
      </c>
      <c r="V97" s="626">
        <f t="shared" si="63"/>
        <v>0</v>
      </c>
      <c r="W97" s="594">
        <f t="shared" si="64"/>
        <v>0</v>
      </c>
      <c r="X97" s="594">
        <f t="shared" si="65"/>
        <v>0</v>
      </c>
      <c r="Y97" s="594">
        <f t="shared" si="98"/>
        <v>0</v>
      </c>
      <c r="Z97" s="594">
        <f t="shared" si="66"/>
        <v>0</v>
      </c>
      <c r="AA97" s="546">
        <v>10000000</v>
      </c>
      <c r="AB97" s="546">
        <v>10000000</v>
      </c>
      <c r="AC97" s="546">
        <v>0</v>
      </c>
      <c r="AD97" s="546">
        <v>0</v>
      </c>
      <c r="AE97" s="546">
        <v>0</v>
      </c>
      <c r="AF97" s="546">
        <v>0</v>
      </c>
      <c r="AG97" s="546">
        <v>0</v>
      </c>
      <c r="AH97" s="546">
        <v>0</v>
      </c>
      <c r="AI97" s="546">
        <v>7500000</v>
      </c>
      <c r="AJ97" s="546">
        <v>7500000</v>
      </c>
      <c r="AK97" s="546">
        <v>0</v>
      </c>
      <c r="AL97" s="546">
        <v>0</v>
      </c>
      <c r="AM97" s="546">
        <v>0</v>
      </c>
      <c r="AN97" s="546">
        <v>0</v>
      </c>
      <c r="AO97" s="546">
        <v>0</v>
      </c>
      <c r="AP97" s="546">
        <v>0</v>
      </c>
      <c r="AQ97" s="546">
        <v>0</v>
      </c>
      <c r="AR97" s="546">
        <v>0</v>
      </c>
      <c r="AS97" s="546">
        <v>0</v>
      </c>
      <c r="AT97" s="570">
        <f t="shared" si="67"/>
        <v>2.2249999999999999E-2</v>
      </c>
      <c r="AU97" s="570">
        <v>2</v>
      </c>
      <c r="AV97" s="625">
        <f t="shared" si="68"/>
        <v>0.25</v>
      </c>
      <c r="AW97" s="1003">
        <v>2</v>
      </c>
      <c r="AX97" s="724">
        <f t="shared" si="69"/>
        <v>2</v>
      </c>
      <c r="AY97" s="724">
        <f t="shared" si="70"/>
        <v>100</v>
      </c>
      <c r="AZ97" s="724">
        <f t="shared" si="71"/>
        <v>100</v>
      </c>
      <c r="BA97" s="594">
        <f t="shared" si="72"/>
        <v>2.2250000000000002E-2</v>
      </c>
      <c r="BB97" s="594">
        <f t="shared" si="73"/>
        <v>100</v>
      </c>
      <c r="BC97" s="546">
        <v>10000000</v>
      </c>
      <c r="BD97" s="546">
        <v>0</v>
      </c>
      <c r="BE97" s="546">
        <v>10000000</v>
      </c>
      <c r="BF97" s="546">
        <v>0</v>
      </c>
      <c r="BG97" s="546">
        <v>0</v>
      </c>
      <c r="BH97" s="546">
        <v>0</v>
      </c>
      <c r="BI97" s="546">
        <v>0</v>
      </c>
      <c r="BJ97" s="546">
        <v>0</v>
      </c>
      <c r="BK97" s="723">
        <v>7500000</v>
      </c>
      <c r="BL97" s="722">
        <v>7500000</v>
      </c>
      <c r="BM97" s="722">
        <v>0</v>
      </c>
      <c r="BN97" s="722">
        <v>0</v>
      </c>
      <c r="BO97" s="722">
        <v>0</v>
      </c>
      <c r="BP97" s="722">
        <v>0</v>
      </c>
      <c r="BQ97" s="722">
        <v>0</v>
      </c>
      <c r="BR97" s="722">
        <v>0</v>
      </c>
      <c r="BS97" s="722">
        <v>0</v>
      </c>
      <c r="BT97" s="722">
        <v>0</v>
      </c>
      <c r="BU97" s="722">
        <v>0</v>
      </c>
      <c r="BV97" s="580">
        <f t="shared" si="74"/>
        <v>3.3375000000000002E-2</v>
      </c>
      <c r="BW97" s="588">
        <v>3</v>
      </c>
      <c r="BX97" s="623">
        <f t="shared" si="75"/>
        <v>0.375</v>
      </c>
      <c r="BY97" s="639">
        <v>2</v>
      </c>
      <c r="BZ97" s="638">
        <v>4</v>
      </c>
      <c r="CA97" s="1018">
        <v>3</v>
      </c>
      <c r="CB97" s="721">
        <f t="shared" si="76"/>
        <v>3</v>
      </c>
      <c r="CC97" s="721">
        <f t="shared" si="77"/>
        <v>100</v>
      </c>
      <c r="CD97" s="720">
        <f t="shared" si="78"/>
        <v>100</v>
      </c>
      <c r="CE97" s="618">
        <f t="shared" si="79"/>
        <v>3.3375000000000002E-2</v>
      </c>
      <c r="CF97" s="719">
        <f t="shared" si="80"/>
        <v>100</v>
      </c>
      <c r="CG97" s="618">
        <f t="shared" si="81"/>
        <v>3.3375000000000002E-2</v>
      </c>
      <c r="CH97" s="718">
        <f t="shared" si="82"/>
        <v>3.3375000000000002E-2</v>
      </c>
      <c r="CI97" s="552">
        <v>3</v>
      </c>
      <c r="CJ97" s="551">
        <f t="shared" si="83"/>
        <v>0.375</v>
      </c>
      <c r="CK97" s="874">
        <v>1</v>
      </c>
      <c r="CL97" s="533">
        <f t="shared" si="84"/>
        <v>2</v>
      </c>
      <c r="CM97" s="619">
        <f t="shared" si="85"/>
        <v>1</v>
      </c>
      <c r="CN97" s="619">
        <f t="shared" si="86"/>
        <v>33.333333333333336</v>
      </c>
      <c r="CO97" s="549">
        <f t="shared" si="87"/>
        <v>33.333333333333336</v>
      </c>
      <c r="CP97" s="619">
        <f t="shared" si="88"/>
        <v>1.1125000000000001E-2</v>
      </c>
      <c r="CQ97" s="619">
        <f t="shared" si="89"/>
        <v>1.1125000000000001E-2</v>
      </c>
      <c r="CR97" s="546">
        <v>24000000</v>
      </c>
      <c r="CS97" s="546">
        <v>24000000</v>
      </c>
      <c r="CT97" s="546">
        <v>0</v>
      </c>
      <c r="CU97" s="546">
        <v>0</v>
      </c>
      <c r="CV97" s="546">
        <v>0</v>
      </c>
      <c r="CW97" s="546">
        <v>0</v>
      </c>
      <c r="CX97" s="546">
        <v>0</v>
      </c>
      <c r="CY97" s="546">
        <v>0</v>
      </c>
      <c r="CZ97" s="618">
        <v>0</v>
      </c>
      <c r="DA97" s="618">
        <v>0</v>
      </c>
      <c r="DB97" s="618">
        <v>0</v>
      </c>
      <c r="DC97" s="618">
        <v>0</v>
      </c>
      <c r="DD97" s="618">
        <v>0</v>
      </c>
      <c r="DE97" s="618">
        <v>0</v>
      </c>
      <c r="DF97" s="618">
        <v>0</v>
      </c>
      <c r="DG97" s="618">
        <v>0</v>
      </c>
      <c r="DH97" s="618">
        <v>0</v>
      </c>
      <c r="DI97" s="618">
        <v>0</v>
      </c>
      <c r="DJ97" s="618">
        <v>0</v>
      </c>
      <c r="DK97" s="1034">
        <f t="shared" si="90"/>
        <v>6</v>
      </c>
      <c r="DL97" s="543">
        <f t="shared" si="91"/>
        <v>8.8999999999999996E-2</v>
      </c>
      <c r="DM97" s="542">
        <f t="shared" si="92"/>
        <v>75</v>
      </c>
      <c r="DN97" s="594">
        <f t="shared" si="93"/>
        <v>75</v>
      </c>
      <c r="DO97" s="540">
        <f t="shared" si="94"/>
        <v>6.6750000000000004E-2</v>
      </c>
      <c r="DP97" s="597">
        <f t="shared" si="100"/>
        <v>6.6750000000000004E-2</v>
      </c>
      <c r="DQ97" s="538">
        <f t="shared" si="95"/>
        <v>6.6750000000000004E-2</v>
      </c>
      <c r="DR97" s="617">
        <f t="shared" si="96"/>
        <v>1</v>
      </c>
      <c r="DS97" s="616">
        <f t="shared" si="97"/>
        <v>0</v>
      </c>
      <c r="DT97" s="259">
        <v>117</v>
      </c>
      <c r="DU97" s="260" t="s">
        <v>284</v>
      </c>
      <c r="DV97" s="259">
        <v>118</v>
      </c>
      <c r="DW97" s="260" t="s">
        <v>478</v>
      </c>
      <c r="DX97" s="259"/>
      <c r="DY97" s="259"/>
      <c r="DZ97" s="259"/>
      <c r="EA97" s="987"/>
      <c r="EB97" s="1041" t="s">
        <v>2443</v>
      </c>
      <c r="EC97" s="802">
        <v>24000000</v>
      </c>
      <c r="EE97" s="1047"/>
    </row>
    <row r="98" spans="4:135" s="534" customFormat="1" ht="76.5" hidden="1" x14ac:dyDescent="0.3">
      <c r="D98" s="783">
        <v>95</v>
      </c>
      <c r="E98" s="799">
        <v>128</v>
      </c>
      <c r="F98" s="787" t="s">
        <v>200</v>
      </c>
      <c r="G98" s="787" t="s">
        <v>3</v>
      </c>
      <c r="H98" s="788" t="s">
        <v>136</v>
      </c>
      <c r="I98" s="712" t="s">
        <v>346</v>
      </c>
      <c r="J98" s="573" t="s">
        <v>520</v>
      </c>
      <c r="K98" s="573" t="s">
        <v>521</v>
      </c>
      <c r="L98" s="702" t="s">
        <v>1682</v>
      </c>
      <c r="M98" s="570" t="s">
        <v>2017</v>
      </c>
      <c r="N98" s="570">
        <v>7200</v>
      </c>
      <c r="O98" s="570">
        <f t="shared" si="99"/>
        <v>16800</v>
      </c>
      <c r="P98" s="569">
        <v>9600</v>
      </c>
      <c r="Q98" s="628">
        <v>8.8999999999999996E-2</v>
      </c>
      <c r="R98" s="580">
        <f t="shared" si="61"/>
        <v>2.2249999999999999E-2</v>
      </c>
      <c r="S98" s="708">
        <v>2400</v>
      </c>
      <c r="T98" s="625">
        <f t="shared" si="62"/>
        <v>0.25</v>
      </c>
      <c r="U98" s="992">
        <v>2437</v>
      </c>
      <c r="V98" s="626">
        <f t="shared" si="63"/>
        <v>2437</v>
      </c>
      <c r="W98" s="594">
        <f t="shared" si="64"/>
        <v>101.54166666666667</v>
      </c>
      <c r="X98" s="594">
        <f t="shared" si="65"/>
        <v>100</v>
      </c>
      <c r="Y98" s="594">
        <f t="shared" si="98"/>
        <v>2.2250000000000002E-2</v>
      </c>
      <c r="Z98" s="594">
        <f t="shared" si="66"/>
        <v>100</v>
      </c>
      <c r="AA98" s="546">
        <v>73000000</v>
      </c>
      <c r="AB98" s="546">
        <v>73000000</v>
      </c>
      <c r="AC98" s="546">
        <v>0</v>
      </c>
      <c r="AD98" s="546">
        <v>0</v>
      </c>
      <c r="AE98" s="546">
        <v>0</v>
      </c>
      <c r="AF98" s="546">
        <v>0</v>
      </c>
      <c r="AG98" s="546">
        <v>0</v>
      </c>
      <c r="AH98" s="546">
        <v>0</v>
      </c>
      <c r="AI98" s="546">
        <v>74000000</v>
      </c>
      <c r="AJ98" s="546">
        <v>74000000</v>
      </c>
      <c r="AK98" s="546">
        <v>0</v>
      </c>
      <c r="AL98" s="546">
        <v>0</v>
      </c>
      <c r="AM98" s="546">
        <v>0</v>
      </c>
      <c r="AN98" s="546">
        <v>0</v>
      </c>
      <c r="AO98" s="546">
        <v>0</v>
      </c>
      <c r="AP98" s="546">
        <v>0</v>
      </c>
      <c r="AQ98" s="546">
        <v>0</v>
      </c>
      <c r="AR98" s="546">
        <v>0</v>
      </c>
      <c r="AS98" s="546">
        <v>0</v>
      </c>
      <c r="AT98" s="570">
        <f t="shared" si="67"/>
        <v>2.2249999999999999E-2</v>
      </c>
      <c r="AU98" s="570">
        <v>2400</v>
      </c>
      <c r="AV98" s="625">
        <f t="shared" si="68"/>
        <v>0.25</v>
      </c>
      <c r="AW98" s="1003">
        <v>2069</v>
      </c>
      <c r="AX98" s="724">
        <f t="shared" si="69"/>
        <v>2069</v>
      </c>
      <c r="AY98" s="724">
        <f t="shared" si="70"/>
        <v>86.208333333333329</v>
      </c>
      <c r="AZ98" s="724">
        <f t="shared" si="71"/>
        <v>86.208333333333329</v>
      </c>
      <c r="BA98" s="594">
        <f t="shared" si="72"/>
        <v>1.9181354166666664E-2</v>
      </c>
      <c r="BB98" s="594">
        <f t="shared" si="73"/>
        <v>86.208333333333329</v>
      </c>
      <c r="BC98" s="546">
        <v>1048000000</v>
      </c>
      <c r="BD98" s="546">
        <v>0</v>
      </c>
      <c r="BE98" s="546">
        <v>1048000000</v>
      </c>
      <c r="BF98" s="546">
        <v>0</v>
      </c>
      <c r="BG98" s="546">
        <v>0</v>
      </c>
      <c r="BH98" s="546">
        <v>0</v>
      </c>
      <c r="BI98" s="546">
        <v>0</v>
      </c>
      <c r="BJ98" s="546">
        <v>0</v>
      </c>
      <c r="BK98" s="723">
        <v>68175200</v>
      </c>
      <c r="BL98" s="722">
        <v>68175200</v>
      </c>
      <c r="BM98" s="722">
        <v>0</v>
      </c>
      <c r="BN98" s="722">
        <v>0</v>
      </c>
      <c r="BO98" s="722">
        <v>0</v>
      </c>
      <c r="BP98" s="722">
        <v>0</v>
      </c>
      <c r="BQ98" s="722">
        <v>0</v>
      </c>
      <c r="BR98" s="722">
        <v>0</v>
      </c>
      <c r="BS98" s="722">
        <v>0</v>
      </c>
      <c r="BT98" s="722">
        <v>0</v>
      </c>
      <c r="BU98" s="722">
        <v>0</v>
      </c>
      <c r="BV98" s="580">
        <f t="shared" si="74"/>
        <v>2.2249999999999999E-2</v>
      </c>
      <c r="BW98" s="588">
        <v>2400</v>
      </c>
      <c r="BX98" s="623">
        <f t="shared" si="75"/>
        <v>0.25</v>
      </c>
      <c r="BY98" s="607">
        <v>112</v>
      </c>
      <c r="BZ98" s="629">
        <v>112</v>
      </c>
      <c r="CA98" s="1017">
        <v>3029</v>
      </c>
      <c r="CB98" s="721">
        <f t="shared" si="76"/>
        <v>3029</v>
      </c>
      <c r="CC98" s="721">
        <f t="shared" si="77"/>
        <v>126.20833333333333</v>
      </c>
      <c r="CD98" s="720">
        <f t="shared" si="78"/>
        <v>100</v>
      </c>
      <c r="CE98" s="618">
        <f t="shared" si="79"/>
        <v>2.2250000000000002E-2</v>
      </c>
      <c r="CF98" s="719">
        <f t="shared" si="80"/>
        <v>100</v>
      </c>
      <c r="CG98" s="618">
        <f t="shared" si="81"/>
        <v>2.8081354166666666E-2</v>
      </c>
      <c r="CH98" s="718">
        <f t="shared" si="82"/>
        <v>2.2249999999999999E-2</v>
      </c>
      <c r="CI98" s="552">
        <v>2400</v>
      </c>
      <c r="CJ98" s="551">
        <f t="shared" si="83"/>
        <v>0.25</v>
      </c>
      <c r="CK98" s="874">
        <v>1335</v>
      </c>
      <c r="CL98" s="533">
        <f t="shared" si="84"/>
        <v>1065</v>
      </c>
      <c r="CM98" s="619">
        <f t="shared" si="85"/>
        <v>1335</v>
      </c>
      <c r="CN98" s="619">
        <f t="shared" si="86"/>
        <v>55.625</v>
      </c>
      <c r="CO98" s="549">
        <f t="shared" si="87"/>
        <v>55.625</v>
      </c>
      <c r="CP98" s="619">
        <f t="shared" si="88"/>
        <v>1.2376562499999999E-2</v>
      </c>
      <c r="CQ98" s="619">
        <f t="shared" si="89"/>
        <v>1.2376562499999999E-2</v>
      </c>
      <c r="CR98" s="546">
        <v>1048000000</v>
      </c>
      <c r="CS98" s="546">
        <v>1048000000</v>
      </c>
      <c r="CT98" s="546">
        <v>0</v>
      </c>
      <c r="CU98" s="546">
        <v>0</v>
      </c>
      <c r="CV98" s="546">
        <v>0</v>
      </c>
      <c r="CW98" s="546">
        <v>0</v>
      </c>
      <c r="CX98" s="546">
        <v>0</v>
      </c>
      <c r="CY98" s="546">
        <v>0</v>
      </c>
      <c r="CZ98" s="618">
        <v>0</v>
      </c>
      <c r="DA98" s="618">
        <v>0</v>
      </c>
      <c r="DB98" s="618">
        <v>0</v>
      </c>
      <c r="DC98" s="618">
        <v>0</v>
      </c>
      <c r="DD98" s="618">
        <v>0</v>
      </c>
      <c r="DE98" s="618">
        <v>0</v>
      </c>
      <c r="DF98" s="618">
        <v>0</v>
      </c>
      <c r="DG98" s="618">
        <v>0</v>
      </c>
      <c r="DH98" s="618">
        <v>0</v>
      </c>
      <c r="DI98" s="618">
        <v>0</v>
      </c>
      <c r="DJ98" s="618">
        <v>0</v>
      </c>
      <c r="DK98" s="1034">
        <f t="shared" si="90"/>
        <v>8870</v>
      </c>
      <c r="DL98" s="543">
        <f t="shared" si="91"/>
        <v>8.8999999999999996E-2</v>
      </c>
      <c r="DM98" s="542">
        <f t="shared" si="92"/>
        <v>92.395833333333329</v>
      </c>
      <c r="DN98" s="594">
        <f t="shared" si="93"/>
        <v>92.395833333333329</v>
      </c>
      <c r="DO98" s="540">
        <f t="shared" si="94"/>
        <v>8.2232291666666665E-2</v>
      </c>
      <c r="DP98" s="597">
        <f t="shared" si="100"/>
        <v>8.2232291666666665E-2</v>
      </c>
      <c r="DQ98" s="538">
        <f t="shared" si="95"/>
        <v>8.2232291666666665E-2</v>
      </c>
      <c r="DR98" s="617">
        <f t="shared" si="96"/>
        <v>1</v>
      </c>
      <c r="DS98" s="616">
        <f t="shared" si="97"/>
        <v>0</v>
      </c>
      <c r="DT98" s="259">
        <v>118</v>
      </c>
      <c r="DU98" s="260" t="s">
        <v>478</v>
      </c>
      <c r="DV98" s="259"/>
      <c r="DW98" s="260" t="s">
        <v>242</v>
      </c>
      <c r="DX98" s="259"/>
      <c r="DY98" s="259"/>
      <c r="DZ98" s="259"/>
      <c r="EA98" s="987"/>
      <c r="EB98" s="1041" t="s">
        <v>2444</v>
      </c>
      <c r="EC98" s="802">
        <v>1048000000</v>
      </c>
      <c r="EE98" s="1047"/>
    </row>
    <row r="99" spans="4:135" s="534" customFormat="1" ht="63.75" hidden="1" x14ac:dyDescent="0.3">
      <c r="D99" s="783">
        <v>96</v>
      </c>
      <c r="E99" s="799">
        <v>129</v>
      </c>
      <c r="F99" s="787" t="s">
        <v>200</v>
      </c>
      <c r="G99" s="787" t="s">
        <v>3</v>
      </c>
      <c r="H99" s="788" t="s">
        <v>136</v>
      </c>
      <c r="I99" s="712" t="s">
        <v>346</v>
      </c>
      <c r="J99" s="573" t="s">
        <v>522</v>
      </c>
      <c r="K99" s="573" t="s">
        <v>523</v>
      </c>
      <c r="L99" s="702" t="s">
        <v>1682</v>
      </c>
      <c r="M99" s="570" t="s">
        <v>2017</v>
      </c>
      <c r="N99" s="570">
        <v>0</v>
      </c>
      <c r="O99" s="570">
        <f t="shared" si="99"/>
        <v>15000</v>
      </c>
      <c r="P99" s="569">
        <v>15000</v>
      </c>
      <c r="Q99" s="628">
        <v>0.16500000000000001</v>
      </c>
      <c r="R99" s="580">
        <f t="shared" si="61"/>
        <v>4.1250000000000002E-2</v>
      </c>
      <c r="S99" s="708">
        <v>3750</v>
      </c>
      <c r="T99" s="625">
        <f t="shared" si="62"/>
        <v>0.25</v>
      </c>
      <c r="U99" s="992">
        <v>5625</v>
      </c>
      <c r="V99" s="626">
        <f t="shared" si="63"/>
        <v>5625</v>
      </c>
      <c r="W99" s="594">
        <f t="shared" si="64"/>
        <v>150</v>
      </c>
      <c r="X99" s="594">
        <f t="shared" si="65"/>
        <v>100</v>
      </c>
      <c r="Y99" s="594">
        <f t="shared" si="98"/>
        <v>4.1250000000000002E-2</v>
      </c>
      <c r="Z99" s="594">
        <f t="shared" si="66"/>
        <v>100</v>
      </c>
      <c r="AA99" s="546">
        <v>126000000</v>
      </c>
      <c r="AB99" s="546">
        <v>126000000</v>
      </c>
      <c r="AC99" s="546">
        <v>0</v>
      </c>
      <c r="AD99" s="546">
        <v>0</v>
      </c>
      <c r="AE99" s="546">
        <v>0</v>
      </c>
      <c r="AF99" s="546">
        <v>0</v>
      </c>
      <c r="AG99" s="546">
        <v>0</v>
      </c>
      <c r="AH99" s="546">
        <v>0</v>
      </c>
      <c r="AI99" s="546">
        <v>259297000</v>
      </c>
      <c r="AJ99" s="546">
        <v>259297000</v>
      </c>
      <c r="AK99" s="546">
        <v>0</v>
      </c>
      <c r="AL99" s="546">
        <v>0</v>
      </c>
      <c r="AM99" s="546">
        <v>0</v>
      </c>
      <c r="AN99" s="546">
        <v>0</v>
      </c>
      <c r="AO99" s="546">
        <v>0</v>
      </c>
      <c r="AP99" s="546">
        <v>0</v>
      </c>
      <c r="AQ99" s="546">
        <v>0</v>
      </c>
      <c r="AR99" s="546">
        <v>0</v>
      </c>
      <c r="AS99" s="546">
        <v>0</v>
      </c>
      <c r="AT99" s="570">
        <f t="shared" si="67"/>
        <v>4.1250000000000002E-2</v>
      </c>
      <c r="AU99" s="570">
        <v>3750</v>
      </c>
      <c r="AV99" s="625">
        <f t="shared" si="68"/>
        <v>0.25</v>
      </c>
      <c r="AW99" s="1003">
        <v>4005</v>
      </c>
      <c r="AX99" s="724">
        <f t="shared" si="69"/>
        <v>4005</v>
      </c>
      <c r="AY99" s="724">
        <f t="shared" si="70"/>
        <v>106.8</v>
      </c>
      <c r="AZ99" s="724">
        <f t="shared" si="71"/>
        <v>100</v>
      </c>
      <c r="BA99" s="594">
        <f t="shared" si="72"/>
        <v>4.1250000000000002E-2</v>
      </c>
      <c r="BB99" s="594">
        <f t="shared" si="73"/>
        <v>100</v>
      </c>
      <c r="BC99" s="546">
        <v>113000000</v>
      </c>
      <c r="BD99" s="546">
        <v>0</v>
      </c>
      <c r="BE99" s="546">
        <v>113000000</v>
      </c>
      <c r="BF99" s="546">
        <v>0</v>
      </c>
      <c r="BG99" s="546">
        <v>0</v>
      </c>
      <c r="BH99" s="546">
        <v>0</v>
      </c>
      <c r="BI99" s="546">
        <v>0</v>
      </c>
      <c r="BJ99" s="546">
        <v>0</v>
      </c>
      <c r="BK99" s="723">
        <v>146326800</v>
      </c>
      <c r="BL99" s="722">
        <v>146326800</v>
      </c>
      <c r="BM99" s="722">
        <v>0</v>
      </c>
      <c r="BN99" s="722">
        <v>0</v>
      </c>
      <c r="BO99" s="722">
        <v>0</v>
      </c>
      <c r="BP99" s="722">
        <v>0</v>
      </c>
      <c r="BQ99" s="722">
        <v>0</v>
      </c>
      <c r="BR99" s="722">
        <v>0</v>
      </c>
      <c r="BS99" s="722">
        <v>0</v>
      </c>
      <c r="BT99" s="722">
        <v>0</v>
      </c>
      <c r="BU99" s="722">
        <v>0</v>
      </c>
      <c r="BV99" s="580">
        <f t="shared" si="74"/>
        <v>4.1250000000000002E-2</v>
      </c>
      <c r="BW99" s="588">
        <v>3750</v>
      </c>
      <c r="BX99" s="623">
        <f t="shared" si="75"/>
        <v>0.25</v>
      </c>
      <c r="BY99" s="607">
        <v>4150</v>
      </c>
      <c r="BZ99" s="629">
        <v>4150</v>
      </c>
      <c r="CA99" s="1017">
        <v>4150</v>
      </c>
      <c r="CB99" s="721">
        <f t="shared" si="76"/>
        <v>4150</v>
      </c>
      <c r="CC99" s="721">
        <f t="shared" si="77"/>
        <v>110.66666666666667</v>
      </c>
      <c r="CD99" s="720">
        <f t="shared" si="78"/>
        <v>100</v>
      </c>
      <c r="CE99" s="618">
        <f t="shared" si="79"/>
        <v>4.1250000000000002E-2</v>
      </c>
      <c r="CF99" s="719">
        <f t="shared" si="80"/>
        <v>100</v>
      </c>
      <c r="CG99" s="618">
        <f t="shared" si="81"/>
        <v>4.5650000000000003E-2</v>
      </c>
      <c r="CH99" s="718">
        <f t="shared" si="82"/>
        <v>4.1250000000000002E-2</v>
      </c>
      <c r="CI99" s="552">
        <v>3750</v>
      </c>
      <c r="CJ99" s="551">
        <f t="shared" si="83"/>
        <v>0.25</v>
      </c>
      <c r="CK99" s="874">
        <v>852</v>
      </c>
      <c r="CL99" s="533">
        <f t="shared" si="84"/>
        <v>2898</v>
      </c>
      <c r="CM99" s="619">
        <f t="shared" si="85"/>
        <v>852</v>
      </c>
      <c r="CN99" s="619">
        <f t="shared" si="86"/>
        <v>22.72</v>
      </c>
      <c r="CO99" s="549">
        <f t="shared" si="87"/>
        <v>22.72</v>
      </c>
      <c r="CP99" s="619">
        <f t="shared" si="88"/>
        <v>9.3720000000000001E-3</v>
      </c>
      <c r="CQ99" s="619">
        <f t="shared" si="89"/>
        <v>9.3720000000000001E-3</v>
      </c>
      <c r="CR99" s="546">
        <v>113000000</v>
      </c>
      <c r="CS99" s="546">
        <v>113000000</v>
      </c>
      <c r="CT99" s="546">
        <v>0</v>
      </c>
      <c r="CU99" s="546">
        <v>0</v>
      </c>
      <c r="CV99" s="546">
        <v>0</v>
      </c>
      <c r="CW99" s="546">
        <v>0</v>
      </c>
      <c r="CX99" s="546">
        <v>0</v>
      </c>
      <c r="CY99" s="546">
        <v>0</v>
      </c>
      <c r="CZ99" s="618">
        <v>0</v>
      </c>
      <c r="DA99" s="618">
        <v>0</v>
      </c>
      <c r="DB99" s="618">
        <v>0</v>
      </c>
      <c r="DC99" s="618">
        <v>0</v>
      </c>
      <c r="DD99" s="618">
        <v>0</v>
      </c>
      <c r="DE99" s="618">
        <v>0</v>
      </c>
      <c r="DF99" s="618">
        <v>0</v>
      </c>
      <c r="DG99" s="618">
        <v>0</v>
      </c>
      <c r="DH99" s="618">
        <v>0</v>
      </c>
      <c r="DI99" s="618">
        <v>0</v>
      </c>
      <c r="DJ99" s="618">
        <v>0</v>
      </c>
      <c r="DK99" s="1034">
        <f t="shared" si="90"/>
        <v>14632</v>
      </c>
      <c r="DL99" s="543">
        <f t="shared" si="91"/>
        <v>0.16500000000000001</v>
      </c>
      <c r="DM99" s="542">
        <f t="shared" si="92"/>
        <v>97.546666666666667</v>
      </c>
      <c r="DN99" s="594">
        <f t="shared" si="93"/>
        <v>97.546666666666667</v>
      </c>
      <c r="DO99" s="540">
        <f t="shared" si="94"/>
        <v>0.16095200000000001</v>
      </c>
      <c r="DP99" s="597">
        <f t="shared" si="100"/>
        <v>0.16095200000000001</v>
      </c>
      <c r="DQ99" s="538">
        <f t="shared" si="95"/>
        <v>0.16095200000000001</v>
      </c>
      <c r="DR99" s="617">
        <f t="shared" si="96"/>
        <v>1</v>
      </c>
      <c r="DS99" s="616">
        <f t="shared" si="97"/>
        <v>0</v>
      </c>
      <c r="DT99" s="259">
        <v>118</v>
      </c>
      <c r="DU99" s="260" t="s">
        <v>478</v>
      </c>
      <c r="DV99" s="259"/>
      <c r="DW99" s="260" t="s">
        <v>242</v>
      </c>
      <c r="DX99" s="259"/>
      <c r="DY99" s="259"/>
      <c r="DZ99" s="259"/>
      <c r="EA99" s="987"/>
      <c r="EB99" s="1041" t="s">
        <v>2445</v>
      </c>
      <c r="EC99" s="802">
        <v>113000000</v>
      </c>
      <c r="EE99" s="1047"/>
    </row>
    <row r="100" spans="4:135" s="534" customFormat="1" ht="60" hidden="1" x14ac:dyDescent="0.3">
      <c r="D100" s="783">
        <v>97</v>
      </c>
      <c r="E100" s="799">
        <v>130</v>
      </c>
      <c r="F100" s="787" t="s">
        <v>200</v>
      </c>
      <c r="G100" s="787" t="s">
        <v>3</v>
      </c>
      <c r="H100" s="788" t="s">
        <v>136</v>
      </c>
      <c r="I100" s="712" t="s">
        <v>346</v>
      </c>
      <c r="J100" s="573" t="s">
        <v>524</v>
      </c>
      <c r="K100" s="573" t="s">
        <v>525</v>
      </c>
      <c r="L100" s="702" t="s">
        <v>2257</v>
      </c>
      <c r="M100" s="570" t="s">
        <v>2017</v>
      </c>
      <c r="N100" s="570">
        <v>0</v>
      </c>
      <c r="O100" s="570">
        <f t="shared" si="99"/>
        <v>3</v>
      </c>
      <c r="P100" s="569">
        <v>3</v>
      </c>
      <c r="Q100" s="628">
        <v>8.8999999999999996E-2</v>
      </c>
      <c r="R100" s="580">
        <f t="shared" si="61"/>
        <v>0</v>
      </c>
      <c r="S100" s="708">
        <v>0</v>
      </c>
      <c r="T100" s="625">
        <f t="shared" si="62"/>
        <v>0</v>
      </c>
      <c r="U100" s="992">
        <v>0</v>
      </c>
      <c r="V100" s="626">
        <f t="shared" si="63"/>
        <v>0</v>
      </c>
      <c r="W100" s="594">
        <f t="shared" si="64"/>
        <v>0</v>
      </c>
      <c r="X100" s="594">
        <f t="shared" si="65"/>
        <v>0</v>
      </c>
      <c r="Y100" s="594">
        <f t="shared" si="98"/>
        <v>0</v>
      </c>
      <c r="Z100" s="594">
        <f t="shared" si="66"/>
        <v>0</v>
      </c>
      <c r="AA100" s="546">
        <v>0</v>
      </c>
      <c r="AB100" s="546">
        <v>0</v>
      </c>
      <c r="AC100" s="546">
        <v>0</v>
      </c>
      <c r="AD100" s="546">
        <v>0</v>
      </c>
      <c r="AE100" s="546">
        <v>0</v>
      </c>
      <c r="AF100" s="546">
        <v>0</v>
      </c>
      <c r="AG100" s="546">
        <v>0</v>
      </c>
      <c r="AH100" s="546">
        <v>0</v>
      </c>
      <c r="AI100" s="546">
        <v>0</v>
      </c>
      <c r="AJ100" s="546">
        <v>0</v>
      </c>
      <c r="AK100" s="546">
        <v>0</v>
      </c>
      <c r="AL100" s="546">
        <v>0</v>
      </c>
      <c r="AM100" s="546">
        <v>0</v>
      </c>
      <c r="AN100" s="546">
        <v>0</v>
      </c>
      <c r="AO100" s="546">
        <v>0</v>
      </c>
      <c r="AP100" s="546">
        <v>0</v>
      </c>
      <c r="AQ100" s="546">
        <v>0</v>
      </c>
      <c r="AR100" s="546">
        <v>0</v>
      </c>
      <c r="AS100" s="546">
        <v>0</v>
      </c>
      <c r="AT100" s="570">
        <f t="shared" si="67"/>
        <v>2.9666666666666664E-2</v>
      </c>
      <c r="AU100" s="570">
        <v>1</v>
      </c>
      <c r="AV100" s="625">
        <f t="shared" si="68"/>
        <v>0.33333333333333331</v>
      </c>
      <c r="AW100" s="1003">
        <v>0</v>
      </c>
      <c r="AX100" s="724">
        <f t="shared" si="69"/>
        <v>0</v>
      </c>
      <c r="AY100" s="724">
        <f t="shared" si="70"/>
        <v>0</v>
      </c>
      <c r="AZ100" s="724">
        <f t="shared" si="71"/>
        <v>0</v>
      </c>
      <c r="BA100" s="594">
        <f t="shared" si="72"/>
        <v>0</v>
      </c>
      <c r="BB100" s="594">
        <f t="shared" si="73"/>
        <v>0</v>
      </c>
      <c r="BC100" s="546">
        <v>52000000</v>
      </c>
      <c r="BD100" s="546">
        <v>0</v>
      </c>
      <c r="BE100" s="546">
        <v>52000000</v>
      </c>
      <c r="BF100" s="546">
        <v>0</v>
      </c>
      <c r="BG100" s="546">
        <v>0</v>
      </c>
      <c r="BH100" s="546">
        <v>0</v>
      </c>
      <c r="BI100" s="546">
        <v>0</v>
      </c>
      <c r="BJ100" s="546">
        <v>0</v>
      </c>
      <c r="BK100" s="723">
        <v>24609914</v>
      </c>
      <c r="BL100" s="722">
        <v>24609914</v>
      </c>
      <c r="BM100" s="722">
        <v>0</v>
      </c>
      <c r="BN100" s="722">
        <v>0</v>
      </c>
      <c r="BO100" s="722">
        <v>0</v>
      </c>
      <c r="BP100" s="722">
        <v>0</v>
      </c>
      <c r="BQ100" s="722">
        <v>0</v>
      </c>
      <c r="BR100" s="722">
        <v>0</v>
      </c>
      <c r="BS100" s="722">
        <v>0</v>
      </c>
      <c r="BT100" s="722">
        <v>0</v>
      </c>
      <c r="BU100" s="722">
        <v>0</v>
      </c>
      <c r="BV100" s="580">
        <f t="shared" si="74"/>
        <v>2.9666666666666664E-2</v>
      </c>
      <c r="BW100" s="588">
        <v>1</v>
      </c>
      <c r="BX100" s="623">
        <f t="shared" si="75"/>
        <v>0.33333333333333331</v>
      </c>
      <c r="BY100" s="607">
        <v>0</v>
      </c>
      <c r="BZ100" s="629">
        <v>0</v>
      </c>
      <c r="CA100" s="1017">
        <v>3</v>
      </c>
      <c r="CB100" s="721">
        <f t="shared" si="76"/>
        <v>3</v>
      </c>
      <c r="CC100" s="721">
        <f t="shared" si="77"/>
        <v>300</v>
      </c>
      <c r="CD100" s="720">
        <f t="shared" si="78"/>
        <v>100</v>
      </c>
      <c r="CE100" s="618">
        <f t="shared" si="79"/>
        <v>2.9666666666666664E-2</v>
      </c>
      <c r="CF100" s="719">
        <f t="shared" si="80"/>
        <v>100</v>
      </c>
      <c r="CG100" s="618">
        <f t="shared" si="81"/>
        <v>8.8999999999999982E-2</v>
      </c>
      <c r="CH100" s="718">
        <f t="shared" si="82"/>
        <v>2.9666666666666664E-2</v>
      </c>
      <c r="CI100" s="552">
        <v>1</v>
      </c>
      <c r="CJ100" s="551">
        <f t="shared" si="83"/>
        <v>0.33333333333333331</v>
      </c>
      <c r="CK100" s="874">
        <v>0</v>
      </c>
      <c r="CL100" s="533">
        <f t="shared" si="84"/>
        <v>1</v>
      </c>
      <c r="CM100" s="619">
        <f t="shared" si="85"/>
        <v>0</v>
      </c>
      <c r="CN100" s="619">
        <f t="shared" si="86"/>
        <v>0</v>
      </c>
      <c r="CO100" s="549">
        <f t="shared" si="87"/>
        <v>0</v>
      </c>
      <c r="CP100" s="619">
        <f t="shared" si="88"/>
        <v>0</v>
      </c>
      <c r="CQ100" s="619">
        <f t="shared" si="89"/>
        <v>0</v>
      </c>
      <c r="CR100" s="546">
        <v>52000000</v>
      </c>
      <c r="CS100" s="546">
        <v>52000000</v>
      </c>
      <c r="CT100" s="546">
        <v>0</v>
      </c>
      <c r="CU100" s="546">
        <v>0</v>
      </c>
      <c r="CV100" s="546">
        <v>0</v>
      </c>
      <c r="CW100" s="546">
        <v>0</v>
      </c>
      <c r="CX100" s="546">
        <v>0</v>
      </c>
      <c r="CY100" s="546">
        <v>0</v>
      </c>
      <c r="CZ100" s="618">
        <v>0</v>
      </c>
      <c r="DA100" s="618">
        <v>0</v>
      </c>
      <c r="DB100" s="618">
        <v>0</v>
      </c>
      <c r="DC100" s="618">
        <v>0</v>
      </c>
      <c r="DD100" s="618">
        <v>0</v>
      </c>
      <c r="DE100" s="618">
        <v>0</v>
      </c>
      <c r="DF100" s="618">
        <v>0</v>
      </c>
      <c r="DG100" s="618">
        <v>0</v>
      </c>
      <c r="DH100" s="618">
        <v>0</v>
      </c>
      <c r="DI100" s="618">
        <v>0</v>
      </c>
      <c r="DJ100" s="618">
        <v>0</v>
      </c>
      <c r="DK100" s="1034">
        <f t="shared" si="90"/>
        <v>3</v>
      </c>
      <c r="DL100" s="543">
        <f t="shared" si="91"/>
        <v>8.8999999999999996E-2</v>
      </c>
      <c r="DM100" s="542">
        <f t="shared" si="92"/>
        <v>100</v>
      </c>
      <c r="DN100" s="594">
        <f t="shared" si="93"/>
        <v>100</v>
      </c>
      <c r="DO100" s="540">
        <f t="shared" si="94"/>
        <v>8.900000000000001E-2</v>
      </c>
      <c r="DP100" s="597">
        <f t="shared" si="100"/>
        <v>8.8999999999999996E-2</v>
      </c>
      <c r="DQ100" s="538">
        <f t="shared" si="95"/>
        <v>8.8999999999999996E-2</v>
      </c>
      <c r="DR100" s="617">
        <f t="shared" si="96"/>
        <v>1</v>
      </c>
      <c r="DS100" s="616">
        <f t="shared" si="97"/>
        <v>0</v>
      </c>
      <c r="DT100" s="259">
        <v>118</v>
      </c>
      <c r="DU100" s="260" t="s">
        <v>478</v>
      </c>
      <c r="DV100" s="259"/>
      <c r="DW100" s="260" t="s">
        <v>242</v>
      </c>
      <c r="DX100" s="259"/>
      <c r="DY100" s="259"/>
      <c r="DZ100" s="259"/>
      <c r="EA100" s="987"/>
      <c r="EB100" s="1041" t="s">
        <v>2446</v>
      </c>
      <c r="EC100" s="802">
        <v>52000000</v>
      </c>
      <c r="EE100" s="1047"/>
    </row>
    <row r="101" spans="4:135" s="534" customFormat="1" ht="63.75" hidden="1" x14ac:dyDescent="0.3">
      <c r="D101" s="783">
        <v>98</v>
      </c>
      <c r="E101" s="799">
        <v>131</v>
      </c>
      <c r="F101" s="787" t="s">
        <v>200</v>
      </c>
      <c r="G101" s="787" t="s">
        <v>3</v>
      </c>
      <c r="H101" s="788" t="s">
        <v>136</v>
      </c>
      <c r="I101" s="712" t="s">
        <v>346</v>
      </c>
      <c r="J101" s="573" t="s">
        <v>526</v>
      </c>
      <c r="K101" s="573" t="s">
        <v>527</v>
      </c>
      <c r="L101" s="701" t="s">
        <v>2201</v>
      </c>
      <c r="M101" s="570" t="s">
        <v>2032</v>
      </c>
      <c r="N101" s="570">
        <v>0</v>
      </c>
      <c r="O101" s="570">
        <f>+P101</f>
        <v>100</v>
      </c>
      <c r="P101" s="569">
        <v>100</v>
      </c>
      <c r="Q101" s="628">
        <v>0.16500000000000001</v>
      </c>
      <c r="R101" s="580">
        <f t="shared" si="61"/>
        <v>4.1250000000000002E-2</v>
      </c>
      <c r="S101" s="708">
        <v>100</v>
      </c>
      <c r="T101" s="625">
        <f t="shared" ref="T101:T132" si="101">IF($M101="M",0.25,(IF($P101&gt;0,S101/$P101," ")))</f>
        <v>0.25</v>
      </c>
      <c r="U101" s="992">
        <v>100</v>
      </c>
      <c r="V101" s="626">
        <f t="shared" ref="V101:V132" si="102">+IF(M101="I",(+U101),IF(M101="M",(+U101)/4,))</f>
        <v>25</v>
      </c>
      <c r="W101" s="594">
        <f t="shared" ref="W101:W132" si="103">IF(S101=0,0,+U101*100/S101)</f>
        <v>100</v>
      </c>
      <c r="X101" s="594">
        <f t="shared" si="65"/>
        <v>100</v>
      </c>
      <c r="Y101" s="594">
        <f t="shared" si="98"/>
        <v>4.1250000000000002E-2</v>
      </c>
      <c r="Z101" s="594">
        <f t="shared" si="66"/>
        <v>100</v>
      </c>
      <c r="AA101" s="546">
        <v>2576000000</v>
      </c>
      <c r="AB101" s="546">
        <v>2576000000</v>
      </c>
      <c r="AC101" s="546">
        <v>0</v>
      </c>
      <c r="AD101" s="546">
        <v>0</v>
      </c>
      <c r="AE101" s="546">
        <v>0</v>
      </c>
      <c r="AF101" s="546">
        <v>0</v>
      </c>
      <c r="AG101" s="546">
        <v>0</v>
      </c>
      <c r="AH101" s="546">
        <v>0</v>
      </c>
      <c r="AI101" s="546">
        <v>3550954000</v>
      </c>
      <c r="AJ101" s="546">
        <v>3550954000</v>
      </c>
      <c r="AK101" s="546">
        <v>0</v>
      </c>
      <c r="AL101" s="546">
        <v>0</v>
      </c>
      <c r="AM101" s="546">
        <v>0</v>
      </c>
      <c r="AN101" s="546">
        <v>0</v>
      </c>
      <c r="AO101" s="546">
        <v>0</v>
      </c>
      <c r="AP101" s="546">
        <v>0</v>
      </c>
      <c r="AQ101" s="546">
        <v>0</v>
      </c>
      <c r="AR101" s="546">
        <v>0</v>
      </c>
      <c r="AS101" s="546">
        <v>0</v>
      </c>
      <c r="AT101" s="570">
        <f t="shared" si="67"/>
        <v>4.1250000000000002E-2</v>
      </c>
      <c r="AU101" s="570">
        <v>100</v>
      </c>
      <c r="AV101" s="625">
        <f t="shared" ref="AV101:AV132" si="104">IF($M101="M",0.25,(IF($P101&gt;0,AU101/$P101," ")))</f>
        <v>0.25</v>
      </c>
      <c r="AW101" s="1003">
        <v>100</v>
      </c>
      <c r="AX101" s="724">
        <f t="shared" ref="AX101:AX132" si="105">+IF(M101="I",(+AW101),IF(M101="M",(+AW101)/4,))</f>
        <v>25</v>
      </c>
      <c r="AY101" s="724">
        <f t="shared" ref="AY101:AY132" si="106">IF(AU101=0,0,+AW101*100/AU101)</f>
        <v>100</v>
      </c>
      <c r="AZ101" s="724">
        <f t="shared" si="71"/>
        <v>100</v>
      </c>
      <c r="BA101" s="594">
        <f t="shared" si="72"/>
        <v>4.1250000000000002E-2</v>
      </c>
      <c r="BB101" s="594">
        <f t="shared" si="73"/>
        <v>100</v>
      </c>
      <c r="BC101" s="546">
        <v>0</v>
      </c>
      <c r="BD101" s="546">
        <v>0</v>
      </c>
      <c r="BE101" s="546">
        <v>0</v>
      </c>
      <c r="BF101" s="546">
        <v>0</v>
      </c>
      <c r="BG101" s="546">
        <v>0</v>
      </c>
      <c r="BH101" s="546">
        <v>0</v>
      </c>
      <c r="BI101" s="546">
        <v>0</v>
      </c>
      <c r="BJ101" s="546">
        <v>0</v>
      </c>
      <c r="BK101" s="723">
        <v>1491651397</v>
      </c>
      <c r="BL101" s="722">
        <v>1491651397</v>
      </c>
      <c r="BM101" s="722">
        <v>0</v>
      </c>
      <c r="BN101" s="722">
        <v>0</v>
      </c>
      <c r="BO101" s="722">
        <v>0</v>
      </c>
      <c r="BP101" s="722">
        <v>0</v>
      </c>
      <c r="BQ101" s="722">
        <v>0</v>
      </c>
      <c r="BR101" s="722">
        <v>0</v>
      </c>
      <c r="BS101" s="722">
        <v>0</v>
      </c>
      <c r="BT101" s="722">
        <v>0</v>
      </c>
      <c r="BU101" s="722">
        <v>0</v>
      </c>
      <c r="BV101" s="580">
        <f t="shared" si="74"/>
        <v>4.1250000000000002E-2</v>
      </c>
      <c r="BW101" s="588">
        <v>100</v>
      </c>
      <c r="BX101" s="623">
        <f t="shared" ref="BX101:BX132" si="107">IF($M101="M",0.25,(IF($P101&gt;0,BW101/$P101," ")))</f>
        <v>0.25</v>
      </c>
      <c r="BY101" s="607">
        <v>75</v>
      </c>
      <c r="BZ101" s="629">
        <v>80</v>
      </c>
      <c r="CA101" s="1017">
        <v>100</v>
      </c>
      <c r="CB101" s="721">
        <f t="shared" ref="CB101:CB132" si="108">+IF(M101="I",(+CA101),IF(M101="M",(+CA101)/4,))</f>
        <v>25</v>
      </c>
      <c r="CC101" s="721">
        <f t="shared" ref="CC101:CC132" si="109">IF(BW101=0,0,+CA101*100/BW101)</f>
        <v>100</v>
      </c>
      <c r="CD101" s="720">
        <f t="shared" si="78"/>
        <v>100</v>
      </c>
      <c r="CE101" s="618">
        <f t="shared" si="79"/>
        <v>4.1250000000000002E-2</v>
      </c>
      <c r="CF101" s="719">
        <f t="shared" si="80"/>
        <v>100</v>
      </c>
      <c r="CG101" s="618">
        <f t="shared" si="81"/>
        <v>4.1250000000000002E-2</v>
      </c>
      <c r="CH101" s="718">
        <f t="shared" si="82"/>
        <v>4.1250000000000002E-2</v>
      </c>
      <c r="CI101" s="552">
        <v>100</v>
      </c>
      <c r="CJ101" s="551">
        <f t="shared" ref="CJ101:CJ132" si="110">IF($M101="M",0.25,(IF($P101&gt;0,CI101/$P101," ")))</f>
        <v>0.25</v>
      </c>
      <c r="CK101" s="874">
        <v>50</v>
      </c>
      <c r="CL101" s="533">
        <f t="shared" ref="CL101:CL132" si="111">+CI101-CK101</f>
        <v>50</v>
      </c>
      <c r="CM101" s="619">
        <f t="shared" ref="CM101:CM132" si="112">+IF(M101="I",(+CK101),IF(M101="M",(+CK101)/4,))</f>
        <v>12.5</v>
      </c>
      <c r="CN101" s="619">
        <f t="shared" ref="CN101:CN132" si="113">IF(CI101=0,0,+CK101*100/CI101)</f>
        <v>50</v>
      </c>
      <c r="CO101" s="619">
        <f t="shared" si="87"/>
        <v>50</v>
      </c>
      <c r="CP101" s="619">
        <f t="shared" si="88"/>
        <v>2.0625000000000001E-2</v>
      </c>
      <c r="CQ101" s="619">
        <f t="shared" si="89"/>
        <v>2.0625000000000001E-2</v>
      </c>
      <c r="CR101" s="546">
        <v>3134000000</v>
      </c>
      <c r="CS101" s="546">
        <v>3134000000</v>
      </c>
      <c r="CT101" s="546">
        <v>0</v>
      </c>
      <c r="CU101" s="546">
        <v>0</v>
      </c>
      <c r="CV101" s="546">
        <v>0</v>
      </c>
      <c r="CW101" s="546">
        <v>0</v>
      </c>
      <c r="CX101" s="546">
        <v>0</v>
      </c>
      <c r="CY101" s="546">
        <v>0</v>
      </c>
      <c r="CZ101" s="618">
        <v>0</v>
      </c>
      <c r="DA101" s="618">
        <v>0</v>
      </c>
      <c r="DB101" s="618">
        <v>0</v>
      </c>
      <c r="DC101" s="618">
        <v>0</v>
      </c>
      <c r="DD101" s="618">
        <v>0</v>
      </c>
      <c r="DE101" s="618">
        <v>0</v>
      </c>
      <c r="DF101" s="618">
        <v>0</v>
      </c>
      <c r="DG101" s="618">
        <v>0</v>
      </c>
      <c r="DH101" s="618">
        <v>0</v>
      </c>
      <c r="DI101" s="618">
        <v>0</v>
      </c>
      <c r="DJ101" s="618">
        <v>0</v>
      </c>
      <c r="DK101" s="1034">
        <f t="shared" ref="DK101:DK132" si="114">+IF(M101="I",(+U101+AW101+CA101+CK101),IF(M101="M",(+U101+AW101+CA101+CK101)/4,))</f>
        <v>87.5</v>
      </c>
      <c r="DL101" s="543">
        <f t="shared" si="91"/>
        <v>0.16500000000000001</v>
      </c>
      <c r="DM101" s="542">
        <f t="shared" si="92"/>
        <v>87.5</v>
      </c>
      <c r="DN101" s="594">
        <f t="shared" si="93"/>
        <v>87.5</v>
      </c>
      <c r="DO101" s="540">
        <f t="shared" si="94"/>
        <v>0.144375</v>
      </c>
      <c r="DP101" s="597">
        <f>+IF(M101="M",DO101,0)</f>
        <v>0.144375</v>
      </c>
      <c r="DQ101" s="538">
        <f t="shared" si="95"/>
        <v>0.144375</v>
      </c>
      <c r="DR101" s="617">
        <f t="shared" si="96"/>
        <v>1</v>
      </c>
      <c r="DS101" s="616">
        <f t="shared" si="97"/>
        <v>0</v>
      </c>
      <c r="DT101" s="259">
        <v>118</v>
      </c>
      <c r="DU101" s="260" t="s">
        <v>478</v>
      </c>
      <c r="DV101" s="259"/>
      <c r="DW101" s="260" t="s">
        <v>242</v>
      </c>
      <c r="DX101" s="259"/>
      <c r="DY101" s="259"/>
      <c r="DZ101" s="259"/>
      <c r="EA101" s="987"/>
      <c r="EB101" s="1041" t="s">
        <v>2447</v>
      </c>
      <c r="EC101" s="802">
        <v>0</v>
      </c>
      <c r="EE101" s="1047"/>
    </row>
    <row r="102" spans="4:135" s="534" customFormat="1" ht="60" hidden="1" x14ac:dyDescent="0.3">
      <c r="D102" s="783">
        <v>99</v>
      </c>
      <c r="E102" s="799">
        <v>132</v>
      </c>
      <c r="F102" s="787" t="s">
        <v>200</v>
      </c>
      <c r="G102" s="787" t="s">
        <v>3</v>
      </c>
      <c r="H102" s="788" t="s">
        <v>136</v>
      </c>
      <c r="I102" s="712" t="s">
        <v>346</v>
      </c>
      <c r="J102" s="573" t="s">
        <v>528</v>
      </c>
      <c r="K102" s="573" t="s">
        <v>529</v>
      </c>
      <c r="L102" s="702" t="s">
        <v>2256</v>
      </c>
      <c r="M102" s="570" t="s">
        <v>2017</v>
      </c>
      <c r="N102" s="570">
        <v>0</v>
      </c>
      <c r="O102" s="570">
        <f>+N102+P102</f>
        <v>2</v>
      </c>
      <c r="P102" s="569">
        <v>2</v>
      </c>
      <c r="Q102" s="628">
        <v>0.16500000000000001</v>
      </c>
      <c r="R102" s="580">
        <f t="shared" si="61"/>
        <v>8.2500000000000004E-2</v>
      </c>
      <c r="S102" s="708">
        <v>1</v>
      </c>
      <c r="T102" s="625">
        <f t="shared" si="101"/>
        <v>0.5</v>
      </c>
      <c r="U102" s="992">
        <v>1</v>
      </c>
      <c r="V102" s="626">
        <f t="shared" si="102"/>
        <v>1</v>
      </c>
      <c r="W102" s="594">
        <f t="shared" si="103"/>
        <v>100</v>
      </c>
      <c r="X102" s="594">
        <f t="shared" si="65"/>
        <v>100</v>
      </c>
      <c r="Y102" s="594">
        <f t="shared" si="98"/>
        <v>8.2500000000000004E-2</v>
      </c>
      <c r="Z102" s="594">
        <f t="shared" si="66"/>
        <v>100</v>
      </c>
      <c r="AA102" s="546">
        <v>1578000000</v>
      </c>
      <c r="AB102" s="546">
        <v>1578000000</v>
      </c>
      <c r="AC102" s="546">
        <v>0</v>
      </c>
      <c r="AD102" s="546">
        <v>0</v>
      </c>
      <c r="AE102" s="546">
        <v>0</v>
      </c>
      <c r="AF102" s="546">
        <v>0</v>
      </c>
      <c r="AG102" s="546">
        <v>0</v>
      </c>
      <c r="AH102" s="546">
        <v>0</v>
      </c>
      <c r="AI102" s="546">
        <v>2334475000</v>
      </c>
      <c r="AJ102" s="546">
        <v>2334475000</v>
      </c>
      <c r="AK102" s="546">
        <v>0</v>
      </c>
      <c r="AL102" s="546">
        <v>0</v>
      </c>
      <c r="AM102" s="546">
        <v>0</v>
      </c>
      <c r="AN102" s="546">
        <v>0</v>
      </c>
      <c r="AO102" s="546">
        <v>0</v>
      </c>
      <c r="AP102" s="546">
        <v>0</v>
      </c>
      <c r="AQ102" s="546">
        <v>0</v>
      </c>
      <c r="AR102" s="546">
        <v>0</v>
      </c>
      <c r="AS102" s="546">
        <v>0</v>
      </c>
      <c r="AT102" s="570">
        <f t="shared" si="67"/>
        <v>0</v>
      </c>
      <c r="AU102" s="570">
        <v>0</v>
      </c>
      <c r="AV102" s="625">
        <f t="shared" si="104"/>
        <v>0</v>
      </c>
      <c r="AW102" s="1003">
        <v>0</v>
      </c>
      <c r="AX102" s="724">
        <f t="shared" si="105"/>
        <v>0</v>
      </c>
      <c r="AY102" s="724">
        <f t="shared" si="106"/>
        <v>0</v>
      </c>
      <c r="AZ102" s="724">
        <f t="shared" si="71"/>
        <v>0</v>
      </c>
      <c r="BA102" s="594">
        <f t="shared" si="72"/>
        <v>0</v>
      </c>
      <c r="BB102" s="594">
        <f t="shared" si="73"/>
        <v>0</v>
      </c>
      <c r="BC102" s="546">
        <v>0</v>
      </c>
      <c r="BD102" s="546">
        <v>0</v>
      </c>
      <c r="BE102" s="546">
        <v>0</v>
      </c>
      <c r="BF102" s="546">
        <v>0</v>
      </c>
      <c r="BG102" s="546">
        <v>0</v>
      </c>
      <c r="BH102" s="546">
        <v>0</v>
      </c>
      <c r="BI102" s="546">
        <v>0</v>
      </c>
      <c r="BJ102" s="546">
        <v>0</v>
      </c>
      <c r="BK102" s="723">
        <v>0</v>
      </c>
      <c r="BL102" s="722">
        <v>0</v>
      </c>
      <c r="BM102" s="722">
        <v>0</v>
      </c>
      <c r="BN102" s="722">
        <v>0</v>
      </c>
      <c r="BO102" s="722">
        <v>0</v>
      </c>
      <c r="BP102" s="722">
        <v>0</v>
      </c>
      <c r="BQ102" s="722">
        <v>0</v>
      </c>
      <c r="BR102" s="722">
        <v>0</v>
      </c>
      <c r="BS102" s="722">
        <v>0</v>
      </c>
      <c r="BT102" s="722">
        <v>0</v>
      </c>
      <c r="BU102" s="722">
        <v>0</v>
      </c>
      <c r="BV102" s="580">
        <f t="shared" si="74"/>
        <v>0</v>
      </c>
      <c r="BW102" s="588">
        <v>0</v>
      </c>
      <c r="BX102" s="623">
        <f t="shared" si="107"/>
        <v>0</v>
      </c>
      <c r="BY102" s="717">
        <v>0</v>
      </c>
      <c r="BZ102" s="716">
        <v>0</v>
      </c>
      <c r="CA102" s="1019">
        <v>0</v>
      </c>
      <c r="CB102" s="721">
        <f t="shared" si="108"/>
        <v>0</v>
      </c>
      <c r="CC102" s="721">
        <f t="shared" si="109"/>
        <v>0</v>
      </c>
      <c r="CD102" s="720">
        <f t="shared" si="78"/>
        <v>0</v>
      </c>
      <c r="CE102" s="618">
        <f t="shared" si="79"/>
        <v>0</v>
      </c>
      <c r="CF102" s="719">
        <f t="shared" si="80"/>
        <v>0</v>
      </c>
      <c r="CG102" s="618">
        <f t="shared" si="81"/>
        <v>0</v>
      </c>
      <c r="CH102" s="718">
        <f t="shared" si="82"/>
        <v>8.2500000000000004E-2</v>
      </c>
      <c r="CI102" s="552">
        <v>1</v>
      </c>
      <c r="CJ102" s="551">
        <f t="shared" si="110"/>
        <v>0.5</v>
      </c>
      <c r="CK102" s="875">
        <v>0</v>
      </c>
      <c r="CL102" s="533">
        <f t="shared" si="111"/>
        <v>1</v>
      </c>
      <c r="CM102" s="619">
        <f t="shared" si="112"/>
        <v>0</v>
      </c>
      <c r="CN102" s="619">
        <f t="shared" si="113"/>
        <v>0</v>
      </c>
      <c r="CO102" s="549">
        <f t="shared" si="87"/>
        <v>0</v>
      </c>
      <c r="CP102" s="619">
        <f t="shared" si="88"/>
        <v>0</v>
      </c>
      <c r="CQ102" s="619">
        <f t="shared" si="89"/>
        <v>0</v>
      </c>
      <c r="CR102" s="546">
        <v>1625000000</v>
      </c>
      <c r="CS102" s="546">
        <v>1625000000</v>
      </c>
      <c r="CT102" s="546">
        <v>0</v>
      </c>
      <c r="CU102" s="546">
        <v>0</v>
      </c>
      <c r="CV102" s="546">
        <v>0</v>
      </c>
      <c r="CW102" s="546">
        <v>0</v>
      </c>
      <c r="CX102" s="546">
        <v>0</v>
      </c>
      <c r="CY102" s="546">
        <v>0</v>
      </c>
      <c r="CZ102" s="618">
        <v>0</v>
      </c>
      <c r="DA102" s="618">
        <v>0</v>
      </c>
      <c r="DB102" s="618">
        <v>0</v>
      </c>
      <c r="DC102" s="618">
        <v>0</v>
      </c>
      <c r="DD102" s="618">
        <v>0</v>
      </c>
      <c r="DE102" s="618">
        <v>0</v>
      </c>
      <c r="DF102" s="618">
        <v>0</v>
      </c>
      <c r="DG102" s="618">
        <v>0</v>
      </c>
      <c r="DH102" s="618">
        <v>0</v>
      </c>
      <c r="DI102" s="618">
        <v>0</v>
      </c>
      <c r="DJ102" s="618">
        <v>0</v>
      </c>
      <c r="DK102" s="1034">
        <f t="shared" si="114"/>
        <v>1</v>
      </c>
      <c r="DL102" s="543">
        <f t="shared" si="91"/>
        <v>0.16500000000000001</v>
      </c>
      <c r="DM102" s="542">
        <f t="shared" si="92"/>
        <v>50</v>
      </c>
      <c r="DN102" s="594">
        <f t="shared" si="93"/>
        <v>50</v>
      </c>
      <c r="DO102" s="540">
        <f t="shared" si="94"/>
        <v>8.2500000000000004E-2</v>
      </c>
      <c r="DP102" s="597">
        <f>+IF(((DN102*Q102)/100)&lt;Q102, ((DN102*Q102)/100),Q102)</f>
        <v>8.2500000000000004E-2</v>
      </c>
      <c r="DQ102" s="538">
        <f t="shared" si="95"/>
        <v>8.2500000000000004E-2</v>
      </c>
      <c r="DR102" s="617">
        <f t="shared" si="96"/>
        <v>1</v>
      </c>
      <c r="DS102" s="616">
        <f t="shared" si="97"/>
        <v>0</v>
      </c>
      <c r="DT102" s="259">
        <v>118</v>
      </c>
      <c r="DU102" s="260" t="s">
        <v>478</v>
      </c>
      <c r="DV102" s="259"/>
      <c r="DW102" s="260" t="s">
        <v>242</v>
      </c>
      <c r="DX102" s="259"/>
      <c r="DY102" s="259"/>
      <c r="DZ102" s="259"/>
      <c r="EA102" s="987"/>
      <c r="EB102" s="1041" t="s">
        <v>242</v>
      </c>
      <c r="EC102" s="802">
        <v>0</v>
      </c>
      <c r="EE102" s="1047"/>
    </row>
    <row r="103" spans="4:135" s="534" customFormat="1" ht="60" hidden="1" x14ac:dyDescent="0.3">
      <c r="D103" s="783">
        <v>100</v>
      </c>
      <c r="E103" s="799">
        <v>133</v>
      </c>
      <c r="F103" s="787" t="s">
        <v>200</v>
      </c>
      <c r="G103" s="787" t="s">
        <v>3</v>
      </c>
      <c r="H103" s="788" t="s">
        <v>136</v>
      </c>
      <c r="I103" s="712" t="s">
        <v>346</v>
      </c>
      <c r="J103" s="573" t="s">
        <v>530</v>
      </c>
      <c r="K103" s="573" t="s">
        <v>531</v>
      </c>
      <c r="L103" s="702" t="s">
        <v>1682</v>
      </c>
      <c r="M103" s="570" t="s">
        <v>2032</v>
      </c>
      <c r="N103" s="570">
        <v>80</v>
      </c>
      <c r="O103" s="570">
        <f>+P103</f>
        <v>100</v>
      </c>
      <c r="P103" s="569">
        <v>100</v>
      </c>
      <c r="Q103" s="628">
        <v>0.16500000000000001</v>
      </c>
      <c r="R103" s="580">
        <f t="shared" si="61"/>
        <v>4.1250000000000002E-2</v>
      </c>
      <c r="S103" s="708">
        <v>100</v>
      </c>
      <c r="T103" s="625">
        <f t="shared" si="101"/>
        <v>0.25</v>
      </c>
      <c r="U103" s="992">
        <v>108</v>
      </c>
      <c r="V103" s="626">
        <f t="shared" si="102"/>
        <v>27</v>
      </c>
      <c r="W103" s="594">
        <f t="shared" si="103"/>
        <v>108</v>
      </c>
      <c r="X103" s="594">
        <f t="shared" si="65"/>
        <v>100</v>
      </c>
      <c r="Y103" s="594">
        <f t="shared" si="98"/>
        <v>4.1250000000000002E-2</v>
      </c>
      <c r="Z103" s="594">
        <f t="shared" si="66"/>
        <v>100</v>
      </c>
      <c r="AA103" s="546">
        <v>676000000</v>
      </c>
      <c r="AB103" s="546">
        <v>676000000</v>
      </c>
      <c r="AC103" s="546">
        <v>0</v>
      </c>
      <c r="AD103" s="546">
        <v>0</v>
      </c>
      <c r="AE103" s="546">
        <v>0</v>
      </c>
      <c r="AF103" s="546">
        <v>0</v>
      </c>
      <c r="AG103" s="546">
        <v>0</v>
      </c>
      <c r="AH103" s="546">
        <v>0</v>
      </c>
      <c r="AI103" s="546">
        <v>704435000</v>
      </c>
      <c r="AJ103" s="546">
        <v>704435000</v>
      </c>
      <c r="AK103" s="546">
        <v>0</v>
      </c>
      <c r="AL103" s="546">
        <v>0</v>
      </c>
      <c r="AM103" s="546">
        <v>0</v>
      </c>
      <c r="AN103" s="546">
        <v>0</v>
      </c>
      <c r="AO103" s="546">
        <v>0</v>
      </c>
      <c r="AP103" s="546">
        <v>0</v>
      </c>
      <c r="AQ103" s="546">
        <v>0</v>
      </c>
      <c r="AR103" s="546">
        <v>0</v>
      </c>
      <c r="AS103" s="546">
        <v>0</v>
      </c>
      <c r="AT103" s="570">
        <f t="shared" si="67"/>
        <v>4.1250000000000002E-2</v>
      </c>
      <c r="AU103" s="570">
        <v>100</v>
      </c>
      <c r="AV103" s="625">
        <f t="shared" si="104"/>
        <v>0.25</v>
      </c>
      <c r="AW103" s="1003">
        <v>168</v>
      </c>
      <c r="AX103" s="724">
        <f t="shared" si="105"/>
        <v>42</v>
      </c>
      <c r="AY103" s="724">
        <f t="shared" si="106"/>
        <v>168</v>
      </c>
      <c r="AZ103" s="724">
        <f t="shared" si="71"/>
        <v>100</v>
      </c>
      <c r="BA103" s="594">
        <f t="shared" si="72"/>
        <v>4.1250000000000002E-2</v>
      </c>
      <c r="BB103" s="594">
        <f t="shared" si="73"/>
        <v>100</v>
      </c>
      <c r="BC103" s="546">
        <v>720000000</v>
      </c>
      <c r="BD103" s="546">
        <v>0</v>
      </c>
      <c r="BE103" s="546">
        <v>720000000</v>
      </c>
      <c r="BF103" s="546">
        <v>0</v>
      </c>
      <c r="BG103" s="546">
        <v>0</v>
      </c>
      <c r="BH103" s="546">
        <v>0</v>
      </c>
      <c r="BI103" s="546">
        <v>0</v>
      </c>
      <c r="BJ103" s="546">
        <v>0</v>
      </c>
      <c r="BK103" s="723">
        <v>764697950</v>
      </c>
      <c r="BL103" s="722">
        <v>764697950</v>
      </c>
      <c r="BM103" s="722">
        <v>0</v>
      </c>
      <c r="BN103" s="722">
        <v>0</v>
      </c>
      <c r="BO103" s="722">
        <v>0</v>
      </c>
      <c r="BP103" s="722">
        <v>0</v>
      </c>
      <c r="BQ103" s="722">
        <v>0</v>
      </c>
      <c r="BR103" s="722">
        <v>0</v>
      </c>
      <c r="BS103" s="722">
        <v>0</v>
      </c>
      <c r="BT103" s="722">
        <v>0</v>
      </c>
      <c r="BU103" s="722">
        <v>0</v>
      </c>
      <c r="BV103" s="580">
        <f t="shared" si="74"/>
        <v>4.1250000000000002E-2</v>
      </c>
      <c r="BW103" s="588">
        <v>100</v>
      </c>
      <c r="BX103" s="623">
        <f t="shared" si="107"/>
        <v>0.25</v>
      </c>
      <c r="BY103" s="607">
        <v>166</v>
      </c>
      <c r="BZ103" s="629">
        <v>166</v>
      </c>
      <c r="CA103" s="1017">
        <v>166</v>
      </c>
      <c r="CB103" s="721">
        <f t="shared" si="108"/>
        <v>41.5</v>
      </c>
      <c r="CC103" s="721">
        <f t="shared" si="109"/>
        <v>166</v>
      </c>
      <c r="CD103" s="720">
        <f t="shared" si="78"/>
        <v>100</v>
      </c>
      <c r="CE103" s="618">
        <f t="shared" si="79"/>
        <v>4.1250000000000002E-2</v>
      </c>
      <c r="CF103" s="719">
        <f t="shared" si="80"/>
        <v>100</v>
      </c>
      <c r="CG103" s="618">
        <f t="shared" si="81"/>
        <v>6.8475000000000008E-2</v>
      </c>
      <c r="CH103" s="718">
        <f t="shared" si="82"/>
        <v>4.1250000000000002E-2</v>
      </c>
      <c r="CI103" s="552">
        <v>100</v>
      </c>
      <c r="CJ103" s="551">
        <f t="shared" si="110"/>
        <v>0.25</v>
      </c>
      <c r="CK103" s="874">
        <v>6</v>
      </c>
      <c r="CL103" s="533">
        <f t="shared" si="111"/>
        <v>94</v>
      </c>
      <c r="CM103" s="619">
        <f t="shared" si="112"/>
        <v>1.5</v>
      </c>
      <c r="CN103" s="619">
        <f t="shared" si="113"/>
        <v>6</v>
      </c>
      <c r="CO103" s="619">
        <f t="shared" si="87"/>
        <v>6</v>
      </c>
      <c r="CP103" s="619">
        <f t="shared" si="88"/>
        <v>2.4749999999999998E-3</v>
      </c>
      <c r="CQ103" s="619">
        <f t="shared" si="89"/>
        <v>2.4749999999999998E-3</v>
      </c>
      <c r="CR103" s="546">
        <v>720000000</v>
      </c>
      <c r="CS103" s="546">
        <v>720000000</v>
      </c>
      <c r="CT103" s="546">
        <v>0</v>
      </c>
      <c r="CU103" s="546">
        <v>0</v>
      </c>
      <c r="CV103" s="546">
        <v>0</v>
      </c>
      <c r="CW103" s="546">
        <v>0</v>
      </c>
      <c r="CX103" s="546">
        <v>0</v>
      </c>
      <c r="CY103" s="546">
        <v>0</v>
      </c>
      <c r="CZ103" s="618">
        <v>0</v>
      </c>
      <c r="DA103" s="618">
        <v>0</v>
      </c>
      <c r="DB103" s="618">
        <v>0</v>
      </c>
      <c r="DC103" s="618">
        <v>0</v>
      </c>
      <c r="DD103" s="618">
        <v>0</v>
      </c>
      <c r="DE103" s="618">
        <v>0</v>
      </c>
      <c r="DF103" s="618">
        <v>0</v>
      </c>
      <c r="DG103" s="618">
        <v>0</v>
      </c>
      <c r="DH103" s="618">
        <v>0</v>
      </c>
      <c r="DI103" s="618">
        <v>0</v>
      </c>
      <c r="DJ103" s="618">
        <v>0</v>
      </c>
      <c r="DK103" s="1034">
        <f t="shared" si="114"/>
        <v>112</v>
      </c>
      <c r="DL103" s="543">
        <f t="shared" si="91"/>
        <v>0.16500000000000001</v>
      </c>
      <c r="DM103" s="542">
        <f t="shared" si="92"/>
        <v>112</v>
      </c>
      <c r="DN103" s="594">
        <f t="shared" si="93"/>
        <v>100</v>
      </c>
      <c r="DO103" s="540">
        <f t="shared" si="94"/>
        <v>0.16500000000000001</v>
      </c>
      <c r="DP103" s="597">
        <f>+IF(M103="M",DO103,0)</f>
        <v>0.16500000000000001</v>
      </c>
      <c r="DQ103" s="538">
        <f t="shared" si="95"/>
        <v>0.16500000000000001</v>
      </c>
      <c r="DR103" s="617">
        <f t="shared" si="96"/>
        <v>1</v>
      </c>
      <c r="DS103" s="616">
        <f t="shared" si="97"/>
        <v>0</v>
      </c>
      <c r="DT103" s="259">
        <v>118</v>
      </c>
      <c r="DU103" s="260" t="s">
        <v>478</v>
      </c>
      <c r="DV103" s="259"/>
      <c r="DW103" s="260" t="s">
        <v>242</v>
      </c>
      <c r="DX103" s="259"/>
      <c r="DY103" s="259"/>
      <c r="DZ103" s="259"/>
      <c r="EA103" s="987"/>
      <c r="EB103" s="1041" t="s">
        <v>2448</v>
      </c>
      <c r="EC103" s="802">
        <v>720000000</v>
      </c>
      <c r="EE103" s="1047"/>
    </row>
    <row r="104" spans="4:135" s="534" customFormat="1" ht="60" hidden="1" x14ac:dyDescent="0.3">
      <c r="D104" s="783">
        <v>101</v>
      </c>
      <c r="E104" s="799">
        <v>134</v>
      </c>
      <c r="F104" s="787" t="s">
        <v>200</v>
      </c>
      <c r="G104" s="787" t="s">
        <v>3</v>
      </c>
      <c r="H104" s="788" t="s">
        <v>136</v>
      </c>
      <c r="I104" s="712" t="s">
        <v>346</v>
      </c>
      <c r="J104" s="573" t="s">
        <v>532</v>
      </c>
      <c r="K104" s="573" t="s">
        <v>533</v>
      </c>
      <c r="L104" s="702" t="s">
        <v>1682</v>
      </c>
      <c r="M104" s="570" t="s">
        <v>2017</v>
      </c>
      <c r="N104" s="570">
        <v>0</v>
      </c>
      <c r="O104" s="570">
        <f>+N104+P104</f>
        <v>5220</v>
      </c>
      <c r="P104" s="569">
        <v>5220</v>
      </c>
      <c r="Q104" s="628">
        <v>0.16500000000000001</v>
      </c>
      <c r="R104" s="580">
        <f t="shared" si="61"/>
        <v>4.1250000000000002E-2</v>
      </c>
      <c r="S104" s="708">
        <v>1305</v>
      </c>
      <c r="T104" s="625">
        <f t="shared" si="101"/>
        <v>0.25</v>
      </c>
      <c r="U104" s="992">
        <v>2174</v>
      </c>
      <c r="V104" s="626">
        <f t="shared" si="102"/>
        <v>2174</v>
      </c>
      <c r="W104" s="594">
        <f t="shared" si="103"/>
        <v>166.59003831417624</v>
      </c>
      <c r="X104" s="594">
        <f t="shared" si="65"/>
        <v>100</v>
      </c>
      <c r="Y104" s="594">
        <f t="shared" si="98"/>
        <v>4.1250000000000002E-2</v>
      </c>
      <c r="Z104" s="594">
        <f t="shared" si="66"/>
        <v>100</v>
      </c>
      <c r="AA104" s="546">
        <v>139000000</v>
      </c>
      <c r="AB104" s="546">
        <v>2000000</v>
      </c>
      <c r="AC104" s="546">
        <v>0</v>
      </c>
      <c r="AD104" s="546">
        <v>0</v>
      </c>
      <c r="AE104" s="546">
        <v>0</v>
      </c>
      <c r="AF104" s="546">
        <v>0</v>
      </c>
      <c r="AG104" s="546">
        <v>0</v>
      </c>
      <c r="AH104" s="546">
        <v>137000000</v>
      </c>
      <c r="AI104" s="546">
        <v>139000000</v>
      </c>
      <c r="AJ104" s="546">
        <v>2000000</v>
      </c>
      <c r="AK104" s="546">
        <v>0</v>
      </c>
      <c r="AL104" s="546">
        <v>137000000</v>
      </c>
      <c r="AM104" s="546">
        <v>0</v>
      </c>
      <c r="AN104" s="546">
        <v>0</v>
      </c>
      <c r="AO104" s="546">
        <v>0</v>
      </c>
      <c r="AP104" s="546">
        <v>0</v>
      </c>
      <c r="AQ104" s="546">
        <v>0</v>
      </c>
      <c r="AR104" s="546">
        <v>0</v>
      </c>
      <c r="AS104" s="546">
        <v>0</v>
      </c>
      <c r="AT104" s="570">
        <f t="shared" si="67"/>
        <v>4.1250000000000002E-2</v>
      </c>
      <c r="AU104" s="570">
        <v>1305</v>
      </c>
      <c r="AV104" s="625">
        <f t="shared" si="104"/>
        <v>0.25</v>
      </c>
      <c r="AW104" s="1003">
        <v>1453</v>
      </c>
      <c r="AX104" s="724">
        <f t="shared" si="105"/>
        <v>1453</v>
      </c>
      <c r="AY104" s="724">
        <f t="shared" si="106"/>
        <v>111.34099616858238</v>
      </c>
      <c r="AZ104" s="724">
        <f t="shared" si="71"/>
        <v>100</v>
      </c>
      <c r="BA104" s="594">
        <f t="shared" si="72"/>
        <v>4.1250000000000002E-2</v>
      </c>
      <c r="BB104" s="594">
        <f t="shared" si="73"/>
        <v>100</v>
      </c>
      <c r="BC104" s="546">
        <v>260000000</v>
      </c>
      <c r="BD104" s="546">
        <v>0</v>
      </c>
      <c r="BE104" s="546">
        <v>0</v>
      </c>
      <c r="BF104" s="546">
        <v>0</v>
      </c>
      <c r="BG104" s="546">
        <v>0</v>
      </c>
      <c r="BH104" s="546">
        <v>0</v>
      </c>
      <c r="BI104" s="546">
        <v>0</v>
      </c>
      <c r="BJ104" s="546">
        <v>260000000</v>
      </c>
      <c r="BK104" s="723">
        <v>198008110</v>
      </c>
      <c r="BL104" s="722">
        <v>0</v>
      </c>
      <c r="BM104" s="722">
        <v>0</v>
      </c>
      <c r="BN104" s="722">
        <v>198008110</v>
      </c>
      <c r="BO104" s="722">
        <v>0</v>
      </c>
      <c r="BP104" s="722">
        <v>0</v>
      </c>
      <c r="BQ104" s="722">
        <v>0</v>
      </c>
      <c r="BR104" s="722">
        <v>0</v>
      </c>
      <c r="BS104" s="722">
        <v>0</v>
      </c>
      <c r="BT104" s="722">
        <v>0</v>
      </c>
      <c r="BU104" s="722">
        <v>0</v>
      </c>
      <c r="BV104" s="580">
        <f t="shared" si="74"/>
        <v>4.362068965517242E-2</v>
      </c>
      <c r="BW104" s="588">
        <v>1380</v>
      </c>
      <c r="BX104" s="623">
        <f t="shared" si="107"/>
        <v>0.26436781609195403</v>
      </c>
      <c r="BY104" s="607">
        <v>1612</v>
      </c>
      <c r="BZ104" s="629">
        <v>1612</v>
      </c>
      <c r="CA104" s="1017">
        <v>1612</v>
      </c>
      <c r="CB104" s="721">
        <f t="shared" si="108"/>
        <v>1612</v>
      </c>
      <c r="CC104" s="721">
        <f t="shared" si="109"/>
        <v>116.81159420289855</v>
      </c>
      <c r="CD104" s="720">
        <f t="shared" si="78"/>
        <v>100</v>
      </c>
      <c r="CE104" s="618">
        <f t="shared" si="79"/>
        <v>4.362068965517242E-2</v>
      </c>
      <c r="CF104" s="719">
        <f t="shared" si="80"/>
        <v>100</v>
      </c>
      <c r="CG104" s="618">
        <f t="shared" si="81"/>
        <v>5.0954022988505751E-2</v>
      </c>
      <c r="CH104" s="718">
        <f t="shared" si="82"/>
        <v>3.8879310344827583E-2</v>
      </c>
      <c r="CI104" s="552">
        <v>1230</v>
      </c>
      <c r="CJ104" s="551">
        <f t="shared" si="110"/>
        <v>0.23563218390804597</v>
      </c>
      <c r="CK104" s="874">
        <v>0</v>
      </c>
      <c r="CL104" s="533">
        <f t="shared" si="111"/>
        <v>1230</v>
      </c>
      <c r="CM104" s="619">
        <f t="shared" si="112"/>
        <v>0</v>
      </c>
      <c r="CN104" s="619">
        <f t="shared" si="113"/>
        <v>0</v>
      </c>
      <c r="CO104" s="549">
        <f t="shared" si="87"/>
        <v>0</v>
      </c>
      <c r="CP104" s="619">
        <f t="shared" si="88"/>
        <v>0</v>
      </c>
      <c r="CQ104" s="619">
        <f t="shared" si="89"/>
        <v>0</v>
      </c>
      <c r="CR104" s="546">
        <v>287000000</v>
      </c>
      <c r="CS104" s="546">
        <v>0</v>
      </c>
      <c r="CT104" s="546">
        <v>0</v>
      </c>
      <c r="CU104" s="546">
        <v>0</v>
      </c>
      <c r="CV104" s="546">
        <v>0</v>
      </c>
      <c r="CW104" s="546">
        <v>0</v>
      </c>
      <c r="CX104" s="546">
        <v>0</v>
      </c>
      <c r="CY104" s="546">
        <v>287000000</v>
      </c>
      <c r="CZ104" s="618">
        <v>0</v>
      </c>
      <c r="DA104" s="618">
        <v>0</v>
      </c>
      <c r="DB104" s="618">
        <v>0</v>
      </c>
      <c r="DC104" s="618">
        <v>0</v>
      </c>
      <c r="DD104" s="618">
        <v>0</v>
      </c>
      <c r="DE104" s="618">
        <v>0</v>
      </c>
      <c r="DF104" s="618">
        <v>0</v>
      </c>
      <c r="DG104" s="618">
        <v>0</v>
      </c>
      <c r="DH104" s="618">
        <v>0</v>
      </c>
      <c r="DI104" s="618">
        <v>0</v>
      </c>
      <c r="DJ104" s="618">
        <v>0</v>
      </c>
      <c r="DK104" s="1034">
        <f t="shared" si="114"/>
        <v>5239</v>
      </c>
      <c r="DL104" s="543">
        <f t="shared" si="91"/>
        <v>0.16500000000000001</v>
      </c>
      <c r="DM104" s="542">
        <f t="shared" si="92"/>
        <v>100.3639846743295</v>
      </c>
      <c r="DN104" s="594">
        <f t="shared" si="93"/>
        <v>100</v>
      </c>
      <c r="DO104" s="540">
        <f t="shared" si="94"/>
        <v>0.16500000000000001</v>
      </c>
      <c r="DP104" s="597">
        <f>+IF(((DN104*Q104)/100)&lt;Q104, ((DN104*Q104)/100),Q104)</f>
        <v>0.16500000000000001</v>
      </c>
      <c r="DQ104" s="538">
        <f t="shared" si="95"/>
        <v>0.16500000000000001</v>
      </c>
      <c r="DR104" s="617">
        <f t="shared" si="96"/>
        <v>1</v>
      </c>
      <c r="DS104" s="616">
        <f t="shared" si="97"/>
        <v>0</v>
      </c>
      <c r="DT104" s="259">
        <v>118</v>
      </c>
      <c r="DU104" s="260" t="s">
        <v>478</v>
      </c>
      <c r="DV104" s="259"/>
      <c r="DW104" s="260" t="s">
        <v>242</v>
      </c>
      <c r="DX104" s="259"/>
      <c r="DY104" s="259"/>
      <c r="DZ104" s="259"/>
      <c r="EA104" s="987"/>
      <c r="EB104" s="1041" t="s">
        <v>2390</v>
      </c>
      <c r="EC104" s="802">
        <v>273000000</v>
      </c>
      <c r="EE104" s="1047"/>
    </row>
    <row r="105" spans="4:135" s="534" customFormat="1" ht="127.5" hidden="1" x14ac:dyDescent="0.3">
      <c r="D105" s="783">
        <v>102</v>
      </c>
      <c r="E105" s="799">
        <v>135</v>
      </c>
      <c r="F105" s="574" t="s">
        <v>200</v>
      </c>
      <c r="G105" s="574" t="s">
        <v>239</v>
      </c>
      <c r="H105" s="574" t="s">
        <v>136</v>
      </c>
      <c r="I105" s="574" t="s">
        <v>346</v>
      </c>
      <c r="J105" s="573" t="s">
        <v>1426</v>
      </c>
      <c r="K105" s="573" t="s">
        <v>534</v>
      </c>
      <c r="L105" s="702" t="s">
        <v>2247</v>
      </c>
      <c r="M105" s="570" t="s">
        <v>2017</v>
      </c>
      <c r="N105" s="570">
        <v>188</v>
      </c>
      <c r="O105" s="570">
        <f>+N105+P105</f>
        <v>348</v>
      </c>
      <c r="P105" s="569">
        <v>160</v>
      </c>
      <c r="Q105" s="631">
        <v>2.92E-2</v>
      </c>
      <c r="R105" s="580">
        <f t="shared" si="61"/>
        <v>3.65E-3</v>
      </c>
      <c r="S105" s="708">
        <v>20</v>
      </c>
      <c r="T105" s="625">
        <f t="shared" si="101"/>
        <v>0.125</v>
      </c>
      <c r="U105" s="992">
        <v>20</v>
      </c>
      <c r="V105" s="626">
        <f t="shared" si="102"/>
        <v>20</v>
      </c>
      <c r="W105" s="594">
        <f t="shared" si="103"/>
        <v>100</v>
      </c>
      <c r="X105" s="594">
        <f t="shared" si="65"/>
        <v>100</v>
      </c>
      <c r="Y105" s="594">
        <f t="shared" si="98"/>
        <v>3.65E-3</v>
      </c>
      <c r="Z105" s="594">
        <f t="shared" si="66"/>
        <v>100</v>
      </c>
      <c r="AA105" s="546">
        <v>439000000</v>
      </c>
      <c r="AB105" s="546">
        <v>439000000</v>
      </c>
      <c r="AC105" s="546">
        <v>0</v>
      </c>
      <c r="AD105" s="546">
        <v>0</v>
      </c>
      <c r="AE105" s="546">
        <v>0</v>
      </c>
      <c r="AF105" s="546">
        <v>0</v>
      </c>
      <c r="AG105" s="546">
        <v>0</v>
      </c>
      <c r="AH105" s="546">
        <v>0</v>
      </c>
      <c r="AI105" s="546">
        <v>283170000</v>
      </c>
      <c r="AJ105" s="546">
        <v>283170000</v>
      </c>
      <c r="AK105" s="546">
        <v>0</v>
      </c>
      <c r="AL105" s="546">
        <v>0</v>
      </c>
      <c r="AM105" s="546">
        <v>0</v>
      </c>
      <c r="AN105" s="546">
        <v>0</v>
      </c>
      <c r="AO105" s="546">
        <v>0</v>
      </c>
      <c r="AP105" s="546">
        <v>0</v>
      </c>
      <c r="AQ105" s="546">
        <v>0</v>
      </c>
      <c r="AR105" s="546">
        <v>0</v>
      </c>
      <c r="AS105" s="546">
        <v>0</v>
      </c>
      <c r="AT105" s="630">
        <f t="shared" si="67"/>
        <v>6.7525000000000007E-3</v>
      </c>
      <c r="AU105" s="570">
        <v>37</v>
      </c>
      <c r="AV105" s="625">
        <f t="shared" si="104"/>
        <v>0.23125000000000001</v>
      </c>
      <c r="AW105" s="1003">
        <v>37</v>
      </c>
      <c r="AX105" s="724">
        <f t="shared" si="105"/>
        <v>37</v>
      </c>
      <c r="AY105" s="724">
        <f t="shared" si="106"/>
        <v>100</v>
      </c>
      <c r="AZ105" s="724">
        <f t="shared" si="71"/>
        <v>100</v>
      </c>
      <c r="BA105" s="594">
        <f t="shared" si="72"/>
        <v>6.7524999999999998E-3</v>
      </c>
      <c r="BB105" s="594">
        <f t="shared" si="73"/>
        <v>100</v>
      </c>
      <c r="BC105" s="546">
        <v>550000000</v>
      </c>
      <c r="BD105" s="546">
        <v>0</v>
      </c>
      <c r="BE105" s="546">
        <v>550000000</v>
      </c>
      <c r="BF105" s="546">
        <v>0</v>
      </c>
      <c r="BG105" s="546">
        <v>0</v>
      </c>
      <c r="BH105" s="546">
        <v>0</v>
      </c>
      <c r="BI105" s="546">
        <v>0</v>
      </c>
      <c r="BJ105" s="546">
        <v>0</v>
      </c>
      <c r="BK105" s="723">
        <v>148755166</v>
      </c>
      <c r="BL105" s="722">
        <v>148755166</v>
      </c>
      <c r="BM105" s="722">
        <v>0</v>
      </c>
      <c r="BN105" s="722">
        <v>0</v>
      </c>
      <c r="BO105" s="722">
        <v>0</v>
      </c>
      <c r="BP105" s="722">
        <v>0</v>
      </c>
      <c r="BQ105" s="722">
        <v>0</v>
      </c>
      <c r="BR105" s="722">
        <v>0</v>
      </c>
      <c r="BS105" s="722">
        <v>0</v>
      </c>
      <c r="BT105" s="722">
        <v>0</v>
      </c>
      <c r="BU105" s="722">
        <v>0</v>
      </c>
      <c r="BV105" s="580">
        <f t="shared" si="74"/>
        <v>1.18625E-2</v>
      </c>
      <c r="BW105" s="588">
        <v>65</v>
      </c>
      <c r="BX105" s="623">
        <f t="shared" si="107"/>
        <v>0.40625</v>
      </c>
      <c r="BY105" s="607">
        <v>50</v>
      </c>
      <c r="BZ105" s="629">
        <v>52</v>
      </c>
      <c r="CA105" s="1017">
        <v>72</v>
      </c>
      <c r="CB105" s="721">
        <f t="shared" si="108"/>
        <v>72</v>
      </c>
      <c r="CC105" s="721">
        <f t="shared" si="109"/>
        <v>110.76923076923077</v>
      </c>
      <c r="CD105" s="720">
        <f t="shared" si="78"/>
        <v>100</v>
      </c>
      <c r="CE105" s="618">
        <f t="shared" si="79"/>
        <v>1.18625E-2</v>
      </c>
      <c r="CF105" s="719">
        <f t="shared" si="80"/>
        <v>100</v>
      </c>
      <c r="CG105" s="618">
        <f t="shared" si="81"/>
        <v>1.3140000000000001E-2</v>
      </c>
      <c r="CH105" s="718">
        <f t="shared" si="82"/>
        <v>6.9349999999999993E-3</v>
      </c>
      <c r="CI105" s="552">
        <v>38</v>
      </c>
      <c r="CJ105" s="551">
        <f t="shared" si="110"/>
        <v>0.23749999999999999</v>
      </c>
      <c r="CK105" s="874">
        <v>13</v>
      </c>
      <c r="CL105" s="533">
        <f t="shared" si="111"/>
        <v>25</v>
      </c>
      <c r="CM105" s="619">
        <f t="shared" si="112"/>
        <v>13</v>
      </c>
      <c r="CN105" s="619">
        <f t="shared" si="113"/>
        <v>34.210526315789473</v>
      </c>
      <c r="CO105" s="549">
        <f t="shared" si="87"/>
        <v>34.210526315789473</v>
      </c>
      <c r="CP105" s="619">
        <f t="shared" si="88"/>
        <v>2.3724999999999996E-3</v>
      </c>
      <c r="CQ105" s="619">
        <f t="shared" si="89"/>
        <v>2.3724999999999996E-3</v>
      </c>
      <c r="CR105" s="546">
        <v>550000000</v>
      </c>
      <c r="CS105" s="546">
        <v>550000000</v>
      </c>
      <c r="CT105" s="546">
        <v>0</v>
      </c>
      <c r="CU105" s="546">
        <v>0</v>
      </c>
      <c r="CV105" s="546">
        <v>0</v>
      </c>
      <c r="CW105" s="546">
        <v>0</v>
      </c>
      <c r="CX105" s="546">
        <v>0</v>
      </c>
      <c r="CY105" s="546">
        <v>0</v>
      </c>
      <c r="CZ105" s="618">
        <v>0</v>
      </c>
      <c r="DA105" s="618">
        <v>0</v>
      </c>
      <c r="DB105" s="618">
        <v>0</v>
      </c>
      <c r="DC105" s="618">
        <v>0</v>
      </c>
      <c r="DD105" s="618">
        <v>0</v>
      </c>
      <c r="DE105" s="618">
        <v>0</v>
      </c>
      <c r="DF105" s="618">
        <v>0</v>
      </c>
      <c r="DG105" s="618">
        <v>0</v>
      </c>
      <c r="DH105" s="618">
        <v>0</v>
      </c>
      <c r="DI105" s="618">
        <v>0</v>
      </c>
      <c r="DJ105" s="618">
        <v>0</v>
      </c>
      <c r="DK105" s="1034">
        <f t="shared" si="114"/>
        <v>142</v>
      </c>
      <c r="DL105" s="543">
        <f t="shared" si="91"/>
        <v>2.92E-2</v>
      </c>
      <c r="DM105" s="542">
        <f t="shared" si="92"/>
        <v>88.75</v>
      </c>
      <c r="DN105" s="594">
        <f t="shared" si="93"/>
        <v>88.75</v>
      </c>
      <c r="DO105" s="540">
        <f t="shared" si="94"/>
        <v>2.5915000000000001E-2</v>
      </c>
      <c r="DP105" s="597">
        <f>+IF(((DN105*Q105)/100)&lt;Q105, ((DN105*Q105)/100),Q105)</f>
        <v>2.5915000000000001E-2</v>
      </c>
      <c r="DQ105" s="538">
        <f t="shared" si="95"/>
        <v>2.5915000000000001E-2</v>
      </c>
      <c r="DR105" s="617">
        <f t="shared" si="96"/>
        <v>1</v>
      </c>
      <c r="DS105" s="616">
        <f t="shared" si="97"/>
        <v>0</v>
      </c>
      <c r="DT105" s="259">
        <v>118</v>
      </c>
      <c r="DU105" s="260" t="s">
        <v>478</v>
      </c>
      <c r="DV105" s="259"/>
      <c r="DW105" s="260" t="s">
        <v>242</v>
      </c>
      <c r="DX105" s="259"/>
      <c r="DY105" s="259"/>
      <c r="DZ105" s="259"/>
      <c r="EA105" s="987"/>
      <c r="EB105" s="1041" t="s">
        <v>2449</v>
      </c>
      <c r="EC105" s="802">
        <v>550000000</v>
      </c>
      <c r="EE105" s="1047"/>
    </row>
    <row r="106" spans="4:135" s="534" customFormat="1" ht="127.5" hidden="1" x14ac:dyDescent="0.3">
      <c r="D106" s="783">
        <v>103</v>
      </c>
      <c r="E106" s="799">
        <v>136</v>
      </c>
      <c r="F106" s="787" t="s">
        <v>200</v>
      </c>
      <c r="G106" s="787" t="s">
        <v>239</v>
      </c>
      <c r="H106" s="788" t="s">
        <v>136</v>
      </c>
      <c r="I106" s="712" t="s">
        <v>346</v>
      </c>
      <c r="J106" s="573" t="s">
        <v>535</v>
      </c>
      <c r="K106" s="573" t="s">
        <v>536</v>
      </c>
      <c r="L106" s="702" t="s">
        <v>2205</v>
      </c>
      <c r="M106" s="570" t="s">
        <v>2032</v>
      </c>
      <c r="N106" s="570">
        <v>10</v>
      </c>
      <c r="O106" s="570">
        <f>+P106</f>
        <v>10</v>
      </c>
      <c r="P106" s="569">
        <v>10</v>
      </c>
      <c r="Q106" s="628">
        <v>0.16500000000000001</v>
      </c>
      <c r="R106" s="580">
        <f t="shared" si="61"/>
        <v>4.1250000000000002E-2</v>
      </c>
      <c r="S106" s="708">
        <v>10</v>
      </c>
      <c r="T106" s="625">
        <f t="shared" si="101"/>
        <v>0.25</v>
      </c>
      <c r="U106" s="992">
        <v>10</v>
      </c>
      <c r="V106" s="626">
        <f t="shared" si="102"/>
        <v>2.5</v>
      </c>
      <c r="W106" s="594">
        <f t="shared" si="103"/>
        <v>100</v>
      </c>
      <c r="X106" s="594">
        <f t="shared" si="65"/>
        <v>100</v>
      </c>
      <c r="Y106" s="594">
        <f t="shared" si="98"/>
        <v>4.1250000000000002E-2</v>
      </c>
      <c r="Z106" s="594">
        <f t="shared" si="66"/>
        <v>100</v>
      </c>
      <c r="AA106" s="546">
        <v>0</v>
      </c>
      <c r="AB106" s="546">
        <v>0</v>
      </c>
      <c r="AC106" s="546">
        <v>0</v>
      </c>
      <c r="AD106" s="546">
        <v>0</v>
      </c>
      <c r="AE106" s="546">
        <v>0</v>
      </c>
      <c r="AF106" s="546">
        <v>0</v>
      </c>
      <c r="AG106" s="546">
        <v>0</v>
      </c>
      <c r="AH106" s="546">
        <v>0</v>
      </c>
      <c r="AI106" s="546">
        <v>96053000</v>
      </c>
      <c r="AJ106" s="546">
        <v>96053000</v>
      </c>
      <c r="AK106" s="546">
        <v>0</v>
      </c>
      <c r="AL106" s="546">
        <v>0</v>
      </c>
      <c r="AM106" s="546">
        <v>0</v>
      </c>
      <c r="AN106" s="546">
        <v>0</v>
      </c>
      <c r="AO106" s="546">
        <v>0</v>
      </c>
      <c r="AP106" s="546">
        <v>0</v>
      </c>
      <c r="AQ106" s="546">
        <v>0</v>
      </c>
      <c r="AR106" s="546">
        <v>228046000</v>
      </c>
      <c r="AS106" s="546" t="s">
        <v>1593</v>
      </c>
      <c r="AT106" s="570">
        <f t="shared" si="67"/>
        <v>4.1250000000000002E-2</v>
      </c>
      <c r="AU106" s="570">
        <v>10</v>
      </c>
      <c r="AV106" s="625">
        <f t="shared" si="104"/>
        <v>0.25</v>
      </c>
      <c r="AW106" s="1003">
        <v>13</v>
      </c>
      <c r="AX106" s="724">
        <f t="shared" si="105"/>
        <v>3.25</v>
      </c>
      <c r="AY106" s="724">
        <f t="shared" si="106"/>
        <v>130</v>
      </c>
      <c r="AZ106" s="724">
        <f t="shared" si="71"/>
        <v>100</v>
      </c>
      <c r="BA106" s="594">
        <f t="shared" si="72"/>
        <v>4.1250000000000002E-2</v>
      </c>
      <c r="BB106" s="594">
        <f t="shared" si="73"/>
        <v>100</v>
      </c>
      <c r="BC106" s="546">
        <v>80000000</v>
      </c>
      <c r="BD106" s="546">
        <v>0</v>
      </c>
      <c r="BE106" s="546">
        <v>80000000</v>
      </c>
      <c r="BF106" s="546">
        <v>0</v>
      </c>
      <c r="BG106" s="546">
        <v>0</v>
      </c>
      <c r="BH106" s="546">
        <v>0</v>
      </c>
      <c r="BI106" s="546">
        <v>0</v>
      </c>
      <c r="BJ106" s="546">
        <v>0</v>
      </c>
      <c r="BK106" s="723">
        <v>721872425</v>
      </c>
      <c r="BL106" s="722">
        <v>721872425</v>
      </c>
      <c r="BM106" s="722">
        <v>0</v>
      </c>
      <c r="BN106" s="722">
        <v>0</v>
      </c>
      <c r="BO106" s="722">
        <v>0</v>
      </c>
      <c r="BP106" s="722">
        <v>0</v>
      </c>
      <c r="BQ106" s="722">
        <v>0</v>
      </c>
      <c r="BR106" s="722">
        <v>0</v>
      </c>
      <c r="BS106" s="722">
        <v>0</v>
      </c>
      <c r="BT106" s="722">
        <v>0</v>
      </c>
      <c r="BU106" s="722">
        <v>0</v>
      </c>
      <c r="BV106" s="580">
        <f t="shared" si="74"/>
        <v>4.1250000000000002E-2</v>
      </c>
      <c r="BW106" s="588">
        <v>10</v>
      </c>
      <c r="BX106" s="623">
        <f t="shared" si="107"/>
        <v>0.25</v>
      </c>
      <c r="BY106" s="607">
        <v>5</v>
      </c>
      <c r="BZ106" s="629">
        <v>5</v>
      </c>
      <c r="CA106" s="1017">
        <v>19</v>
      </c>
      <c r="CB106" s="721">
        <f t="shared" si="108"/>
        <v>4.75</v>
      </c>
      <c r="CC106" s="721">
        <f t="shared" si="109"/>
        <v>190</v>
      </c>
      <c r="CD106" s="720">
        <f t="shared" si="78"/>
        <v>100</v>
      </c>
      <c r="CE106" s="618">
        <f t="shared" si="79"/>
        <v>4.1250000000000002E-2</v>
      </c>
      <c r="CF106" s="719">
        <f t="shared" si="80"/>
        <v>100</v>
      </c>
      <c r="CG106" s="618">
        <f t="shared" si="81"/>
        <v>7.8375E-2</v>
      </c>
      <c r="CH106" s="718">
        <f t="shared" si="82"/>
        <v>4.1250000000000002E-2</v>
      </c>
      <c r="CI106" s="552">
        <v>10</v>
      </c>
      <c r="CJ106" s="551">
        <f t="shared" si="110"/>
        <v>0.25</v>
      </c>
      <c r="CK106" s="874">
        <v>5</v>
      </c>
      <c r="CL106" s="533">
        <f t="shared" si="111"/>
        <v>5</v>
      </c>
      <c r="CM106" s="619">
        <f t="shared" si="112"/>
        <v>1.25</v>
      </c>
      <c r="CN106" s="619">
        <f t="shared" si="113"/>
        <v>50</v>
      </c>
      <c r="CO106" s="619">
        <f t="shared" si="87"/>
        <v>50</v>
      </c>
      <c r="CP106" s="619">
        <f t="shared" si="88"/>
        <v>2.0625000000000001E-2</v>
      </c>
      <c r="CQ106" s="619">
        <f t="shared" si="89"/>
        <v>2.0625000000000001E-2</v>
      </c>
      <c r="CR106" s="546">
        <v>80000000</v>
      </c>
      <c r="CS106" s="546">
        <v>80000000</v>
      </c>
      <c r="CT106" s="546">
        <v>0</v>
      </c>
      <c r="CU106" s="546">
        <v>0</v>
      </c>
      <c r="CV106" s="546">
        <v>0</v>
      </c>
      <c r="CW106" s="546">
        <v>0</v>
      </c>
      <c r="CX106" s="546">
        <v>0</v>
      </c>
      <c r="CY106" s="546">
        <v>0</v>
      </c>
      <c r="CZ106" s="618">
        <v>0</v>
      </c>
      <c r="DA106" s="618">
        <v>0</v>
      </c>
      <c r="DB106" s="618">
        <v>0</v>
      </c>
      <c r="DC106" s="618">
        <v>0</v>
      </c>
      <c r="DD106" s="618">
        <v>0</v>
      </c>
      <c r="DE106" s="618">
        <v>0</v>
      </c>
      <c r="DF106" s="618">
        <v>0</v>
      </c>
      <c r="DG106" s="618">
        <v>0</v>
      </c>
      <c r="DH106" s="618">
        <v>0</v>
      </c>
      <c r="DI106" s="618">
        <v>0</v>
      </c>
      <c r="DJ106" s="618">
        <v>0</v>
      </c>
      <c r="DK106" s="1034">
        <f t="shared" si="114"/>
        <v>11.75</v>
      </c>
      <c r="DL106" s="543">
        <f t="shared" si="91"/>
        <v>0.16500000000000001</v>
      </c>
      <c r="DM106" s="542">
        <f t="shared" si="92"/>
        <v>117.5</v>
      </c>
      <c r="DN106" s="594">
        <f t="shared" si="93"/>
        <v>100</v>
      </c>
      <c r="DO106" s="540">
        <f t="shared" si="94"/>
        <v>0.16500000000000001</v>
      </c>
      <c r="DP106" s="597">
        <f>+IF(M106="M",DO106,0)</f>
        <v>0.16500000000000001</v>
      </c>
      <c r="DQ106" s="538">
        <f t="shared" si="95"/>
        <v>0.16500000000000001</v>
      </c>
      <c r="DR106" s="617">
        <f t="shared" si="96"/>
        <v>1</v>
      </c>
      <c r="DS106" s="616">
        <f t="shared" si="97"/>
        <v>0</v>
      </c>
      <c r="DT106" s="259">
        <v>118</v>
      </c>
      <c r="DU106" s="260" t="s">
        <v>478</v>
      </c>
      <c r="DV106" s="259"/>
      <c r="DW106" s="260" t="s">
        <v>242</v>
      </c>
      <c r="DX106" s="259"/>
      <c r="DY106" s="259"/>
      <c r="DZ106" s="259"/>
      <c r="EA106" s="987"/>
      <c r="EB106" s="1041" t="s">
        <v>2450</v>
      </c>
      <c r="EC106" s="802">
        <v>80000000</v>
      </c>
      <c r="EE106" s="1047"/>
    </row>
    <row r="107" spans="4:135" s="534" customFormat="1" ht="127.5" hidden="1" x14ac:dyDescent="0.3">
      <c r="D107" s="783">
        <v>104</v>
      </c>
      <c r="E107" s="799">
        <v>137</v>
      </c>
      <c r="F107" s="787" t="s">
        <v>200</v>
      </c>
      <c r="G107" s="787" t="s">
        <v>239</v>
      </c>
      <c r="H107" s="788" t="s">
        <v>136</v>
      </c>
      <c r="I107" s="712" t="s">
        <v>346</v>
      </c>
      <c r="J107" s="573" t="s">
        <v>537</v>
      </c>
      <c r="K107" s="573" t="s">
        <v>538</v>
      </c>
      <c r="L107" s="702" t="s">
        <v>2241</v>
      </c>
      <c r="M107" s="570" t="s">
        <v>2017</v>
      </c>
      <c r="N107" s="570">
        <v>92</v>
      </c>
      <c r="O107" s="570">
        <f>+N107+P107</f>
        <v>192</v>
      </c>
      <c r="P107" s="569">
        <v>100</v>
      </c>
      <c r="Q107" s="628">
        <v>0.16500000000000001</v>
      </c>
      <c r="R107" s="580">
        <f t="shared" si="61"/>
        <v>4.1250000000000002E-2</v>
      </c>
      <c r="S107" s="708">
        <v>25</v>
      </c>
      <c r="T107" s="625">
        <f t="shared" si="101"/>
        <v>0.25</v>
      </c>
      <c r="U107" s="992">
        <v>47</v>
      </c>
      <c r="V107" s="626">
        <f t="shared" si="102"/>
        <v>47</v>
      </c>
      <c r="W107" s="594">
        <f t="shared" si="103"/>
        <v>188</v>
      </c>
      <c r="X107" s="594">
        <f t="shared" si="65"/>
        <v>100</v>
      </c>
      <c r="Y107" s="594">
        <f t="shared" si="98"/>
        <v>4.1250000000000002E-2</v>
      </c>
      <c r="Z107" s="594">
        <f t="shared" si="66"/>
        <v>100</v>
      </c>
      <c r="AA107" s="546">
        <v>72000000</v>
      </c>
      <c r="AB107" s="546">
        <v>54000000</v>
      </c>
      <c r="AC107" s="546">
        <v>0</v>
      </c>
      <c r="AD107" s="546">
        <v>18000000</v>
      </c>
      <c r="AE107" s="546">
        <v>0</v>
      </c>
      <c r="AF107" s="546">
        <v>0</v>
      </c>
      <c r="AG107" s="546">
        <v>0</v>
      </c>
      <c r="AH107" s="546">
        <v>0</v>
      </c>
      <c r="AI107" s="546">
        <v>0</v>
      </c>
      <c r="AJ107" s="546">
        <v>0</v>
      </c>
      <c r="AK107" s="546">
        <v>0</v>
      </c>
      <c r="AL107" s="546">
        <v>0</v>
      </c>
      <c r="AM107" s="546">
        <v>0</v>
      </c>
      <c r="AN107" s="546">
        <v>0</v>
      </c>
      <c r="AO107" s="546">
        <v>0</v>
      </c>
      <c r="AP107" s="546">
        <v>0</v>
      </c>
      <c r="AQ107" s="546">
        <v>0</v>
      </c>
      <c r="AR107" s="546">
        <v>18182000</v>
      </c>
      <c r="AS107" s="546" t="s">
        <v>2240</v>
      </c>
      <c r="AT107" s="570">
        <f t="shared" si="67"/>
        <v>4.1250000000000002E-2</v>
      </c>
      <c r="AU107" s="570">
        <v>25</v>
      </c>
      <c r="AV107" s="625">
        <f t="shared" si="104"/>
        <v>0.25</v>
      </c>
      <c r="AW107" s="1003">
        <v>84</v>
      </c>
      <c r="AX107" s="724">
        <f t="shared" si="105"/>
        <v>84</v>
      </c>
      <c r="AY107" s="724">
        <f t="shared" si="106"/>
        <v>336</v>
      </c>
      <c r="AZ107" s="724">
        <f t="shared" si="71"/>
        <v>100</v>
      </c>
      <c r="BA107" s="594">
        <f t="shared" si="72"/>
        <v>4.1250000000000002E-2</v>
      </c>
      <c r="BB107" s="594">
        <f t="shared" si="73"/>
        <v>100</v>
      </c>
      <c r="BC107" s="546">
        <v>125000000</v>
      </c>
      <c r="BD107" s="546">
        <v>0</v>
      </c>
      <c r="BE107" s="546">
        <v>125000000</v>
      </c>
      <c r="BF107" s="546">
        <v>0</v>
      </c>
      <c r="BG107" s="546">
        <v>0</v>
      </c>
      <c r="BH107" s="546">
        <v>0</v>
      </c>
      <c r="BI107" s="546">
        <v>0</v>
      </c>
      <c r="BJ107" s="546">
        <v>0</v>
      </c>
      <c r="BK107" s="723">
        <v>152785000</v>
      </c>
      <c r="BL107" s="722">
        <v>152785000</v>
      </c>
      <c r="BM107" s="722">
        <v>0</v>
      </c>
      <c r="BN107" s="722">
        <v>0</v>
      </c>
      <c r="BO107" s="722">
        <v>0</v>
      </c>
      <c r="BP107" s="722">
        <v>0</v>
      </c>
      <c r="BQ107" s="722">
        <v>0</v>
      </c>
      <c r="BR107" s="722">
        <v>0</v>
      </c>
      <c r="BS107" s="722">
        <v>0</v>
      </c>
      <c r="BT107" s="722">
        <v>0</v>
      </c>
      <c r="BU107" s="722">
        <v>0</v>
      </c>
      <c r="BV107" s="580">
        <f t="shared" si="74"/>
        <v>4.1250000000000002E-2</v>
      </c>
      <c r="BW107" s="588">
        <v>25</v>
      </c>
      <c r="BX107" s="623">
        <f t="shared" si="107"/>
        <v>0.25</v>
      </c>
      <c r="BY107" s="607">
        <v>100</v>
      </c>
      <c r="BZ107" s="629">
        <v>215</v>
      </c>
      <c r="CA107" s="1017">
        <v>120</v>
      </c>
      <c r="CB107" s="721">
        <f t="shared" si="108"/>
        <v>120</v>
      </c>
      <c r="CC107" s="721">
        <f t="shared" si="109"/>
        <v>480</v>
      </c>
      <c r="CD107" s="720">
        <f t="shared" si="78"/>
        <v>100</v>
      </c>
      <c r="CE107" s="618">
        <f t="shared" si="79"/>
        <v>4.1250000000000002E-2</v>
      </c>
      <c r="CF107" s="719">
        <f t="shared" si="80"/>
        <v>100</v>
      </c>
      <c r="CG107" s="618">
        <f t="shared" si="81"/>
        <v>0.19800000000000001</v>
      </c>
      <c r="CH107" s="718">
        <f t="shared" si="82"/>
        <v>4.1250000000000002E-2</v>
      </c>
      <c r="CI107" s="552">
        <v>25</v>
      </c>
      <c r="CJ107" s="551">
        <f t="shared" si="110"/>
        <v>0.25</v>
      </c>
      <c r="CK107" s="874">
        <v>110</v>
      </c>
      <c r="CL107" s="533">
        <f t="shared" si="111"/>
        <v>-85</v>
      </c>
      <c r="CM107" s="619">
        <f t="shared" si="112"/>
        <v>110</v>
      </c>
      <c r="CN107" s="619">
        <f t="shared" si="113"/>
        <v>440</v>
      </c>
      <c r="CO107" s="549">
        <f t="shared" si="87"/>
        <v>100</v>
      </c>
      <c r="CP107" s="619">
        <f t="shared" si="88"/>
        <v>4.1250000000000002E-2</v>
      </c>
      <c r="CQ107" s="619">
        <f t="shared" si="89"/>
        <v>0.18150000000000002</v>
      </c>
      <c r="CR107" s="546">
        <v>125000000</v>
      </c>
      <c r="CS107" s="546">
        <v>125000000</v>
      </c>
      <c r="CT107" s="546">
        <v>0</v>
      </c>
      <c r="CU107" s="546">
        <v>0</v>
      </c>
      <c r="CV107" s="546">
        <v>0</v>
      </c>
      <c r="CW107" s="546">
        <v>0</v>
      </c>
      <c r="CX107" s="546">
        <v>0</v>
      </c>
      <c r="CY107" s="546">
        <v>0</v>
      </c>
      <c r="CZ107" s="618">
        <v>0</v>
      </c>
      <c r="DA107" s="618">
        <v>0</v>
      </c>
      <c r="DB107" s="618">
        <v>0</v>
      </c>
      <c r="DC107" s="618">
        <v>0</v>
      </c>
      <c r="DD107" s="618">
        <v>0</v>
      </c>
      <c r="DE107" s="618">
        <v>0</v>
      </c>
      <c r="DF107" s="618">
        <v>0</v>
      </c>
      <c r="DG107" s="618">
        <v>0</v>
      </c>
      <c r="DH107" s="618">
        <v>0</v>
      </c>
      <c r="DI107" s="618">
        <v>0</v>
      </c>
      <c r="DJ107" s="618">
        <v>0</v>
      </c>
      <c r="DK107" s="1034">
        <f t="shared" si="114"/>
        <v>361</v>
      </c>
      <c r="DL107" s="543">
        <f t="shared" si="91"/>
        <v>0.16500000000000001</v>
      </c>
      <c r="DM107" s="542">
        <f t="shared" si="92"/>
        <v>361</v>
      </c>
      <c r="DN107" s="594">
        <f t="shared" si="93"/>
        <v>100</v>
      </c>
      <c r="DO107" s="540">
        <f t="shared" si="94"/>
        <v>0.16500000000000001</v>
      </c>
      <c r="DP107" s="597">
        <f>+IF(((DN107*Q107)/100)&lt;Q107, ((DN107*Q107)/100),Q107)</f>
        <v>0.16500000000000001</v>
      </c>
      <c r="DQ107" s="538">
        <f t="shared" si="95"/>
        <v>0.16500000000000001</v>
      </c>
      <c r="DR107" s="617">
        <f t="shared" si="96"/>
        <v>1</v>
      </c>
      <c r="DS107" s="616">
        <f t="shared" si="97"/>
        <v>0</v>
      </c>
      <c r="DT107" s="259">
        <v>118</v>
      </c>
      <c r="DU107" s="260" t="s">
        <v>478</v>
      </c>
      <c r="DV107" s="259"/>
      <c r="DW107" s="260" t="s">
        <v>242</v>
      </c>
      <c r="DX107" s="259"/>
      <c r="DY107" s="259"/>
      <c r="DZ107" s="259"/>
      <c r="EA107" s="987"/>
      <c r="EB107" s="1041" t="s">
        <v>2392</v>
      </c>
      <c r="EC107" s="802">
        <v>125000000</v>
      </c>
      <c r="EE107" s="1047"/>
    </row>
    <row r="108" spans="4:135" s="534" customFormat="1" ht="76.5" hidden="1" x14ac:dyDescent="0.3">
      <c r="D108" s="783">
        <v>105</v>
      </c>
      <c r="E108" s="799">
        <v>138</v>
      </c>
      <c r="F108" s="787" t="s">
        <v>200</v>
      </c>
      <c r="G108" s="787" t="s">
        <v>239</v>
      </c>
      <c r="H108" s="788" t="s">
        <v>136</v>
      </c>
      <c r="I108" s="712" t="s">
        <v>346</v>
      </c>
      <c r="J108" s="573" t="s">
        <v>539</v>
      </c>
      <c r="K108" s="573" t="s">
        <v>540</v>
      </c>
      <c r="L108" s="702" t="s">
        <v>1593</v>
      </c>
      <c r="M108" s="570" t="s">
        <v>2032</v>
      </c>
      <c r="N108" s="570">
        <v>13</v>
      </c>
      <c r="O108" s="570">
        <f>+P108</f>
        <v>15</v>
      </c>
      <c r="P108" s="569">
        <v>15</v>
      </c>
      <c r="Q108" s="628">
        <v>0.25</v>
      </c>
      <c r="R108" s="580">
        <f t="shared" si="61"/>
        <v>6.25E-2</v>
      </c>
      <c r="S108" s="708">
        <v>15</v>
      </c>
      <c r="T108" s="625">
        <f t="shared" si="101"/>
        <v>0.25</v>
      </c>
      <c r="U108" s="992">
        <v>15</v>
      </c>
      <c r="V108" s="626">
        <f t="shared" si="102"/>
        <v>3.75</v>
      </c>
      <c r="W108" s="594">
        <f t="shared" si="103"/>
        <v>100</v>
      </c>
      <c r="X108" s="594">
        <f t="shared" si="65"/>
        <v>100</v>
      </c>
      <c r="Y108" s="594">
        <f t="shared" si="98"/>
        <v>6.25E-2</v>
      </c>
      <c r="Z108" s="594">
        <f t="shared" si="66"/>
        <v>100</v>
      </c>
      <c r="AA108" s="546">
        <v>0</v>
      </c>
      <c r="AB108" s="546">
        <v>0</v>
      </c>
      <c r="AC108" s="546">
        <v>0</v>
      </c>
      <c r="AD108" s="546">
        <v>0</v>
      </c>
      <c r="AE108" s="546">
        <v>0</v>
      </c>
      <c r="AF108" s="546">
        <v>0</v>
      </c>
      <c r="AG108" s="546">
        <v>0</v>
      </c>
      <c r="AH108" s="546">
        <v>0</v>
      </c>
      <c r="AI108" s="546">
        <v>7200000</v>
      </c>
      <c r="AJ108" s="546">
        <v>7200000</v>
      </c>
      <c r="AK108" s="546">
        <v>0</v>
      </c>
      <c r="AL108" s="546">
        <v>0</v>
      </c>
      <c r="AM108" s="546">
        <v>0</v>
      </c>
      <c r="AN108" s="546">
        <v>0</v>
      </c>
      <c r="AO108" s="546">
        <v>0</v>
      </c>
      <c r="AP108" s="546">
        <v>0</v>
      </c>
      <c r="AQ108" s="546">
        <v>0</v>
      </c>
      <c r="AR108" s="546">
        <v>50000000</v>
      </c>
      <c r="AS108" s="546" t="s">
        <v>2255</v>
      </c>
      <c r="AT108" s="570">
        <f t="shared" si="67"/>
        <v>6.25E-2</v>
      </c>
      <c r="AU108" s="570">
        <v>15</v>
      </c>
      <c r="AV108" s="625">
        <f t="shared" si="104"/>
        <v>0.25</v>
      </c>
      <c r="AW108" s="1003">
        <v>10</v>
      </c>
      <c r="AX108" s="724">
        <f t="shared" si="105"/>
        <v>2.5</v>
      </c>
      <c r="AY108" s="724">
        <f t="shared" si="106"/>
        <v>66.666666666666671</v>
      </c>
      <c r="AZ108" s="724">
        <f t="shared" si="71"/>
        <v>66.666666666666671</v>
      </c>
      <c r="BA108" s="594">
        <f t="shared" si="72"/>
        <v>4.1666666666666671E-2</v>
      </c>
      <c r="BB108" s="594">
        <f t="shared" si="73"/>
        <v>66.666666666666671</v>
      </c>
      <c r="BC108" s="546">
        <v>150000000</v>
      </c>
      <c r="BD108" s="546">
        <v>0</v>
      </c>
      <c r="BE108" s="546">
        <v>150000000</v>
      </c>
      <c r="BF108" s="546">
        <v>0</v>
      </c>
      <c r="BG108" s="546">
        <v>0</v>
      </c>
      <c r="BH108" s="546">
        <v>0</v>
      </c>
      <c r="BI108" s="546">
        <v>0</v>
      </c>
      <c r="BJ108" s="546">
        <v>0</v>
      </c>
      <c r="BK108" s="723">
        <v>40460000</v>
      </c>
      <c r="BL108" s="722">
        <v>40460000</v>
      </c>
      <c r="BM108" s="722">
        <v>0</v>
      </c>
      <c r="BN108" s="722">
        <v>0</v>
      </c>
      <c r="BO108" s="722">
        <v>0</v>
      </c>
      <c r="BP108" s="722">
        <v>0</v>
      </c>
      <c r="BQ108" s="722">
        <v>0</v>
      </c>
      <c r="BR108" s="722">
        <v>0</v>
      </c>
      <c r="BS108" s="722">
        <v>0</v>
      </c>
      <c r="BT108" s="722">
        <v>0</v>
      </c>
      <c r="BU108" s="722">
        <v>0</v>
      </c>
      <c r="BV108" s="580">
        <f t="shared" si="74"/>
        <v>6.25E-2</v>
      </c>
      <c r="BW108" s="588">
        <v>15</v>
      </c>
      <c r="BX108" s="623">
        <f t="shared" si="107"/>
        <v>0.25</v>
      </c>
      <c r="BY108" s="607">
        <v>75</v>
      </c>
      <c r="BZ108" s="629">
        <v>18</v>
      </c>
      <c r="CA108" s="1017">
        <v>18</v>
      </c>
      <c r="CB108" s="721">
        <f t="shared" si="108"/>
        <v>4.5</v>
      </c>
      <c r="CC108" s="721">
        <f t="shared" si="109"/>
        <v>120</v>
      </c>
      <c r="CD108" s="720">
        <f t="shared" si="78"/>
        <v>100</v>
      </c>
      <c r="CE108" s="618">
        <f t="shared" si="79"/>
        <v>6.25E-2</v>
      </c>
      <c r="CF108" s="719">
        <f t="shared" si="80"/>
        <v>100</v>
      </c>
      <c r="CG108" s="618">
        <f t="shared" si="81"/>
        <v>7.4999999999999997E-2</v>
      </c>
      <c r="CH108" s="718">
        <f t="shared" si="82"/>
        <v>6.25E-2</v>
      </c>
      <c r="CI108" s="552">
        <v>15</v>
      </c>
      <c r="CJ108" s="551">
        <f t="shared" si="110"/>
        <v>0.25</v>
      </c>
      <c r="CK108" s="874">
        <v>2</v>
      </c>
      <c r="CL108" s="533">
        <f t="shared" si="111"/>
        <v>13</v>
      </c>
      <c r="CM108" s="619">
        <f t="shared" si="112"/>
        <v>0.5</v>
      </c>
      <c r="CN108" s="619">
        <f t="shared" si="113"/>
        <v>13.333333333333334</v>
      </c>
      <c r="CO108" s="619">
        <f t="shared" si="87"/>
        <v>13.333333333333334</v>
      </c>
      <c r="CP108" s="619">
        <f t="shared" si="88"/>
        <v>8.3333333333333332E-3</v>
      </c>
      <c r="CQ108" s="619">
        <f t="shared" si="89"/>
        <v>8.3333333333333332E-3</v>
      </c>
      <c r="CR108" s="546">
        <v>150000000</v>
      </c>
      <c r="CS108" s="546">
        <v>150000000</v>
      </c>
      <c r="CT108" s="546">
        <v>0</v>
      </c>
      <c r="CU108" s="546">
        <v>0</v>
      </c>
      <c r="CV108" s="546">
        <v>0</v>
      </c>
      <c r="CW108" s="546">
        <v>0</v>
      </c>
      <c r="CX108" s="546">
        <v>0</v>
      </c>
      <c r="CY108" s="546">
        <v>0</v>
      </c>
      <c r="CZ108" s="618">
        <v>0</v>
      </c>
      <c r="DA108" s="618">
        <v>0</v>
      </c>
      <c r="DB108" s="618">
        <v>0</v>
      </c>
      <c r="DC108" s="618">
        <v>0</v>
      </c>
      <c r="DD108" s="618">
        <v>0</v>
      </c>
      <c r="DE108" s="618">
        <v>0</v>
      </c>
      <c r="DF108" s="618">
        <v>0</v>
      </c>
      <c r="DG108" s="618">
        <v>0</v>
      </c>
      <c r="DH108" s="618">
        <v>0</v>
      </c>
      <c r="DI108" s="618">
        <v>0</v>
      </c>
      <c r="DJ108" s="618">
        <v>0</v>
      </c>
      <c r="DK108" s="1034">
        <f t="shared" si="114"/>
        <v>11.25</v>
      </c>
      <c r="DL108" s="543">
        <f t="shared" si="91"/>
        <v>0.25</v>
      </c>
      <c r="DM108" s="542">
        <f t="shared" si="92"/>
        <v>75</v>
      </c>
      <c r="DN108" s="594">
        <f t="shared" si="93"/>
        <v>75</v>
      </c>
      <c r="DO108" s="540">
        <f t="shared" si="94"/>
        <v>0.1875</v>
      </c>
      <c r="DP108" s="597">
        <f>+IF(M108="M",DO108,0)</f>
        <v>0.1875</v>
      </c>
      <c r="DQ108" s="538">
        <f t="shared" si="95"/>
        <v>0.1875</v>
      </c>
      <c r="DR108" s="617">
        <f t="shared" si="96"/>
        <v>1</v>
      </c>
      <c r="DS108" s="616">
        <f t="shared" si="97"/>
        <v>0</v>
      </c>
      <c r="DT108" s="259">
        <v>118</v>
      </c>
      <c r="DU108" s="260" t="s">
        <v>478</v>
      </c>
      <c r="DV108" s="259"/>
      <c r="DW108" s="260" t="s">
        <v>242</v>
      </c>
      <c r="DX108" s="259"/>
      <c r="DY108" s="259"/>
      <c r="DZ108" s="259"/>
      <c r="EA108" s="987"/>
      <c r="EB108" s="1041" t="s">
        <v>2451</v>
      </c>
      <c r="EC108" s="802">
        <v>150000000</v>
      </c>
      <c r="EE108" s="1047"/>
    </row>
    <row r="109" spans="4:135" s="534" customFormat="1" ht="132" hidden="1" x14ac:dyDescent="0.3">
      <c r="D109" s="783">
        <v>106</v>
      </c>
      <c r="E109" s="799">
        <v>139</v>
      </c>
      <c r="F109" s="787" t="s">
        <v>200</v>
      </c>
      <c r="G109" s="787" t="s">
        <v>7</v>
      </c>
      <c r="H109" s="788" t="s">
        <v>136</v>
      </c>
      <c r="I109" s="712" t="s">
        <v>346</v>
      </c>
      <c r="J109" s="573" t="s">
        <v>541</v>
      </c>
      <c r="K109" s="573" t="s">
        <v>542</v>
      </c>
      <c r="L109" s="701" t="s">
        <v>2019</v>
      </c>
      <c r="M109" s="570" t="s">
        <v>2017</v>
      </c>
      <c r="N109" s="570">
        <v>0</v>
      </c>
      <c r="O109" s="570">
        <f>+N109+P109</f>
        <v>20</v>
      </c>
      <c r="P109" s="569">
        <v>20</v>
      </c>
      <c r="Q109" s="628">
        <v>0.25</v>
      </c>
      <c r="R109" s="580">
        <f t="shared" si="61"/>
        <v>0</v>
      </c>
      <c r="S109" s="708">
        <v>0</v>
      </c>
      <c r="T109" s="625">
        <f t="shared" si="101"/>
        <v>0</v>
      </c>
      <c r="U109" s="992">
        <v>0</v>
      </c>
      <c r="V109" s="626">
        <f t="shared" si="102"/>
        <v>0</v>
      </c>
      <c r="W109" s="594">
        <f t="shared" si="103"/>
        <v>0</v>
      </c>
      <c r="X109" s="594">
        <f t="shared" si="65"/>
        <v>0</v>
      </c>
      <c r="Y109" s="594">
        <f t="shared" si="98"/>
        <v>0</v>
      </c>
      <c r="Z109" s="594">
        <f t="shared" si="66"/>
        <v>0</v>
      </c>
      <c r="AA109" s="546">
        <v>200000000</v>
      </c>
      <c r="AB109" s="546">
        <v>200000000</v>
      </c>
      <c r="AC109" s="546">
        <v>0</v>
      </c>
      <c r="AD109" s="546">
        <v>0</v>
      </c>
      <c r="AE109" s="546">
        <v>0</v>
      </c>
      <c r="AF109" s="546">
        <v>0</v>
      </c>
      <c r="AG109" s="546">
        <v>0</v>
      </c>
      <c r="AH109" s="546">
        <v>0</v>
      </c>
      <c r="AI109" s="546">
        <v>0</v>
      </c>
      <c r="AJ109" s="546">
        <v>0</v>
      </c>
      <c r="AK109" s="546">
        <v>0</v>
      </c>
      <c r="AL109" s="546">
        <v>0</v>
      </c>
      <c r="AM109" s="546">
        <v>0</v>
      </c>
      <c r="AN109" s="546">
        <v>0</v>
      </c>
      <c r="AO109" s="546">
        <v>0</v>
      </c>
      <c r="AP109" s="546">
        <v>0</v>
      </c>
      <c r="AQ109" s="546">
        <v>0</v>
      </c>
      <c r="AR109" s="546">
        <v>0</v>
      </c>
      <c r="AS109" s="546">
        <v>0</v>
      </c>
      <c r="AT109" s="570">
        <f t="shared" si="67"/>
        <v>0.125</v>
      </c>
      <c r="AU109" s="570">
        <v>10</v>
      </c>
      <c r="AV109" s="625">
        <f t="shared" si="104"/>
        <v>0.5</v>
      </c>
      <c r="AW109" s="1003">
        <v>11</v>
      </c>
      <c r="AX109" s="724">
        <f t="shared" si="105"/>
        <v>11</v>
      </c>
      <c r="AY109" s="724">
        <f t="shared" si="106"/>
        <v>110</v>
      </c>
      <c r="AZ109" s="724">
        <f t="shared" si="71"/>
        <v>100</v>
      </c>
      <c r="BA109" s="594">
        <f t="shared" si="72"/>
        <v>0.125</v>
      </c>
      <c r="BB109" s="594">
        <f t="shared" si="73"/>
        <v>100</v>
      </c>
      <c r="BC109" s="546">
        <v>0</v>
      </c>
      <c r="BD109" s="546">
        <v>0</v>
      </c>
      <c r="BE109" s="546">
        <v>0</v>
      </c>
      <c r="BF109" s="546">
        <v>0</v>
      </c>
      <c r="BG109" s="546">
        <v>0</v>
      </c>
      <c r="BH109" s="546">
        <v>0</v>
      </c>
      <c r="BI109" s="546">
        <v>0</v>
      </c>
      <c r="BJ109" s="546">
        <v>0</v>
      </c>
      <c r="BK109" s="723">
        <v>0</v>
      </c>
      <c r="BL109" s="722">
        <v>0</v>
      </c>
      <c r="BM109" s="722">
        <v>0</v>
      </c>
      <c r="BN109" s="722">
        <v>0</v>
      </c>
      <c r="BO109" s="722">
        <v>0</v>
      </c>
      <c r="BP109" s="722">
        <v>0</v>
      </c>
      <c r="BQ109" s="722">
        <v>0</v>
      </c>
      <c r="BR109" s="722">
        <v>0</v>
      </c>
      <c r="BS109" s="722">
        <v>0</v>
      </c>
      <c r="BT109" s="722">
        <v>0</v>
      </c>
      <c r="BU109" s="722">
        <v>0</v>
      </c>
      <c r="BV109" s="580">
        <f t="shared" si="74"/>
        <v>0.125</v>
      </c>
      <c r="BW109" s="588">
        <v>10</v>
      </c>
      <c r="BX109" s="623">
        <f t="shared" si="107"/>
        <v>0.5</v>
      </c>
      <c r="BY109" s="639">
        <v>5</v>
      </c>
      <c r="BZ109" s="638">
        <v>5</v>
      </c>
      <c r="CA109" s="1018">
        <v>5</v>
      </c>
      <c r="CB109" s="721">
        <f t="shared" si="108"/>
        <v>5</v>
      </c>
      <c r="CC109" s="721">
        <f t="shared" si="109"/>
        <v>50</v>
      </c>
      <c r="CD109" s="720">
        <f t="shared" si="78"/>
        <v>50</v>
      </c>
      <c r="CE109" s="618">
        <f t="shared" si="79"/>
        <v>6.25E-2</v>
      </c>
      <c r="CF109" s="719">
        <f t="shared" si="80"/>
        <v>50</v>
      </c>
      <c r="CG109" s="618">
        <f t="shared" si="81"/>
        <v>6.25E-2</v>
      </c>
      <c r="CH109" s="718">
        <f t="shared" si="82"/>
        <v>0</v>
      </c>
      <c r="CI109" s="552">
        <v>0</v>
      </c>
      <c r="CJ109" s="551">
        <f t="shared" si="110"/>
        <v>0</v>
      </c>
      <c r="CK109" s="874">
        <v>0</v>
      </c>
      <c r="CL109" s="533">
        <f t="shared" si="111"/>
        <v>0</v>
      </c>
      <c r="CM109" s="619">
        <f t="shared" si="112"/>
        <v>0</v>
      </c>
      <c r="CN109" s="619">
        <f t="shared" si="113"/>
        <v>0</v>
      </c>
      <c r="CO109" s="549">
        <f t="shared" si="87"/>
        <v>0</v>
      </c>
      <c r="CP109" s="619">
        <f t="shared" si="88"/>
        <v>0</v>
      </c>
      <c r="CQ109" s="619">
        <f t="shared" si="89"/>
        <v>0</v>
      </c>
      <c r="CR109" s="546">
        <v>0</v>
      </c>
      <c r="CS109" s="546">
        <v>0</v>
      </c>
      <c r="CT109" s="546">
        <v>0</v>
      </c>
      <c r="CU109" s="546">
        <v>0</v>
      </c>
      <c r="CV109" s="546">
        <v>0</v>
      </c>
      <c r="CW109" s="546">
        <v>0</v>
      </c>
      <c r="CX109" s="546">
        <v>0</v>
      </c>
      <c r="CY109" s="546">
        <v>0</v>
      </c>
      <c r="CZ109" s="618">
        <v>0</v>
      </c>
      <c r="DA109" s="618">
        <v>0</v>
      </c>
      <c r="DB109" s="618">
        <v>0</v>
      </c>
      <c r="DC109" s="618">
        <v>0</v>
      </c>
      <c r="DD109" s="618">
        <v>0</v>
      </c>
      <c r="DE109" s="618">
        <v>0</v>
      </c>
      <c r="DF109" s="618">
        <v>0</v>
      </c>
      <c r="DG109" s="618">
        <v>0</v>
      </c>
      <c r="DH109" s="618">
        <v>0</v>
      </c>
      <c r="DI109" s="618">
        <v>0</v>
      </c>
      <c r="DJ109" s="618">
        <v>0</v>
      </c>
      <c r="DK109" s="1034">
        <f t="shared" si="114"/>
        <v>16</v>
      </c>
      <c r="DL109" s="543">
        <f t="shared" si="91"/>
        <v>0.25</v>
      </c>
      <c r="DM109" s="542">
        <f t="shared" si="92"/>
        <v>80</v>
      </c>
      <c r="DN109" s="594">
        <f t="shared" si="93"/>
        <v>80</v>
      </c>
      <c r="DO109" s="540">
        <f t="shared" si="94"/>
        <v>0.2</v>
      </c>
      <c r="DP109" s="597">
        <f>+IF(((DN109*Q109)/100)&lt;Q109, ((DN109*Q109)/100),Q109)</f>
        <v>0.2</v>
      </c>
      <c r="DQ109" s="538">
        <f t="shared" si="95"/>
        <v>0.2</v>
      </c>
      <c r="DR109" s="617">
        <f t="shared" si="96"/>
        <v>1</v>
      </c>
      <c r="DS109" s="616">
        <f t="shared" si="97"/>
        <v>0</v>
      </c>
      <c r="DT109" s="259">
        <v>117</v>
      </c>
      <c r="DU109" s="260" t="s">
        <v>284</v>
      </c>
      <c r="DV109" s="259">
        <v>118</v>
      </c>
      <c r="DW109" s="260" t="s">
        <v>478</v>
      </c>
      <c r="DX109" s="259">
        <v>119</v>
      </c>
      <c r="DY109" s="259"/>
      <c r="DZ109" s="259"/>
      <c r="EA109" s="987"/>
      <c r="EB109" s="1041" t="s">
        <v>2452</v>
      </c>
      <c r="EC109" s="802">
        <v>0</v>
      </c>
      <c r="EE109" s="1047"/>
    </row>
    <row r="110" spans="4:135" s="534" customFormat="1" ht="132" hidden="1" x14ac:dyDescent="0.3">
      <c r="D110" s="783">
        <v>107</v>
      </c>
      <c r="E110" s="799">
        <v>140</v>
      </c>
      <c r="F110" s="787" t="s">
        <v>200</v>
      </c>
      <c r="G110" s="787" t="s">
        <v>7</v>
      </c>
      <c r="H110" s="788" t="s">
        <v>136</v>
      </c>
      <c r="I110" s="712" t="s">
        <v>366</v>
      </c>
      <c r="J110" s="573" t="s">
        <v>543</v>
      </c>
      <c r="K110" s="573" t="s">
        <v>544</v>
      </c>
      <c r="L110" s="701" t="s">
        <v>2254</v>
      </c>
      <c r="M110" s="570" t="s">
        <v>2032</v>
      </c>
      <c r="N110" s="570">
        <v>0</v>
      </c>
      <c r="O110" s="570">
        <f>+P110</f>
        <v>1</v>
      </c>
      <c r="P110" s="569">
        <v>1</v>
      </c>
      <c r="Q110" s="628">
        <v>0.16500000000000001</v>
      </c>
      <c r="R110" s="580">
        <f t="shared" si="61"/>
        <v>4.1250000000000002E-2</v>
      </c>
      <c r="S110" s="708">
        <v>1</v>
      </c>
      <c r="T110" s="625">
        <f t="shared" si="101"/>
        <v>0.25</v>
      </c>
      <c r="U110" s="992">
        <v>0.7</v>
      </c>
      <c r="V110" s="626">
        <f t="shared" si="102"/>
        <v>0.17499999999999999</v>
      </c>
      <c r="W110" s="594">
        <f t="shared" si="103"/>
        <v>70</v>
      </c>
      <c r="X110" s="594">
        <f t="shared" si="65"/>
        <v>70</v>
      </c>
      <c r="Y110" s="594">
        <f t="shared" si="98"/>
        <v>2.8875000000000001E-2</v>
      </c>
      <c r="Z110" s="594">
        <f t="shared" si="66"/>
        <v>70</v>
      </c>
      <c r="AA110" s="546">
        <v>30000000</v>
      </c>
      <c r="AB110" s="546">
        <v>30000000</v>
      </c>
      <c r="AC110" s="546">
        <v>0</v>
      </c>
      <c r="AD110" s="546">
        <v>0</v>
      </c>
      <c r="AE110" s="546">
        <v>0</v>
      </c>
      <c r="AF110" s="546">
        <v>0</v>
      </c>
      <c r="AG110" s="546">
        <v>0</v>
      </c>
      <c r="AH110" s="546">
        <v>0</v>
      </c>
      <c r="AI110" s="546">
        <v>15000000</v>
      </c>
      <c r="AJ110" s="546">
        <v>15000000</v>
      </c>
      <c r="AK110" s="546">
        <v>0</v>
      </c>
      <c r="AL110" s="546">
        <v>0</v>
      </c>
      <c r="AM110" s="546">
        <v>0</v>
      </c>
      <c r="AN110" s="546">
        <v>0</v>
      </c>
      <c r="AO110" s="546">
        <v>0</v>
      </c>
      <c r="AP110" s="546">
        <v>0</v>
      </c>
      <c r="AQ110" s="546">
        <v>0</v>
      </c>
      <c r="AR110" s="546">
        <v>4500000</v>
      </c>
      <c r="AS110" s="546" t="s">
        <v>2253</v>
      </c>
      <c r="AT110" s="570">
        <f t="shared" si="67"/>
        <v>4.1250000000000002E-2</v>
      </c>
      <c r="AU110" s="570">
        <v>1</v>
      </c>
      <c r="AV110" s="625">
        <f t="shared" si="104"/>
        <v>0.25</v>
      </c>
      <c r="AW110" s="1003">
        <v>1</v>
      </c>
      <c r="AX110" s="724">
        <f t="shared" si="105"/>
        <v>0.25</v>
      </c>
      <c r="AY110" s="724">
        <f t="shared" si="106"/>
        <v>100</v>
      </c>
      <c r="AZ110" s="724">
        <f t="shared" si="71"/>
        <v>100</v>
      </c>
      <c r="BA110" s="594">
        <f t="shared" si="72"/>
        <v>4.1250000000000002E-2</v>
      </c>
      <c r="BB110" s="594">
        <f t="shared" si="73"/>
        <v>100</v>
      </c>
      <c r="BC110" s="546">
        <v>5000000</v>
      </c>
      <c r="BD110" s="546">
        <v>0</v>
      </c>
      <c r="BE110" s="546">
        <v>5000000</v>
      </c>
      <c r="BF110" s="546">
        <v>0</v>
      </c>
      <c r="BG110" s="546">
        <v>0</v>
      </c>
      <c r="BH110" s="546">
        <v>0</v>
      </c>
      <c r="BI110" s="546">
        <v>0</v>
      </c>
      <c r="BJ110" s="546">
        <v>0</v>
      </c>
      <c r="BK110" s="723">
        <v>8000000</v>
      </c>
      <c r="BL110" s="722">
        <v>8000000</v>
      </c>
      <c r="BM110" s="722">
        <v>0</v>
      </c>
      <c r="BN110" s="722">
        <v>0</v>
      </c>
      <c r="BO110" s="722">
        <v>0</v>
      </c>
      <c r="BP110" s="722">
        <v>0</v>
      </c>
      <c r="BQ110" s="722">
        <v>0</v>
      </c>
      <c r="BR110" s="722">
        <v>0</v>
      </c>
      <c r="BS110" s="722">
        <v>0</v>
      </c>
      <c r="BT110" s="722">
        <v>0</v>
      </c>
      <c r="BU110" s="722">
        <v>0</v>
      </c>
      <c r="BV110" s="580">
        <f t="shared" si="74"/>
        <v>4.1250000000000002E-2</v>
      </c>
      <c r="BW110" s="588">
        <v>1</v>
      </c>
      <c r="BX110" s="623">
        <f t="shared" si="107"/>
        <v>0.25</v>
      </c>
      <c r="BY110" s="639">
        <v>1</v>
      </c>
      <c r="BZ110" s="638">
        <v>1</v>
      </c>
      <c r="CA110" s="1018">
        <v>1</v>
      </c>
      <c r="CB110" s="721">
        <f t="shared" si="108"/>
        <v>0.25</v>
      </c>
      <c r="CC110" s="721">
        <f t="shared" si="109"/>
        <v>100</v>
      </c>
      <c r="CD110" s="720">
        <f t="shared" si="78"/>
        <v>100</v>
      </c>
      <c r="CE110" s="618">
        <f t="shared" si="79"/>
        <v>4.1250000000000002E-2</v>
      </c>
      <c r="CF110" s="719">
        <f t="shared" si="80"/>
        <v>100</v>
      </c>
      <c r="CG110" s="618">
        <f t="shared" si="81"/>
        <v>4.1250000000000002E-2</v>
      </c>
      <c r="CH110" s="718">
        <f t="shared" si="82"/>
        <v>4.1250000000000002E-2</v>
      </c>
      <c r="CI110" s="634">
        <v>1</v>
      </c>
      <c r="CJ110" s="551">
        <f t="shared" si="110"/>
        <v>0.25</v>
      </c>
      <c r="CK110" s="874">
        <v>0</v>
      </c>
      <c r="CL110" s="533">
        <f t="shared" si="111"/>
        <v>1</v>
      </c>
      <c r="CM110" s="619">
        <f t="shared" si="112"/>
        <v>0</v>
      </c>
      <c r="CN110" s="619">
        <f t="shared" si="113"/>
        <v>0</v>
      </c>
      <c r="CO110" s="619">
        <f t="shared" si="87"/>
        <v>0</v>
      </c>
      <c r="CP110" s="619">
        <f t="shared" si="88"/>
        <v>0</v>
      </c>
      <c r="CQ110" s="619">
        <f t="shared" si="89"/>
        <v>0</v>
      </c>
      <c r="CR110" s="546">
        <v>12000000</v>
      </c>
      <c r="CS110" s="546">
        <v>12000000</v>
      </c>
      <c r="CT110" s="546">
        <v>0</v>
      </c>
      <c r="CU110" s="546">
        <v>0</v>
      </c>
      <c r="CV110" s="546">
        <v>0</v>
      </c>
      <c r="CW110" s="546">
        <v>0</v>
      </c>
      <c r="CX110" s="546">
        <v>0</v>
      </c>
      <c r="CY110" s="546">
        <v>0</v>
      </c>
      <c r="CZ110" s="618">
        <v>0</v>
      </c>
      <c r="DA110" s="618">
        <v>0</v>
      </c>
      <c r="DB110" s="618">
        <v>0</v>
      </c>
      <c r="DC110" s="618">
        <v>0</v>
      </c>
      <c r="DD110" s="618">
        <v>0</v>
      </c>
      <c r="DE110" s="618">
        <v>0</v>
      </c>
      <c r="DF110" s="618">
        <v>0</v>
      </c>
      <c r="DG110" s="618">
        <v>0</v>
      </c>
      <c r="DH110" s="618">
        <v>0</v>
      </c>
      <c r="DI110" s="618">
        <v>0</v>
      </c>
      <c r="DJ110" s="618">
        <v>0</v>
      </c>
      <c r="DK110" s="1034">
        <f t="shared" si="114"/>
        <v>0.67500000000000004</v>
      </c>
      <c r="DL110" s="543">
        <f t="shared" si="91"/>
        <v>0.16500000000000001</v>
      </c>
      <c r="DM110" s="542">
        <f t="shared" si="92"/>
        <v>67.5</v>
      </c>
      <c r="DN110" s="594">
        <f t="shared" si="93"/>
        <v>67.5</v>
      </c>
      <c r="DO110" s="540">
        <f t="shared" si="94"/>
        <v>0.11137500000000002</v>
      </c>
      <c r="DP110" s="597">
        <f>+IF(M110="M",DO110,0)</f>
        <v>0.11137500000000002</v>
      </c>
      <c r="DQ110" s="538">
        <f t="shared" si="95"/>
        <v>0.11137500000000002</v>
      </c>
      <c r="DR110" s="617">
        <f t="shared" si="96"/>
        <v>1</v>
      </c>
      <c r="DS110" s="616">
        <f t="shared" si="97"/>
        <v>0</v>
      </c>
      <c r="DT110" s="259">
        <v>117</v>
      </c>
      <c r="DU110" s="260" t="s">
        <v>284</v>
      </c>
      <c r="DV110" s="259">
        <v>118</v>
      </c>
      <c r="DW110" s="260" t="s">
        <v>478</v>
      </c>
      <c r="DX110" s="259"/>
      <c r="DY110" s="259"/>
      <c r="DZ110" s="259"/>
      <c r="EA110" s="987"/>
      <c r="EB110" s="1041" t="s">
        <v>2453</v>
      </c>
      <c r="EC110" s="802">
        <v>12000000</v>
      </c>
      <c r="EE110" s="1047"/>
    </row>
    <row r="111" spans="4:135" s="534" customFormat="1" ht="132" hidden="1" x14ac:dyDescent="0.3">
      <c r="D111" s="783">
        <v>108</v>
      </c>
      <c r="E111" s="799">
        <v>141</v>
      </c>
      <c r="F111" s="574" t="s">
        <v>200</v>
      </c>
      <c r="G111" s="574" t="s">
        <v>7</v>
      </c>
      <c r="H111" s="574" t="s">
        <v>136</v>
      </c>
      <c r="I111" s="574" t="s">
        <v>366</v>
      </c>
      <c r="J111" s="573" t="s">
        <v>1427</v>
      </c>
      <c r="K111" s="573" t="s">
        <v>545</v>
      </c>
      <c r="L111" s="702" t="s">
        <v>1690</v>
      </c>
      <c r="M111" s="570" t="s">
        <v>2017</v>
      </c>
      <c r="N111" s="570">
        <v>0</v>
      </c>
      <c r="O111" s="570">
        <f t="shared" ref="O111:O117" si="115">+N111+P111</f>
        <v>150</v>
      </c>
      <c r="P111" s="569">
        <v>150</v>
      </c>
      <c r="Q111" s="631">
        <v>0.16500000000000001</v>
      </c>
      <c r="R111" s="580">
        <f t="shared" si="61"/>
        <v>2.2000000000000001E-3</v>
      </c>
      <c r="S111" s="708">
        <v>2</v>
      </c>
      <c r="T111" s="625">
        <f t="shared" si="101"/>
        <v>1.3333333333333334E-2</v>
      </c>
      <c r="U111" s="992">
        <v>2</v>
      </c>
      <c r="V111" s="626">
        <f t="shared" si="102"/>
        <v>2</v>
      </c>
      <c r="W111" s="594">
        <f t="shared" si="103"/>
        <v>100</v>
      </c>
      <c r="X111" s="594">
        <f t="shared" si="65"/>
        <v>100</v>
      </c>
      <c r="Y111" s="594">
        <f t="shared" si="98"/>
        <v>2.2000000000000001E-3</v>
      </c>
      <c r="Z111" s="594">
        <f t="shared" si="66"/>
        <v>100</v>
      </c>
      <c r="AA111" s="546">
        <v>25000000</v>
      </c>
      <c r="AB111" s="546">
        <v>25000000</v>
      </c>
      <c r="AC111" s="546">
        <v>0</v>
      </c>
      <c r="AD111" s="546">
        <v>0</v>
      </c>
      <c r="AE111" s="546">
        <v>0</v>
      </c>
      <c r="AF111" s="546">
        <v>0</v>
      </c>
      <c r="AG111" s="546">
        <v>0</v>
      </c>
      <c r="AH111" s="546">
        <v>0</v>
      </c>
      <c r="AI111" s="546">
        <v>7500000</v>
      </c>
      <c r="AJ111" s="546">
        <v>7500000</v>
      </c>
      <c r="AK111" s="546">
        <v>0</v>
      </c>
      <c r="AL111" s="546">
        <v>0</v>
      </c>
      <c r="AM111" s="546">
        <v>0</v>
      </c>
      <c r="AN111" s="546">
        <v>0</v>
      </c>
      <c r="AO111" s="546">
        <v>0</v>
      </c>
      <c r="AP111" s="546">
        <v>0</v>
      </c>
      <c r="AQ111" s="546">
        <v>0</v>
      </c>
      <c r="AR111" s="546">
        <v>0</v>
      </c>
      <c r="AS111" s="546">
        <v>0</v>
      </c>
      <c r="AT111" s="630">
        <f t="shared" si="67"/>
        <v>1.3200000000000002E-2</v>
      </c>
      <c r="AU111" s="570">
        <v>12</v>
      </c>
      <c r="AV111" s="625">
        <f t="shared" si="104"/>
        <v>0.08</v>
      </c>
      <c r="AW111" s="1003">
        <v>12</v>
      </c>
      <c r="AX111" s="724">
        <f t="shared" si="105"/>
        <v>12</v>
      </c>
      <c r="AY111" s="724">
        <f t="shared" si="106"/>
        <v>100</v>
      </c>
      <c r="AZ111" s="724">
        <f t="shared" si="71"/>
        <v>100</v>
      </c>
      <c r="BA111" s="594">
        <f t="shared" si="72"/>
        <v>1.32E-2</v>
      </c>
      <c r="BB111" s="594">
        <f t="shared" si="73"/>
        <v>100</v>
      </c>
      <c r="BC111" s="546">
        <v>13000000</v>
      </c>
      <c r="BD111" s="546">
        <v>0</v>
      </c>
      <c r="BE111" s="546">
        <v>13000000</v>
      </c>
      <c r="BF111" s="546">
        <v>0</v>
      </c>
      <c r="BG111" s="546">
        <v>0</v>
      </c>
      <c r="BH111" s="546">
        <v>0</v>
      </c>
      <c r="BI111" s="546">
        <v>0</v>
      </c>
      <c r="BJ111" s="546">
        <v>0</v>
      </c>
      <c r="BK111" s="723">
        <v>32000000</v>
      </c>
      <c r="BL111" s="722">
        <v>32000000</v>
      </c>
      <c r="BM111" s="722">
        <v>0</v>
      </c>
      <c r="BN111" s="722">
        <v>0</v>
      </c>
      <c r="BO111" s="722">
        <v>0</v>
      </c>
      <c r="BP111" s="722">
        <v>0</v>
      </c>
      <c r="BQ111" s="722">
        <v>0</v>
      </c>
      <c r="BR111" s="722">
        <v>0</v>
      </c>
      <c r="BS111" s="722">
        <v>0</v>
      </c>
      <c r="BT111" s="722">
        <v>0</v>
      </c>
      <c r="BU111" s="722">
        <v>0</v>
      </c>
      <c r="BV111" s="580">
        <f t="shared" si="74"/>
        <v>4.9500000000000002E-2</v>
      </c>
      <c r="BW111" s="588">
        <v>45</v>
      </c>
      <c r="BX111" s="623">
        <f t="shared" si="107"/>
        <v>0.3</v>
      </c>
      <c r="BY111" s="639">
        <v>0</v>
      </c>
      <c r="BZ111" s="638">
        <v>34</v>
      </c>
      <c r="CA111" s="1018">
        <v>55</v>
      </c>
      <c r="CB111" s="721">
        <f t="shared" si="108"/>
        <v>55</v>
      </c>
      <c r="CC111" s="721">
        <f t="shared" si="109"/>
        <v>122.22222222222223</v>
      </c>
      <c r="CD111" s="720">
        <f t="shared" si="78"/>
        <v>100</v>
      </c>
      <c r="CE111" s="618">
        <f t="shared" si="79"/>
        <v>4.9500000000000002E-2</v>
      </c>
      <c r="CF111" s="719">
        <f t="shared" si="80"/>
        <v>100</v>
      </c>
      <c r="CG111" s="618">
        <f t="shared" si="81"/>
        <v>6.0500000000000005E-2</v>
      </c>
      <c r="CH111" s="718">
        <f t="shared" si="82"/>
        <v>0.10010000000000001</v>
      </c>
      <c r="CI111" s="552">
        <v>91</v>
      </c>
      <c r="CJ111" s="551">
        <f t="shared" si="110"/>
        <v>0.60666666666666669</v>
      </c>
      <c r="CK111" s="874">
        <v>0</v>
      </c>
      <c r="CL111" s="533">
        <f t="shared" si="111"/>
        <v>91</v>
      </c>
      <c r="CM111" s="619">
        <f t="shared" si="112"/>
        <v>0</v>
      </c>
      <c r="CN111" s="619">
        <f t="shared" si="113"/>
        <v>0</v>
      </c>
      <c r="CO111" s="549">
        <f t="shared" si="87"/>
        <v>0</v>
      </c>
      <c r="CP111" s="619">
        <f t="shared" si="88"/>
        <v>0</v>
      </c>
      <c r="CQ111" s="619">
        <f t="shared" si="89"/>
        <v>0</v>
      </c>
      <c r="CR111" s="546">
        <v>30000000</v>
      </c>
      <c r="CS111" s="546">
        <v>30000000</v>
      </c>
      <c r="CT111" s="546">
        <v>0</v>
      </c>
      <c r="CU111" s="546">
        <v>0</v>
      </c>
      <c r="CV111" s="546">
        <v>0</v>
      </c>
      <c r="CW111" s="546">
        <v>0</v>
      </c>
      <c r="CX111" s="546">
        <v>0</v>
      </c>
      <c r="CY111" s="546">
        <v>0</v>
      </c>
      <c r="CZ111" s="618">
        <v>0</v>
      </c>
      <c r="DA111" s="618">
        <v>0</v>
      </c>
      <c r="DB111" s="618">
        <v>0</v>
      </c>
      <c r="DC111" s="618">
        <v>0</v>
      </c>
      <c r="DD111" s="618">
        <v>0</v>
      </c>
      <c r="DE111" s="618">
        <v>0</v>
      </c>
      <c r="DF111" s="618">
        <v>0</v>
      </c>
      <c r="DG111" s="618">
        <v>0</v>
      </c>
      <c r="DH111" s="618">
        <v>0</v>
      </c>
      <c r="DI111" s="618">
        <v>0</v>
      </c>
      <c r="DJ111" s="618">
        <v>0</v>
      </c>
      <c r="DK111" s="1034">
        <f t="shared" si="114"/>
        <v>69</v>
      </c>
      <c r="DL111" s="543">
        <f t="shared" si="91"/>
        <v>0.16500000000000001</v>
      </c>
      <c r="DM111" s="542">
        <f t="shared" si="92"/>
        <v>46</v>
      </c>
      <c r="DN111" s="594">
        <f t="shared" si="93"/>
        <v>46</v>
      </c>
      <c r="DO111" s="540">
        <f t="shared" si="94"/>
        <v>7.5900000000000009E-2</v>
      </c>
      <c r="DP111" s="597">
        <f t="shared" ref="DP111:DP117" si="116">+IF(((DN111*Q111)/100)&lt;Q111, ((DN111*Q111)/100),Q111)</f>
        <v>7.5900000000000009E-2</v>
      </c>
      <c r="DQ111" s="538">
        <f t="shared" si="95"/>
        <v>7.5900000000000009E-2</v>
      </c>
      <c r="DR111" s="617">
        <f t="shared" si="96"/>
        <v>1</v>
      </c>
      <c r="DS111" s="616">
        <f t="shared" si="97"/>
        <v>0</v>
      </c>
      <c r="DT111" s="259">
        <v>117</v>
      </c>
      <c r="DU111" s="260" t="s">
        <v>284</v>
      </c>
      <c r="DV111" s="259">
        <v>118</v>
      </c>
      <c r="DW111" s="260" t="s">
        <v>478</v>
      </c>
      <c r="DX111" s="259">
        <v>119</v>
      </c>
      <c r="DY111" s="259"/>
      <c r="DZ111" s="259"/>
      <c r="EA111" s="987"/>
      <c r="EB111" s="1041" t="s">
        <v>2454</v>
      </c>
      <c r="EC111" s="802">
        <v>30000000</v>
      </c>
      <c r="EE111" s="1047"/>
    </row>
    <row r="112" spans="4:135" s="534" customFormat="1" ht="63.75" hidden="1" x14ac:dyDescent="0.3">
      <c r="D112" s="783">
        <v>109</v>
      </c>
      <c r="E112" s="799">
        <v>142</v>
      </c>
      <c r="F112" s="787" t="s">
        <v>200</v>
      </c>
      <c r="G112" s="787" t="s">
        <v>7</v>
      </c>
      <c r="H112" s="788" t="s">
        <v>136</v>
      </c>
      <c r="I112" s="712" t="s">
        <v>366</v>
      </c>
      <c r="J112" s="573" t="s">
        <v>546</v>
      </c>
      <c r="K112" s="573" t="s">
        <v>547</v>
      </c>
      <c r="L112" s="702" t="s">
        <v>2252</v>
      </c>
      <c r="M112" s="570" t="s">
        <v>2017</v>
      </c>
      <c r="N112" s="570">
        <v>0</v>
      </c>
      <c r="O112" s="570">
        <f t="shared" si="115"/>
        <v>40</v>
      </c>
      <c r="P112" s="569">
        <v>40</v>
      </c>
      <c r="Q112" s="628">
        <v>0.16500000000000001</v>
      </c>
      <c r="R112" s="580">
        <f t="shared" si="61"/>
        <v>2.0625000000000001E-2</v>
      </c>
      <c r="S112" s="708">
        <v>5</v>
      </c>
      <c r="T112" s="625">
        <f t="shared" si="101"/>
        <v>0.125</v>
      </c>
      <c r="U112" s="992">
        <v>5</v>
      </c>
      <c r="V112" s="626">
        <f t="shared" si="102"/>
        <v>5</v>
      </c>
      <c r="W112" s="594">
        <f t="shared" si="103"/>
        <v>100</v>
      </c>
      <c r="X112" s="594">
        <f t="shared" si="65"/>
        <v>100</v>
      </c>
      <c r="Y112" s="594">
        <f t="shared" si="98"/>
        <v>2.0625000000000001E-2</v>
      </c>
      <c r="Z112" s="594">
        <f t="shared" si="66"/>
        <v>100</v>
      </c>
      <c r="AA112" s="546">
        <v>144000000</v>
      </c>
      <c r="AB112" s="546">
        <v>144000000</v>
      </c>
      <c r="AC112" s="546">
        <v>0</v>
      </c>
      <c r="AD112" s="546">
        <v>0</v>
      </c>
      <c r="AE112" s="546">
        <v>0</v>
      </c>
      <c r="AF112" s="546">
        <v>0</v>
      </c>
      <c r="AG112" s="546">
        <v>0</v>
      </c>
      <c r="AH112" s="546">
        <v>0</v>
      </c>
      <c r="AI112" s="546">
        <v>56000000</v>
      </c>
      <c r="AJ112" s="546">
        <v>56000000</v>
      </c>
      <c r="AK112" s="546">
        <v>0</v>
      </c>
      <c r="AL112" s="546">
        <v>0</v>
      </c>
      <c r="AM112" s="546">
        <v>0</v>
      </c>
      <c r="AN112" s="546">
        <v>0</v>
      </c>
      <c r="AO112" s="546">
        <v>0</v>
      </c>
      <c r="AP112" s="546">
        <v>0</v>
      </c>
      <c r="AQ112" s="546">
        <v>0</v>
      </c>
      <c r="AR112" s="546">
        <v>26975000</v>
      </c>
      <c r="AS112" s="546" t="s">
        <v>2251</v>
      </c>
      <c r="AT112" s="570">
        <f t="shared" si="67"/>
        <v>4.1250000000000002E-2</v>
      </c>
      <c r="AU112" s="570">
        <v>10</v>
      </c>
      <c r="AV112" s="625">
        <f t="shared" si="104"/>
        <v>0.25</v>
      </c>
      <c r="AW112" s="1003">
        <v>10</v>
      </c>
      <c r="AX112" s="724">
        <f t="shared" si="105"/>
        <v>10</v>
      </c>
      <c r="AY112" s="724">
        <f t="shared" si="106"/>
        <v>100</v>
      </c>
      <c r="AZ112" s="724">
        <f t="shared" si="71"/>
        <v>100</v>
      </c>
      <c r="BA112" s="594">
        <f t="shared" si="72"/>
        <v>4.1250000000000002E-2</v>
      </c>
      <c r="BB112" s="594">
        <f t="shared" si="73"/>
        <v>100</v>
      </c>
      <c r="BC112" s="546">
        <v>5000000</v>
      </c>
      <c r="BD112" s="546">
        <v>0</v>
      </c>
      <c r="BE112" s="546">
        <v>5000000</v>
      </c>
      <c r="BF112" s="546">
        <v>0</v>
      </c>
      <c r="BG112" s="546">
        <v>0</v>
      </c>
      <c r="BH112" s="546">
        <v>0</v>
      </c>
      <c r="BI112" s="546">
        <v>0</v>
      </c>
      <c r="BJ112" s="546">
        <v>0</v>
      </c>
      <c r="BK112" s="723">
        <v>56000000</v>
      </c>
      <c r="BL112" s="722">
        <v>56000000</v>
      </c>
      <c r="BM112" s="722">
        <v>0</v>
      </c>
      <c r="BN112" s="722">
        <v>0</v>
      </c>
      <c r="BO112" s="722">
        <v>0</v>
      </c>
      <c r="BP112" s="722">
        <v>0</v>
      </c>
      <c r="BQ112" s="722">
        <v>0</v>
      </c>
      <c r="BR112" s="722">
        <v>0</v>
      </c>
      <c r="BS112" s="722">
        <v>0</v>
      </c>
      <c r="BT112" s="722">
        <v>0</v>
      </c>
      <c r="BU112" s="722">
        <v>0</v>
      </c>
      <c r="BV112" s="580">
        <f t="shared" si="74"/>
        <v>6.1874999999999999E-2</v>
      </c>
      <c r="BW112" s="588">
        <v>15</v>
      </c>
      <c r="BX112" s="623">
        <f t="shared" si="107"/>
        <v>0.375</v>
      </c>
      <c r="BY112" s="639">
        <v>0</v>
      </c>
      <c r="BZ112" s="638">
        <v>11</v>
      </c>
      <c r="CA112" s="1018">
        <v>15</v>
      </c>
      <c r="CB112" s="721">
        <f t="shared" si="108"/>
        <v>15</v>
      </c>
      <c r="CC112" s="721">
        <f t="shared" si="109"/>
        <v>100</v>
      </c>
      <c r="CD112" s="720">
        <f t="shared" si="78"/>
        <v>100</v>
      </c>
      <c r="CE112" s="618">
        <f t="shared" si="79"/>
        <v>6.1874999999999999E-2</v>
      </c>
      <c r="CF112" s="719">
        <f t="shared" si="80"/>
        <v>100</v>
      </c>
      <c r="CG112" s="618">
        <f t="shared" si="81"/>
        <v>6.1874999999999999E-2</v>
      </c>
      <c r="CH112" s="718">
        <f t="shared" si="82"/>
        <v>4.1250000000000002E-2</v>
      </c>
      <c r="CI112" s="552">
        <v>10</v>
      </c>
      <c r="CJ112" s="551">
        <f t="shared" si="110"/>
        <v>0.25</v>
      </c>
      <c r="CK112" s="874">
        <v>0</v>
      </c>
      <c r="CL112" s="533">
        <f t="shared" si="111"/>
        <v>10</v>
      </c>
      <c r="CM112" s="619">
        <f t="shared" si="112"/>
        <v>0</v>
      </c>
      <c r="CN112" s="619">
        <f t="shared" si="113"/>
        <v>0</v>
      </c>
      <c r="CO112" s="549">
        <f t="shared" si="87"/>
        <v>0</v>
      </c>
      <c r="CP112" s="619">
        <f t="shared" si="88"/>
        <v>0</v>
      </c>
      <c r="CQ112" s="619">
        <f t="shared" si="89"/>
        <v>0</v>
      </c>
      <c r="CR112" s="546">
        <v>12000000</v>
      </c>
      <c r="CS112" s="546">
        <v>12000000</v>
      </c>
      <c r="CT112" s="546">
        <v>0</v>
      </c>
      <c r="CU112" s="546">
        <v>0</v>
      </c>
      <c r="CV112" s="546">
        <v>0</v>
      </c>
      <c r="CW112" s="546">
        <v>0</v>
      </c>
      <c r="CX112" s="546">
        <v>0</v>
      </c>
      <c r="CY112" s="546">
        <v>0</v>
      </c>
      <c r="CZ112" s="618">
        <v>0</v>
      </c>
      <c r="DA112" s="618">
        <v>0</v>
      </c>
      <c r="DB112" s="618">
        <v>0</v>
      </c>
      <c r="DC112" s="618">
        <v>0</v>
      </c>
      <c r="DD112" s="618">
        <v>0</v>
      </c>
      <c r="DE112" s="618">
        <v>0</v>
      </c>
      <c r="DF112" s="618">
        <v>0</v>
      </c>
      <c r="DG112" s="618">
        <v>0</v>
      </c>
      <c r="DH112" s="618">
        <v>0</v>
      </c>
      <c r="DI112" s="618">
        <v>0</v>
      </c>
      <c r="DJ112" s="618">
        <v>0</v>
      </c>
      <c r="DK112" s="1034">
        <f t="shared" si="114"/>
        <v>30</v>
      </c>
      <c r="DL112" s="543">
        <f t="shared" si="91"/>
        <v>0.16500000000000001</v>
      </c>
      <c r="DM112" s="542">
        <f t="shared" si="92"/>
        <v>75</v>
      </c>
      <c r="DN112" s="594">
        <f t="shared" si="93"/>
        <v>75</v>
      </c>
      <c r="DO112" s="540">
        <f t="shared" si="94"/>
        <v>0.12375</v>
      </c>
      <c r="DP112" s="597">
        <f t="shared" si="116"/>
        <v>0.12375</v>
      </c>
      <c r="DQ112" s="538">
        <f t="shared" si="95"/>
        <v>0.12375</v>
      </c>
      <c r="DR112" s="617">
        <f t="shared" si="96"/>
        <v>1</v>
      </c>
      <c r="DS112" s="616">
        <f t="shared" si="97"/>
        <v>0</v>
      </c>
      <c r="DT112" s="259">
        <v>118</v>
      </c>
      <c r="DU112" s="260" t="s">
        <v>478</v>
      </c>
      <c r="DV112" s="259"/>
      <c r="DW112" s="260" t="s">
        <v>242</v>
      </c>
      <c r="DX112" s="259"/>
      <c r="DY112" s="259"/>
      <c r="DZ112" s="259"/>
      <c r="EA112" s="987"/>
      <c r="EB112" s="1041" t="s">
        <v>2455</v>
      </c>
      <c r="EC112" s="802">
        <v>12000000</v>
      </c>
      <c r="EE112" s="1047"/>
    </row>
    <row r="113" spans="4:135" s="534" customFormat="1" ht="132" hidden="1" x14ac:dyDescent="0.3">
      <c r="D113" s="783">
        <v>110</v>
      </c>
      <c r="E113" s="799">
        <v>143</v>
      </c>
      <c r="F113" s="787" t="s">
        <v>200</v>
      </c>
      <c r="G113" s="787" t="s">
        <v>7</v>
      </c>
      <c r="H113" s="788" t="s">
        <v>136</v>
      </c>
      <c r="I113" s="712" t="s">
        <v>366</v>
      </c>
      <c r="J113" s="573" t="s">
        <v>548</v>
      </c>
      <c r="K113" s="573" t="s">
        <v>549</v>
      </c>
      <c r="L113" s="702" t="s">
        <v>1593</v>
      </c>
      <c r="M113" s="570" t="s">
        <v>2017</v>
      </c>
      <c r="N113" s="570">
        <v>0</v>
      </c>
      <c r="O113" s="570">
        <f t="shared" si="115"/>
        <v>107</v>
      </c>
      <c r="P113" s="569">
        <v>107</v>
      </c>
      <c r="Q113" s="628">
        <v>0.16500000000000001</v>
      </c>
      <c r="R113" s="580">
        <f t="shared" si="61"/>
        <v>3.8551401869158883E-2</v>
      </c>
      <c r="S113" s="708">
        <v>25</v>
      </c>
      <c r="T113" s="625">
        <f t="shared" si="101"/>
        <v>0.23364485981308411</v>
      </c>
      <c r="U113" s="992">
        <v>0</v>
      </c>
      <c r="V113" s="626">
        <f t="shared" si="102"/>
        <v>0</v>
      </c>
      <c r="W113" s="594">
        <f t="shared" si="103"/>
        <v>0</v>
      </c>
      <c r="X113" s="594">
        <f t="shared" si="65"/>
        <v>0</v>
      </c>
      <c r="Y113" s="594">
        <f t="shared" si="98"/>
        <v>0</v>
      </c>
      <c r="Z113" s="594">
        <f t="shared" si="66"/>
        <v>0</v>
      </c>
      <c r="AA113" s="546">
        <v>30000000</v>
      </c>
      <c r="AB113" s="546">
        <v>30000000</v>
      </c>
      <c r="AC113" s="546">
        <v>0</v>
      </c>
      <c r="AD113" s="546">
        <v>0</v>
      </c>
      <c r="AE113" s="546">
        <v>0</v>
      </c>
      <c r="AF113" s="546">
        <v>0</v>
      </c>
      <c r="AG113" s="546">
        <v>0</v>
      </c>
      <c r="AH113" s="546">
        <v>0</v>
      </c>
      <c r="AI113" s="546">
        <v>12500000</v>
      </c>
      <c r="AJ113" s="546">
        <v>12500000</v>
      </c>
      <c r="AK113" s="546">
        <v>0</v>
      </c>
      <c r="AL113" s="546">
        <v>0</v>
      </c>
      <c r="AM113" s="546">
        <v>0</v>
      </c>
      <c r="AN113" s="546">
        <v>0</v>
      </c>
      <c r="AO113" s="546">
        <v>0</v>
      </c>
      <c r="AP113" s="546">
        <v>0</v>
      </c>
      <c r="AQ113" s="546">
        <v>0</v>
      </c>
      <c r="AR113" s="546">
        <v>0</v>
      </c>
      <c r="AS113" s="546">
        <v>0</v>
      </c>
      <c r="AT113" s="570">
        <f t="shared" si="67"/>
        <v>3.8551401869158883E-2</v>
      </c>
      <c r="AU113" s="570">
        <v>25</v>
      </c>
      <c r="AV113" s="625">
        <f t="shared" si="104"/>
        <v>0.23364485981308411</v>
      </c>
      <c r="AW113" s="1003">
        <v>70</v>
      </c>
      <c r="AX113" s="724">
        <f t="shared" si="105"/>
        <v>70</v>
      </c>
      <c r="AY113" s="724">
        <f t="shared" si="106"/>
        <v>280</v>
      </c>
      <c r="AZ113" s="724">
        <f t="shared" si="71"/>
        <v>100</v>
      </c>
      <c r="BA113" s="594">
        <f t="shared" si="72"/>
        <v>3.8551401869158883E-2</v>
      </c>
      <c r="BB113" s="594">
        <f t="shared" si="73"/>
        <v>100</v>
      </c>
      <c r="BC113" s="546">
        <v>7000000</v>
      </c>
      <c r="BD113" s="546">
        <v>0</v>
      </c>
      <c r="BE113" s="546">
        <v>7000000</v>
      </c>
      <c r="BF113" s="546">
        <v>0</v>
      </c>
      <c r="BG113" s="546">
        <v>0</v>
      </c>
      <c r="BH113" s="546">
        <v>0</v>
      </c>
      <c r="BI113" s="546">
        <v>0</v>
      </c>
      <c r="BJ113" s="546">
        <v>0</v>
      </c>
      <c r="BK113" s="723">
        <v>35500000</v>
      </c>
      <c r="BL113" s="722">
        <v>35500000</v>
      </c>
      <c r="BM113" s="722">
        <v>0</v>
      </c>
      <c r="BN113" s="722">
        <v>0</v>
      </c>
      <c r="BO113" s="722">
        <v>0</v>
      </c>
      <c r="BP113" s="722">
        <v>0</v>
      </c>
      <c r="BQ113" s="722">
        <v>0</v>
      </c>
      <c r="BR113" s="722">
        <v>0</v>
      </c>
      <c r="BS113" s="722">
        <v>0</v>
      </c>
      <c r="BT113" s="722">
        <v>0</v>
      </c>
      <c r="BU113" s="722">
        <v>0</v>
      </c>
      <c r="BV113" s="580">
        <f t="shared" si="74"/>
        <v>7.7102803738317766E-2</v>
      </c>
      <c r="BW113" s="588">
        <v>50</v>
      </c>
      <c r="BX113" s="623">
        <f t="shared" si="107"/>
        <v>0.46728971962616822</v>
      </c>
      <c r="BY113" s="639">
        <v>5</v>
      </c>
      <c r="BZ113" s="638">
        <v>30</v>
      </c>
      <c r="CA113" s="1018">
        <v>37</v>
      </c>
      <c r="CB113" s="721">
        <f t="shared" si="108"/>
        <v>37</v>
      </c>
      <c r="CC113" s="721">
        <f t="shared" si="109"/>
        <v>74</v>
      </c>
      <c r="CD113" s="720">
        <f t="shared" si="78"/>
        <v>74</v>
      </c>
      <c r="CE113" s="618">
        <f t="shared" si="79"/>
        <v>5.7056074766355144E-2</v>
      </c>
      <c r="CF113" s="719">
        <f t="shared" si="80"/>
        <v>74</v>
      </c>
      <c r="CG113" s="618">
        <f t="shared" si="81"/>
        <v>5.7056074766355144E-2</v>
      </c>
      <c r="CH113" s="718">
        <f t="shared" si="82"/>
        <v>1.0794392523364485E-2</v>
      </c>
      <c r="CI113" s="552">
        <v>7</v>
      </c>
      <c r="CJ113" s="551">
        <f t="shared" si="110"/>
        <v>6.5420560747663545E-2</v>
      </c>
      <c r="CK113" s="871">
        <v>0</v>
      </c>
      <c r="CL113" s="533">
        <f t="shared" si="111"/>
        <v>7</v>
      </c>
      <c r="CM113" s="619">
        <f t="shared" si="112"/>
        <v>0</v>
      </c>
      <c r="CN113" s="619">
        <f t="shared" si="113"/>
        <v>0</v>
      </c>
      <c r="CO113" s="549">
        <f t="shared" si="87"/>
        <v>0</v>
      </c>
      <c r="CP113" s="619">
        <f t="shared" si="88"/>
        <v>0</v>
      </c>
      <c r="CQ113" s="619">
        <f t="shared" si="89"/>
        <v>0</v>
      </c>
      <c r="CR113" s="546">
        <v>15000000</v>
      </c>
      <c r="CS113" s="546">
        <v>15000000</v>
      </c>
      <c r="CT113" s="546">
        <v>0</v>
      </c>
      <c r="CU113" s="546">
        <v>0</v>
      </c>
      <c r="CV113" s="546">
        <v>0</v>
      </c>
      <c r="CW113" s="546">
        <v>0</v>
      </c>
      <c r="CX113" s="546">
        <v>0</v>
      </c>
      <c r="CY113" s="546">
        <v>0</v>
      </c>
      <c r="CZ113" s="618">
        <v>0</v>
      </c>
      <c r="DA113" s="618">
        <v>0</v>
      </c>
      <c r="DB113" s="618">
        <v>0</v>
      </c>
      <c r="DC113" s="618">
        <v>0</v>
      </c>
      <c r="DD113" s="618">
        <v>0</v>
      </c>
      <c r="DE113" s="618">
        <v>0</v>
      </c>
      <c r="DF113" s="618">
        <v>0</v>
      </c>
      <c r="DG113" s="618">
        <v>0</v>
      </c>
      <c r="DH113" s="618">
        <v>0</v>
      </c>
      <c r="DI113" s="618">
        <v>0</v>
      </c>
      <c r="DJ113" s="618">
        <v>0</v>
      </c>
      <c r="DK113" s="1034">
        <f t="shared" si="114"/>
        <v>107</v>
      </c>
      <c r="DL113" s="543">
        <f t="shared" si="91"/>
        <v>0.16500000000000001</v>
      </c>
      <c r="DM113" s="542">
        <f t="shared" si="92"/>
        <v>100</v>
      </c>
      <c r="DN113" s="594">
        <f t="shared" si="93"/>
        <v>100</v>
      </c>
      <c r="DO113" s="540">
        <f t="shared" si="94"/>
        <v>0.16500000000000001</v>
      </c>
      <c r="DP113" s="597">
        <f t="shared" si="116"/>
        <v>0.16500000000000001</v>
      </c>
      <c r="DQ113" s="538">
        <f t="shared" si="95"/>
        <v>0.16500000000000001</v>
      </c>
      <c r="DR113" s="617">
        <f t="shared" si="96"/>
        <v>1</v>
      </c>
      <c r="DS113" s="616">
        <f t="shared" si="97"/>
        <v>0</v>
      </c>
      <c r="DT113" s="259">
        <v>117</v>
      </c>
      <c r="DU113" s="260" t="s">
        <v>284</v>
      </c>
      <c r="DV113" s="259">
        <v>118</v>
      </c>
      <c r="DW113" s="260" t="s">
        <v>478</v>
      </c>
      <c r="DX113" s="259">
        <v>119</v>
      </c>
      <c r="DY113" s="259"/>
      <c r="DZ113" s="259"/>
      <c r="EA113" s="987"/>
      <c r="EB113" s="1041" t="s">
        <v>2456</v>
      </c>
      <c r="EC113" s="802">
        <v>15000000</v>
      </c>
      <c r="EE113" s="1047"/>
    </row>
    <row r="114" spans="4:135" s="534" customFormat="1" ht="38.25" hidden="1" x14ac:dyDescent="0.3">
      <c r="D114" s="783">
        <v>111</v>
      </c>
      <c r="E114" s="799">
        <v>144</v>
      </c>
      <c r="F114" s="574" t="s">
        <v>200</v>
      </c>
      <c r="G114" s="574" t="s">
        <v>7</v>
      </c>
      <c r="H114" s="574" t="s">
        <v>136</v>
      </c>
      <c r="I114" s="574" t="s">
        <v>366</v>
      </c>
      <c r="J114" s="573" t="s">
        <v>1428</v>
      </c>
      <c r="K114" s="573" t="s">
        <v>1484</v>
      </c>
      <c r="L114" s="702" t="s">
        <v>2250</v>
      </c>
      <c r="M114" s="570" t="s">
        <v>2017</v>
      </c>
      <c r="N114" s="570">
        <v>0</v>
      </c>
      <c r="O114" s="570">
        <f t="shared" si="115"/>
        <v>58</v>
      </c>
      <c r="P114" s="569">
        <v>58</v>
      </c>
      <c r="Q114" s="631">
        <v>0.16500000000000001</v>
      </c>
      <c r="R114" s="580">
        <f t="shared" si="61"/>
        <v>0</v>
      </c>
      <c r="S114" s="708">
        <v>0</v>
      </c>
      <c r="T114" s="625">
        <f t="shared" si="101"/>
        <v>0</v>
      </c>
      <c r="U114" s="992">
        <v>0</v>
      </c>
      <c r="V114" s="626">
        <f t="shared" si="102"/>
        <v>0</v>
      </c>
      <c r="W114" s="594">
        <f t="shared" si="103"/>
        <v>0</v>
      </c>
      <c r="X114" s="594">
        <f t="shared" si="65"/>
        <v>0</v>
      </c>
      <c r="Y114" s="594">
        <f t="shared" si="98"/>
        <v>0</v>
      </c>
      <c r="Z114" s="594">
        <f t="shared" si="66"/>
        <v>0</v>
      </c>
      <c r="AA114" s="546">
        <v>0</v>
      </c>
      <c r="AB114" s="546">
        <v>0</v>
      </c>
      <c r="AC114" s="546">
        <v>0</v>
      </c>
      <c r="AD114" s="546">
        <v>0</v>
      </c>
      <c r="AE114" s="546">
        <v>0</v>
      </c>
      <c r="AF114" s="546">
        <v>0</v>
      </c>
      <c r="AG114" s="546">
        <v>0</v>
      </c>
      <c r="AH114" s="546">
        <v>0</v>
      </c>
      <c r="AI114" s="546">
        <v>0</v>
      </c>
      <c r="AJ114" s="546">
        <v>0</v>
      </c>
      <c r="AK114" s="546">
        <v>0</v>
      </c>
      <c r="AL114" s="546">
        <v>0</v>
      </c>
      <c r="AM114" s="546">
        <v>0</v>
      </c>
      <c r="AN114" s="546">
        <v>0</v>
      </c>
      <c r="AO114" s="546">
        <v>0</v>
      </c>
      <c r="AP114" s="546">
        <v>0</v>
      </c>
      <c r="AQ114" s="546">
        <v>0</v>
      </c>
      <c r="AR114" s="546">
        <v>0</v>
      </c>
      <c r="AS114" s="546">
        <v>0</v>
      </c>
      <c r="AT114" s="630">
        <f t="shared" si="67"/>
        <v>0</v>
      </c>
      <c r="AU114" s="570">
        <v>0</v>
      </c>
      <c r="AV114" s="625">
        <f t="shared" si="104"/>
        <v>0</v>
      </c>
      <c r="AW114" s="1003">
        <v>0</v>
      </c>
      <c r="AX114" s="724">
        <f t="shared" si="105"/>
        <v>0</v>
      </c>
      <c r="AY114" s="724">
        <f t="shared" si="106"/>
        <v>0</v>
      </c>
      <c r="AZ114" s="724">
        <f t="shared" si="71"/>
        <v>0</v>
      </c>
      <c r="BA114" s="594">
        <f t="shared" si="72"/>
        <v>0</v>
      </c>
      <c r="BB114" s="594">
        <f t="shared" si="73"/>
        <v>0</v>
      </c>
      <c r="BC114" s="546">
        <v>0</v>
      </c>
      <c r="BD114" s="546">
        <v>0</v>
      </c>
      <c r="BE114" s="546">
        <v>0</v>
      </c>
      <c r="BF114" s="546">
        <v>0</v>
      </c>
      <c r="BG114" s="546">
        <v>0</v>
      </c>
      <c r="BH114" s="546">
        <v>0</v>
      </c>
      <c r="BI114" s="546">
        <v>0</v>
      </c>
      <c r="BJ114" s="546">
        <v>0</v>
      </c>
      <c r="BK114" s="723">
        <v>0</v>
      </c>
      <c r="BL114" s="722">
        <v>0</v>
      </c>
      <c r="BM114" s="722">
        <v>0</v>
      </c>
      <c r="BN114" s="722">
        <v>0</v>
      </c>
      <c r="BO114" s="722">
        <v>0</v>
      </c>
      <c r="BP114" s="722">
        <v>0</v>
      </c>
      <c r="BQ114" s="722">
        <v>0</v>
      </c>
      <c r="BR114" s="722">
        <v>0</v>
      </c>
      <c r="BS114" s="722">
        <v>0</v>
      </c>
      <c r="BT114" s="722">
        <v>0</v>
      </c>
      <c r="BU114" s="722">
        <v>0</v>
      </c>
      <c r="BV114" s="580">
        <f t="shared" si="74"/>
        <v>2.844827586206897E-2</v>
      </c>
      <c r="BW114" s="588">
        <v>10</v>
      </c>
      <c r="BX114" s="623">
        <f t="shared" si="107"/>
        <v>0.17241379310344829</v>
      </c>
      <c r="BY114" s="639">
        <v>0</v>
      </c>
      <c r="BZ114" s="638">
        <v>0</v>
      </c>
      <c r="CA114" s="1018">
        <v>0</v>
      </c>
      <c r="CB114" s="721">
        <f t="shared" si="108"/>
        <v>0</v>
      </c>
      <c r="CC114" s="721">
        <f t="shared" si="109"/>
        <v>0</v>
      </c>
      <c r="CD114" s="720">
        <f t="shared" si="78"/>
        <v>0</v>
      </c>
      <c r="CE114" s="618">
        <f t="shared" si="79"/>
        <v>0</v>
      </c>
      <c r="CF114" s="719">
        <f t="shared" si="80"/>
        <v>0</v>
      </c>
      <c r="CG114" s="618">
        <f t="shared" si="81"/>
        <v>0</v>
      </c>
      <c r="CH114" s="718">
        <f t="shared" si="82"/>
        <v>0.13655172413793104</v>
      </c>
      <c r="CI114" s="552">
        <v>48</v>
      </c>
      <c r="CJ114" s="551">
        <f t="shared" si="110"/>
        <v>0.82758620689655171</v>
      </c>
      <c r="CK114" s="874">
        <v>2</v>
      </c>
      <c r="CL114" s="533">
        <f t="shared" si="111"/>
        <v>46</v>
      </c>
      <c r="CM114" s="619">
        <f t="shared" si="112"/>
        <v>2</v>
      </c>
      <c r="CN114" s="619">
        <f t="shared" si="113"/>
        <v>4.166666666666667</v>
      </c>
      <c r="CO114" s="549">
        <f t="shared" si="87"/>
        <v>4.166666666666667</v>
      </c>
      <c r="CP114" s="619">
        <f t="shared" si="88"/>
        <v>5.6896551724137934E-3</v>
      </c>
      <c r="CQ114" s="619">
        <f t="shared" si="89"/>
        <v>5.6896551724137934E-3</v>
      </c>
      <c r="CR114" s="546">
        <v>0</v>
      </c>
      <c r="CS114" s="546">
        <v>0</v>
      </c>
      <c r="CT114" s="546">
        <v>0</v>
      </c>
      <c r="CU114" s="546">
        <v>0</v>
      </c>
      <c r="CV114" s="546">
        <v>0</v>
      </c>
      <c r="CW114" s="546">
        <v>0</v>
      </c>
      <c r="CX114" s="546">
        <v>0</v>
      </c>
      <c r="CY114" s="546">
        <v>0</v>
      </c>
      <c r="CZ114" s="618">
        <v>0</v>
      </c>
      <c r="DA114" s="618">
        <v>0</v>
      </c>
      <c r="DB114" s="618">
        <v>0</v>
      </c>
      <c r="DC114" s="618">
        <v>0</v>
      </c>
      <c r="DD114" s="618">
        <v>0</v>
      </c>
      <c r="DE114" s="618">
        <v>0</v>
      </c>
      <c r="DF114" s="618">
        <v>0</v>
      </c>
      <c r="DG114" s="618">
        <v>0</v>
      </c>
      <c r="DH114" s="618">
        <v>0</v>
      </c>
      <c r="DI114" s="618">
        <v>0</v>
      </c>
      <c r="DJ114" s="618">
        <v>0</v>
      </c>
      <c r="DK114" s="1034">
        <f t="shared" si="114"/>
        <v>2</v>
      </c>
      <c r="DL114" s="543">
        <f t="shared" si="91"/>
        <v>0.16500000000000001</v>
      </c>
      <c r="DM114" s="542">
        <f t="shared" si="92"/>
        <v>3.4482758620689653</v>
      </c>
      <c r="DN114" s="594">
        <f t="shared" si="93"/>
        <v>3.4482758620689653</v>
      </c>
      <c r="DO114" s="540">
        <f t="shared" si="94"/>
        <v>5.6896551724137934E-3</v>
      </c>
      <c r="DP114" s="597">
        <f t="shared" si="116"/>
        <v>5.6896551724137934E-3</v>
      </c>
      <c r="DQ114" s="538">
        <f t="shared" si="95"/>
        <v>5.6896551724137934E-3</v>
      </c>
      <c r="DR114" s="617">
        <f t="shared" si="96"/>
        <v>1</v>
      </c>
      <c r="DS114" s="616">
        <f t="shared" si="97"/>
        <v>0</v>
      </c>
      <c r="DT114" s="259">
        <v>119</v>
      </c>
      <c r="DU114" s="260" t="s">
        <v>283</v>
      </c>
      <c r="DV114" s="259"/>
      <c r="DW114" s="260" t="s">
        <v>242</v>
      </c>
      <c r="DX114" s="259"/>
      <c r="DY114" s="259"/>
      <c r="DZ114" s="259"/>
      <c r="EA114" s="987"/>
      <c r="EB114" s="1041" t="s">
        <v>2457</v>
      </c>
      <c r="EC114" s="802">
        <v>0</v>
      </c>
      <c r="EE114" s="1047"/>
    </row>
    <row r="115" spans="4:135" s="534" customFormat="1" ht="132" hidden="1" x14ac:dyDescent="0.3">
      <c r="D115" s="783">
        <v>112</v>
      </c>
      <c r="E115" s="799">
        <v>145</v>
      </c>
      <c r="F115" s="787" t="s">
        <v>200</v>
      </c>
      <c r="G115" s="787" t="s">
        <v>7</v>
      </c>
      <c r="H115" s="788" t="s">
        <v>136</v>
      </c>
      <c r="I115" s="712" t="s">
        <v>366</v>
      </c>
      <c r="J115" s="573" t="s">
        <v>550</v>
      </c>
      <c r="K115" s="573" t="s">
        <v>551</v>
      </c>
      <c r="L115" s="702" t="s">
        <v>2249</v>
      </c>
      <c r="M115" s="570" t="s">
        <v>2017</v>
      </c>
      <c r="N115" s="570">
        <v>0</v>
      </c>
      <c r="O115" s="570">
        <f t="shared" si="115"/>
        <v>5</v>
      </c>
      <c r="P115" s="569">
        <v>5</v>
      </c>
      <c r="Q115" s="628">
        <v>0.16500000000000001</v>
      </c>
      <c r="R115" s="580">
        <f t="shared" si="61"/>
        <v>3.3000000000000002E-2</v>
      </c>
      <c r="S115" s="708">
        <v>1</v>
      </c>
      <c r="T115" s="625">
        <f t="shared" si="101"/>
        <v>0.2</v>
      </c>
      <c r="U115" s="992">
        <v>1</v>
      </c>
      <c r="V115" s="626">
        <f t="shared" si="102"/>
        <v>1</v>
      </c>
      <c r="W115" s="594">
        <f t="shared" si="103"/>
        <v>100</v>
      </c>
      <c r="X115" s="594">
        <f t="shared" si="65"/>
        <v>100</v>
      </c>
      <c r="Y115" s="594">
        <f t="shared" si="98"/>
        <v>3.3000000000000002E-2</v>
      </c>
      <c r="Z115" s="594">
        <f t="shared" si="66"/>
        <v>100</v>
      </c>
      <c r="AA115" s="546">
        <v>3000000</v>
      </c>
      <c r="AB115" s="546">
        <v>3000000</v>
      </c>
      <c r="AC115" s="546">
        <v>0</v>
      </c>
      <c r="AD115" s="546">
        <v>0</v>
      </c>
      <c r="AE115" s="546">
        <v>0</v>
      </c>
      <c r="AF115" s="546">
        <v>0</v>
      </c>
      <c r="AG115" s="546">
        <v>0</v>
      </c>
      <c r="AH115" s="546">
        <v>0</v>
      </c>
      <c r="AI115" s="546">
        <v>1500000</v>
      </c>
      <c r="AJ115" s="546">
        <v>1500000</v>
      </c>
      <c r="AK115" s="546">
        <v>0</v>
      </c>
      <c r="AL115" s="546">
        <v>0</v>
      </c>
      <c r="AM115" s="546">
        <v>0</v>
      </c>
      <c r="AN115" s="546">
        <v>0</v>
      </c>
      <c r="AO115" s="546">
        <v>0</v>
      </c>
      <c r="AP115" s="546">
        <v>0</v>
      </c>
      <c r="AQ115" s="546">
        <v>0</v>
      </c>
      <c r="AR115" s="546">
        <v>0</v>
      </c>
      <c r="AS115" s="546">
        <v>0</v>
      </c>
      <c r="AT115" s="570">
        <f t="shared" si="67"/>
        <v>3.3000000000000002E-2</v>
      </c>
      <c r="AU115" s="570">
        <v>1</v>
      </c>
      <c r="AV115" s="625">
        <f t="shared" si="104"/>
        <v>0.2</v>
      </c>
      <c r="AW115" s="1003">
        <v>0</v>
      </c>
      <c r="AX115" s="724">
        <f t="shared" si="105"/>
        <v>0</v>
      </c>
      <c r="AY115" s="724">
        <f t="shared" si="106"/>
        <v>0</v>
      </c>
      <c r="AZ115" s="724">
        <f t="shared" si="71"/>
        <v>0</v>
      </c>
      <c r="BA115" s="594">
        <f t="shared" si="72"/>
        <v>0</v>
      </c>
      <c r="BB115" s="594">
        <f t="shared" si="73"/>
        <v>0</v>
      </c>
      <c r="BC115" s="546">
        <v>3000000</v>
      </c>
      <c r="BD115" s="546">
        <v>0</v>
      </c>
      <c r="BE115" s="546">
        <v>3000000</v>
      </c>
      <c r="BF115" s="546">
        <v>0</v>
      </c>
      <c r="BG115" s="546">
        <v>0</v>
      </c>
      <c r="BH115" s="546">
        <v>0</v>
      </c>
      <c r="BI115" s="546">
        <v>0</v>
      </c>
      <c r="BJ115" s="546">
        <v>0</v>
      </c>
      <c r="BK115" s="723">
        <v>1500000</v>
      </c>
      <c r="BL115" s="722">
        <v>1500000</v>
      </c>
      <c r="BM115" s="722">
        <v>0</v>
      </c>
      <c r="BN115" s="722">
        <v>0</v>
      </c>
      <c r="BO115" s="722">
        <v>0</v>
      </c>
      <c r="BP115" s="722">
        <v>0</v>
      </c>
      <c r="BQ115" s="722">
        <v>0</v>
      </c>
      <c r="BR115" s="722">
        <v>0</v>
      </c>
      <c r="BS115" s="722">
        <v>0</v>
      </c>
      <c r="BT115" s="722">
        <v>0</v>
      </c>
      <c r="BU115" s="722">
        <v>0</v>
      </c>
      <c r="BV115" s="580">
        <f t="shared" si="74"/>
        <v>6.6000000000000003E-2</v>
      </c>
      <c r="BW115" s="588">
        <v>2</v>
      </c>
      <c r="BX115" s="623">
        <f t="shared" si="107"/>
        <v>0.4</v>
      </c>
      <c r="BY115" s="639">
        <v>0</v>
      </c>
      <c r="BZ115" s="638">
        <v>0</v>
      </c>
      <c r="CA115" s="1018">
        <v>2</v>
      </c>
      <c r="CB115" s="721">
        <f t="shared" si="108"/>
        <v>2</v>
      </c>
      <c r="CC115" s="721">
        <f t="shared" si="109"/>
        <v>100</v>
      </c>
      <c r="CD115" s="720">
        <f t="shared" si="78"/>
        <v>100</v>
      </c>
      <c r="CE115" s="618">
        <f t="shared" si="79"/>
        <v>6.6000000000000003E-2</v>
      </c>
      <c r="CF115" s="719">
        <f t="shared" si="80"/>
        <v>100</v>
      </c>
      <c r="CG115" s="618">
        <f t="shared" si="81"/>
        <v>6.6000000000000003E-2</v>
      </c>
      <c r="CH115" s="718">
        <f t="shared" si="82"/>
        <v>3.3000000000000002E-2</v>
      </c>
      <c r="CI115" s="552">
        <v>1</v>
      </c>
      <c r="CJ115" s="551">
        <f t="shared" si="110"/>
        <v>0.2</v>
      </c>
      <c r="CK115" s="874">
        <v>0</v>
      </c>
      <c r="CL115" s="533">
        <f t="shared" si="111"/>
        <v>1</v>
      </c>
      <c r="CM115" s="619">
        <f t="shared" si="112"/>
        <v>0</v>
      </c>
      <c r="CN115" s="619">
        <f t="shared" si="113"/>
        <v>0</v>
      </c>
      <c r="CO115" s="549">
        <f t="shared" si="87"/>
        <v>0</v>
      </c>
      <c r="CP115" s="619">
        <f t="shared" si="88"/>
        <v>0</v>
      </c>
      <c r="CQ115" s="619">
        <f t="shared" si="89"/>
        <v>0</v>
      </c>
      <c r="CR115" s="546">
        <v>8000000</v>
      </c>
      <c r="CS115" s="546">
        <v>8000000</v>
      </c>
      <c r="CT115" s="546">
        <v>0</v>
      </c>
      <c r="CU115" s="546">
        <v>0</v>
      </c>
      <c r="CV115" s="546">
        <v>0</v>
      </c>
      <c r="CW115" s="546">
        <v>0</v>
      </c>
      <c r="CX115" s="546">
        <v>0</v>
      </c>
      <c r="CY115" s="546">
        <v>0</v>
      </c>
      <c r="CZ115" s="618">
        <v>0</v>
      </c>
      <c r="DA115" s="618">
        <v>0</v>
      </c>
      <c r="DB115" s="618">
        <v>0</v>
      </c>
      <c r="DC115" s="618">
        <v>0</v>
      </c>
      <c r="DD115" s="618">
        <v>0</v>
      </c>
      <c r="DE115" s="618">
        <v>0</v>
      </c>
      <c r="DF115" s="618">
        <v>0</v>
      </c>
      <c r="DG115" s="618">
        <v>0</v>
      </c>
      <c r="DH115" s="618">
        <v>0</v>
      </c>
      <c r="DI115" s="618">
        <v>0</v>
      </c>
      <c r="DJ115" s="618">
        <v>0</v>
      </c>
      <c r="DK115" s="1034">
        <f t="shared" si="114"/>
        <v>3</v>
      </c>
      <c r="DL115" s="543">
        <f t="shared" si="91"/>
        <v>0.16500000000000001</v>
      </c>
      <c r="DM115" s="542">
        <f t="shared" si="92"/>
        <v>60</v>
      </c>
      <c r="DN115" s="594">
        <f t="shared" si="93"/>
        <v>60</v>
      </c>
      <c r="DO115" s="540">
        <f t="shared" si="94"/>
        <v>9.9000000000000005E-2</v>
      </c>
      <c r="DP115" s="597">
        <f t="shared" si="116"/>
        <v>9.9000000000000005E-2</v>
      </c>
      <c r="DQ115" s="538">
        <f t="shared" si="95"/>
        <v>9.9000000000000005E-2</v>
      </c>
      <c r="DR115" s="617">
        <f t="shared" si="96"/>
        <v>1</v>
      </c>
      <c r="DS115" s="616">
        <f t="shared" si="97"/>
        <v>0</v>
      </c>
      <c r="DT115" s="259">
        <v>117</v>
      </c>
      <c r="DU115" s="260" t="s">
        <v>284</v>
      </c>
      <c r="DV115" s="259">
        <v>118</v>
      </c>
      <c r="DW115" s="260" t="s">
        <v>478</v>
      </c>
      <c r="DX115" s="259">
        <v>119</v>
      </c>
      <c r="DY115" s="259"/>
      <c r="DZ115" s="259"/>
      <c r="EA115" s="987"/>
      <c r="EB115" s="1041" t="s">
        <v>2458</v>
      </c>
      <c r="EC115" s="802">
        <v>8000000</v>
      </c>
      <c r="EE115" s="1047"/>
    </row>
    <row r="116" spans="4:135" s="534" customFormat="1" ht="51" hidden="1" x14ac:dyDescent="0.3">
      <c r="D116" s="783">
        <v>113</v>
      </c>
      <c r="E116" s="799">
        <v>146</v>
      </c>
      <c r="F116" s="574" t="s">
        <v>200</v>
      </c>
      <c r="G116" s="574" t="s">
        <v>7</v>
      </c>
      <c r="H116" s="574" t="s">
        <v>136</v>
      </c>
      <c r="I116" s="574" t="s">
        <v>366</v>
      </c>
      <c r="J116" s="573" t="s">
        <v>1429</v>
      </c>
      <c r="K116" s="573" t="s">
        <v>1485</v>
      </c>
      <c r="L116" s="702" t="s">
        <v>2248</v>
      </c>
      <c r="M116" s="570" t="s">
        <v>2017</v>
      </c>
      <c r="N116" s="570">
        <v>0</v>
      </c>
      <c r="O116" s="570">
        <f t="shared" si="115"/>
        <v>1</v>
      </c>
      <c r="P116" s="569">
        <v>1</v>
      </c>
      <c r="Q116" s="631">
        <v>2.92E-2</v>
      </c>
      <c r="R116" s="580">
        <f t="shared" si="61"/>
        <v>0</v>
      </c>
      <c r="S116" s="708">
        <v>0</v>
      </c>
      <c r="T116" s="625">
        <f t="shared" si="101"/>
        <v>0</v>
      </c>
      <c r="U116" s="992">
        <v>0</v>
      </c>
      <c r="V116" s="626">
        <f t="shared" si="102"/>
        <v>0</v>
      </c>
      <c r="W116" s="594">
        <f t="shared" si="103"/>
        <v>0</v>
      </c>
      <c r="X116" s="594">
        <f t="shared" si="65"/>
        <v>0</v>
      </c>
      <c r="Y116" s="594">
        <f t="shared" si="98"/>
        <v>0</v>
      </c>
      <c r="Z116" s="594">
        <f t="shared" si="66"/>
        <v>0</v>
      </c>
      <c r="AA116" s="546">
        <v>0</v>
      </c>
      <c r="AB116" s="546">
        <v>0</v>
      </c>
      <c r="AC116" s="546">
        <v>0</v>
      </c>
      <c r="AD116" s="546">
        <v>0</v>
      </c>
      <c r="AE116" s="546">
        <v>0</v>
      </c>
      <c r="AF116" s="546">
        <v>0</v>
      </c>
      <c r="AG116" s="546">
        <v>0</v>
      </c>
      <c r="AH116" s="546">
        <v>0</v>
      </c>
      <c r="AI116" s="546">
        <v>0</v>
      </c>
      <c r="AJ116" s="546">
        <v>0</v>
      </c>
      <c r="AK116" s="546">
        <v>0</v>
      </c>
      <c r="AL116" s="546">
        <v>0</v>
      </c>
      <c r="AM116" s="546">
        <v>0</v>
      </c>
      <c r="AN116" s="546">
        <v>0</v>
      </c>
      <c r="AO116" s="546">
        <v>0</v>
      </c>
      <c r="AP116" s="546">
        <v>0</v>
      </c>
      <c r="AQ116" s="546">
        <v>0</v>
      </c>
      <c r="AR116" s="546">
        <v>0</v>
      </c>
      <c r="AS116" s="546">
        <v>0</v>
      </c>
      <c r="AT116" s="630">
        <f t="shared" si="67"/>
        <v>0</v>
      </c>
      <c r="AU116" s="570">
        <v>0</v>
      </c>
      <c r="AV116" s="625">
        <f t="shared" si="104"/>
        <v>0</v>
      </c>
      <c r="AW116" s="1003">
        <v>0</v>
      </c>
      <c r="AX116" s="604">
        <f t="shared" si="105"/>
        <v>0</v>
      </c>
      <c r="AY116" s="604">
        <f t="shared" si="106"/>
        <v>0</v>
      </c>
      <c r="AZ116" s="604">
        <f t="shared" si="71"/>
        <v>0</v>
      </c>
      <c r="BA116" s="592">
        <f t="shared" si="72"/>
        <v>0</v>
      </c>
      <c r="BB116" s="592">
        <f t="shared" si="73"/>
        <v>0</v>
      </c>
      <c r="BC116" s="591">
        <v>50000000</v>
      </c>
      <c r="BD116" s="591">
        <v>0</v>
      </c>
      <c r="BE116" s="591">
        <v>50000000</v>
      </c>
      <c r="BF116" s="591">
        <v>0</v>
      </c>
      <c r="BG116" s="591">
        <v>0</v>
      </c>
      <c r="BH116" s="591">
        <v>0</v>
      </c>
      <c r="BI116" s="591">
        <v>0</v>
      </c>
      <c r="BJ116" s="591">
        <v>0</v>
      </c>
      <c r="BK116" s="700">
        <v>0</v>
      </c>
      <c r="BL116" s="589">
        <v>0</v>
      </c>
      <c r="BM116" s="589">
        <v>0</v>
      </c>
      <c r="BN116" s="589">
        <v>0</v>
      </c>
      <c r="BO116" s="589">
        <v>0</v>
      </c>
      <c r="BP116" s="589">
        <v>0</v>
      </c>
      <c r="BQ116" s="589">
        <v>0</v>
      </c>
      <c r="BR116" s="589">
        <v>0</v>
      </c>
      <c r="BS116" s="589">
        <v>0</v>
      </c>
      <c r="BT116" s="589">
        <v>0</v>
      </c>
      <c r="BU116" s="589">
        <v>0</v>
      </c>
      <c r="BV116" s="588">
        <f t="shared" si="74"/>
        <v>0</v>
      </c>
      <c r="BW116" s="588">
        <v>0</v>
      </c>
      <c r="BX116" s="623">
        <f t="shared" si="107"/>
        <v>0</v>
      </c>
      <c r="BY116" s="639">
        <v>0</v>
      </c>
      <c r="BZ116" s="638">
        <v>0</v>
      </c>
      <c r="CA116" s="1018">
        <v>0</v>
      </c>
      <c r="CB116" s="557">
        <f t="shared" si="108"/>
        <v>0</v>
      </c>
      <c r="CC116" s="557">
        <f t="shared" si="109"/>
        <v>0</v>
      </c>
      <c r="CD116" s="622">
        <f t="shared" si="78"/>
        <v>0</v>
      </c>
      <c r="CE116" s="621">
        <f t="shared" si="79"/>
        <v>0</v>
      </c>
      <c r="CF116" s="605">
        <f t="shared" si="80"/>
        <v>0</v>
      </c>
      <c r="CG116" s="621">
        <f t="shared" si="81"/>
        <v>0</v>
      </c>
      <c r="CH116" s="553">
        <f t="shared" si="82"/>
        <v>2.92E-2</v>
      </c>
      <c r="CI116" s="552">
        <v>1</v>
      </c>
      <c r="CJ116" s="551">
        <f t="shared" si="110"/>
        <v>1</v>
      </c>
      <c r="CK116" s="874">
        <v>0</v>
      </c>
      <c r="CL116" s="533">
        <f t="shared" si="111"/>
        <v>1</v>
      </c>
      <c r="CM116" s="619">
        <f t="shared" si="112"/>
        <v>0</v>
      </c>
      <c r="CN116" s="619">
        <f t="shared" si="113"/>
        <v>0</v>
      </c>
      <c r="CO116" s="549">
        <f t="shared" si="87"/>
        <v>0</v>
      </c>
      <c r="CP116" s="619">
        <f t="shared" si="88"/>
        <v>0</v>
      </c>
      <c r="CQ116" s="619">
        <f t="shared" si="89"/>
        <v>0</v>
      </c>
      <c r="CR116" s="546">
        <v>0</v>
      </c>
      <c r="CS116" s="546">
        <v>0</v>
      </c>
      <c r="CT116" s="546">
        <v>0</v>
      </c>
      <c r="CU116" s="546">
        <v>0</v>
      </c>
      <c r="CV116" s="546">
        <v>0</v>
      </c>
      <c r="CW116" s="546">
        <v>0</v>
      </c>
      <c r="CX116" s="546">
        <v>0</v>
      </c>
      <c r="CY116" s="546">
        <v>0</v>
      </c>
      <c r="CZ116" s="618">
        <v>0</v>
      </c>
      <c r="DA116" s="618">
        <v>0</v>
      </c>
      <c r="DB116" s="618">
        <v>0</v>
      </c>
      <c r="DC116" s="618">
        <v>0</v>
      </c>
      <c r="DD116" s="618">
        <v>0</v>
      </c>
      <c r="DE116" s="618">
        <v>0</v>
      </c>
      <c r="DF116" s="618">
        <v>0</v>
      </c>
      <c r="DG116" s="618">
        <v>0</v>
      </c>
      <c r="DH116" s="618">
        <v>0</v>
      </c>
      <c r="DI116" s="618">
        <v>0</v>
      </c>
      <c r="DJ116" s="618">
        <v>0</v>
      </c>
      <c r="DK116" s="1034">
        <f t="shared" si="114"/>
        <v>0</v>
      </c>
      <c r="DL116" s="543">
        <f t="shared" si="91"/>
        <v>2.92E-2</v>
      </c>
      <c r="DM116" s="542">
        <f t="shared" si="92"/>
        <v>0</v>
      </c>
      <c r="DN116" s="594">
        <f t="shared" si="93"/>
        <v>0</v>
      </c>
      <c r="DO116" s="540">
        <f t="shared" si="94"/>
        <v>0</v>
      </c>
      <c r="DP116" s="597">
        <f t="shared" si="116"/>
        <v>0</v>
      </c>
      <c r="DQ116" s="538">
        <f t="shared" si="95"/>
        <v>0</v>
      </c>
      <c r="DR116" s="617">
        <f t="shared" si="96"/>
        <v>1</v>
      </c>
      <c r="DS116" s="616">
        <f t="shared" si="97"/>
        <v>0</v>
      </c>
      <c r="DT116" s="259">
        <v>115</v>
      </c>
      <c r="DU116" s="260" t="s">
        <v>285</v>
      </c>
      <c r="DV116" s="259"/>
      <c r="DW116" s="260" t="s">
        <v>242</v>
      </c>
      <c r="DX116" s="259"/>
      <c r="DY116" s="259"/>
      <c r="DZ116" s="259"/>
      <c r="EA116" s="987"/>
      <c r="EB116" s="1041" t="s">
        <v>2459</v>
      </c>
      <c r="EC116" s="802">
        <v>0</v>
      </c>
      <c r="EE116" s="1047"/>
    </row>
    <row r="117" spans="4:135" s="534" customFormat="1" ht="60" hidden="1" x14ac:dyDescent="0.3">
      <c r="D117" s="783">
        <v>114</v>
      </c>
      <c r="E117" s="799">
        <v>147</v>
      </c>
      <c r="F117" s="787" t="s">
        <v>200</v>
      </c>
      <c r="G117" s="787" t="s">
        <v>7</v>
      </c>
      <c r="H117" s="788" t="s">
        <v>136</v>
      </c>
      <c r="I117" s="712" t="s">
        <v>366</v>
      </c>
      <c r="J117" s="573" t="s">
        <v>552</v>
      </c>
      <c r="K117" s="573" t="s">
        <v>553</v>
      </c>
      <c r="L117" s="702" t="s">
        <v>2128</v>
      </c>
      <c r="M117" s="570" t="s">
        <v>2017</v>
      </c>
      <c r="N117" s="570">
        <v>0</v>
      </c>
      <c r="O117" s="570">
        <f t="shared" si="115"/>
        <v>20</v>
      </c>
      <c r="P117" s="569">
        <v>20</v>
      </c>
      <c r="Q117" s="628">
        <v>0.25</v>
      </c>
      <c r="R117" s="580">
        <f t="shared" si="61"/>
        <v>0</v>
      </c>
      <c r="S117" s="708">
        <v>0</v>
      </c>
      <c r="T117" s="625">
        <f t="shared" si="101"/>
        <v>0</v>
      </c>
      <c r="U117" s="992">
        <v>0</v>
      </c>
      <c r="V117" s="626">
        <f t="shared" si="102"/>
        <v>0</v>
      </c>
      <c r="W117" s="594">
        <f t="shared" si="103"/>
        <v>0</v>
      </c>
      <c r="X117" s="594">
        <f t="shared" si="65"/>
        <v>0</v>
      </c>
      <c r="Y117" s="594">
        <f t="shared" si="98"/>
        <v>0</v>
      </c>
      <c r="Z117" s="594">
        <f t="shared" si="66"/>
        <v>0</v>
      </c>
      <c r="AA117" s="546">
        <v>0</v>
      </c>
      <c r="AB117" s="546">
        <v>0</v>
      </c>
      <c r="AC117" s="546">
        <v>0</v>
      </c>
      <c r="AD117" s="546">
        <v>0</v>
      </c>
      <c r="AE117" s="546">
        <v>0</v>
      </c>
      <c r="AF117" s="546">
        <v>0</v>
      </c>
      <c r="AG117" s="546">
        <v>0</v>
      </c>
      <c r="AH117" s="546">
        <v>0</v>
      </c>
      <c r="AI117" s="546">
        <v>0</v>
      </c>
      <c r="AJ117" s="546">
        <v>0</v>
      </c>
      <c r="AK117" s="546">
        <v>0</v>
      </c>
      <c r="AL117" s="546">
        <v>0</v>
      </c>
      <c r="AM117" s="546">
        <v>0</v>
      </c>
      <c r="AN117" s="546">
        <v>0</v>
      </c>
      <c r="AO117" s="546">
        <v>0</v>
      </c>
      <c r="AP117" s="546">
        <v>0</v>
      </c>
      <c r="AQ117" s="546">
        <v>0</v>
      </c>
      <c r="AR117" s="546">
        <v>0</v>
      </c>
      <c r="AS117" s="546">
        <v>0</v>
      </c>
      <c r="AT117" s="570">
        <f t="shared" si="67"/>
        <v>0</v>
      </c>
      <c r="AU117" s="570">
        <v>0</v>
      </c>
      <c r="AV117" s="625">
        <f t="shared" si="104"/>
        <v>0</v>
      </c>
      <c r="AW117" s="1003">
        <v>0</v>
      </c>
      <c r="AX117" s="604">
        <f t="shared" si="105"/>
        <v>0</v>
      </c>
      <c r="AY117" s="604">
        <f t="shared" si="106"/>
        <v>0</v>
      </c>
      <c r="AZ117" s="604">
        <f t="shared" si="71"/>
        <v>0</v>
      </c>
      <c r="BA117" s="592">
        <f t="shared" si="72"/>
        <v>0</v>
      </c>
      <c r="BB117" s="592">
        <f t="shared" si="73"/>
        <v>0</v>
      </c>
      <c r="BC117" s="591">
        <v>0</v>
      </c>
      <c r="BD117" s="591">
        <v>0</v>
      </c>
      <c r="BE117" s="591">
        <v>0</v>
      </c>
      <c r="BF117" s="591">
        <v>0</v>
      </c>
      <c r="BG117" s="591">
        <v>0</v>
      </c>
      <c r="BH117" s="591">
        <v>0</v>
      </c>
      <c r="BI117" s="591">
        <v>0</v>
      </c>
      <c r="BJ117" s="591">
        <v>0</v>
      </c>
      <c r="BK117" s="700">
        <v>0</v>
      </c>
      <c r="BL117" s="589">
        <v>0</v>
      </c>
      <c r="BM117" s="589">
        <v>0</v>
      </c>
      <c r="BN117" s="589">
        <v>0</v>
      </c>
      <c r="BO117" s="589">
        <v>0</v>
      </c>
      <c r="BP117" s="589">
        <v>0</v>
      </c>
      <c r="BQ117" s="589">
        <v>0</v>
      </c>
      <c r="BR117" s="589">
        <v>0</v>
      </c>
      <c r="BS117" s="589">
        <v>0</v>
      </c>
      <c r="BT117" s="589">
        <v>0</v>
      </c>
      <c r="BU117" s="589">
        <v>0</v>
      </c>
      <c r="BV117" s="588">
        <f t="shared" si="74"/>
        <v>0.125</v>
      </c>
      <c r="BW117" s="588">
        <v>10</v>
      </c>
      <c r="BX117" s="623">
        <f t="shared" si="107"/>
        <v>0.5</v>
      </c>
      <c r="BY117" s="639">
        <v>0</v>
      </c>
      <c r="BZ117" s="638">
        <v>6</v>
      </c>
      <c r="CA117" s="1018">
        <v>6</v>
      </c>
      <c r="CB117" s="557">
        <f t="shared" si="108"/>
        <v>6</v>
      </c>
      <c r="CC117" s="557">
        <f t="shared" si="109"/>
        <v>60</v>
      </c>
      <c r="CD117" s="622">
        <f t="shared" si="78"/>
        <v>60</v>
      </c>
      <c r="CE117" s="621">
        <f t="shared" si="79"/>
        <v>7.4999999999999997E-2</v>
      </c>
      <c r="CF117" s="605">
        <f t="shared" si="80"/>
        <v>60</v>
      </c>
      <c r="CG117" s="621">
        <f t="shared" si="81"/>
        <v>7.4999999999999997E-2</v>
      </c>
      <c r="CH117" s="553">
        <f t="shared" si="82"/>
        <v>0.125</v>
      </c>
      <c r="CI117" s="552">
        <v>10</v>
      </c>
      <c r="CJ117" s="551">
        <f t="shared" si="110"/>
        <v>0.5</v>
      </c>
      <c r="CK117" s="874">
        <v>0</v>
      </c>
      <c r="CL117" s="533">
        <f t="shared" si="111"/>
        <v>10</v>
      </c>
      <c r="CM117" s="619">
        <f t="shared" si="112"/>
        <v>0</v>
      </c>
      <c r="CN117" s="619">
        <f t="shared" si="113"/>
        <v>0</v>
      </c>
      <c r="CO117" s="549">
        <f t="shared" si="87"/>
        <v>0</v>
      </c>
      <c r="CP117" s="619">
        <f t="shared" si="88"/>
        <v>0</v>
      </c>
      <c r="CQ117" s="619">
        <f t="shared" si="89"/>
        <v>0</v>
      </c>
      <c r="CR117" s="546">
        <v>20000000</v>
      </c>
      <c r="CS117" s="546">
        <v>20000000</v>
      </c>
      <c r="CT117" s="546">
        <v>0</v>
      </c>
      <c r="CU117" s="546">
        <v>0</v>
      </c>
      <c r="CV117" s="546">
        <v>0</v>
      </c>
      <c r="CW117" s="546">
        <v>0</v>
      </c>
      <c r="CX117" s="546">
        <v>0</v>
      </c>
      <c r="CY117" s="546">
        <v>0</v>
      </c>
      <c r="CZ117" s="618">
        <v>0</v>
      </c>
      <c r="DA117" s="618">
        <v>0</v>
      </c>
      <c r="DB117" s="618">
        <v>0</v>
      </c>
      <c r="DC117" s="618">
        <v>0</v>
      </c>
      <c r="DD117" s="618">
        <v>0</v>
      </c>
      <c r="DE117" s="618">
        <v>0</v>
      </c>
      <c r="DF117" s="618">
        <v>0</v>
      </c>
      <c r="DG117" s="618">
        <v>0</v>
      </c>
      <c r="DH117" s="618">
        <v>0</v>
      </c>
      <c r="DI117" s="618">
        <v>0</v>
      </c>
      <c r="DJ117" s="618">
        <v>0</v>
      </c>
      <c r="DK117" s="1034">
        <f t="shared" si="114"/>
        <v>6</v>
      </c>
      <c r="DL117" s="543">
        <f t="shared" si="91"/>
        <v>0.25</v>
      </c>
      <c r="DM117" s="542">
        <f t="shared" si="92"/>
        <v>30</v>
      </c>
      <c r="DN117" s="594">
        <f t="shared" si="93"/>
        <v>30</v>
      </c>
      <c r="DO117" s="540">
        <f t="shared" si="94"/>
        <v>7.4999999999999997E-2</v>
      </c>
      <c r="DP117" s="597">
        <f t="shared" si="116"/>
        <v>7.4999999999999997E-2</v>
      </c>
      <c r="DQ117" s="538">
        <f t="shared" si="95"/>
        <v>7.4999999999999997E-2</v>
      </c>
      <c r="DR117" s="617">
        <f t="shared" si="96"/>
        <v>1</v>
      </c>
      <c r="DS117" s="616">
        <f t="shared" si="97"/>
        <v>0</v>
      </c>
      <c r="DT117" s="259">
        <v>118</v>
      </c>
      <c r="DU117" s="260" t="s">
        <v>478</v>
      </c>
      <c r="DV117" s="259"/>
      <c r="DW117" s="260" t="s">
        <v>242</v>
      </c>
      <c r="DX117" s="259"/>
      <c r="DY117" s="259"/>
      <c r="DZ117" s="259"/>
      <c r="EA117" s="987"/>
      <c r="EB117" s="1041" t="s">
        <v>242</v>
      </c>
      <c r="EC117" s="802">
        <v>20000000</v>
      </c>
      <c r="EE117" s="1047"/>
    </row>
    <row r="118" spans="4:135" s="534" customFormat="1" ht="132" hidden="1" x14ac:dyDescent="0.3">
      <c r="D118" s="783">
        <v>115</v>
      </c>
      <c r="E118" s="799">
        <v>148</v>
      </c>
      <c r="F118" s="574" t="s">
        <v>200</v>
      </c>
      <c r="G118" s="574" t="s">
        <v>7</v>
      </c>
      <c r="H118" s="574" t="s">
        <v>136</v>
      </c>
      <c r="I118" s="574" t="s">
        <v>366</v>
      </c>
      <c r="J118" s="573" t="s">
        <v>1430</v>
      </c>
      <c r="K118" s="573" t="s">
        <v>554</v>
      </c>
      <c r="L118" s="701" t="s">
        <v>2201</v>
      </c>
      <c r="M118" s="570" t="s">
        <v>2032</v>
      </c>
      <c r="N118" s="570">
        <v>0</v>
      </c>
      <c r="O118" s="570">
        <f>+P118</f>
        <v>100</v>
      </c>
      <c r="P118" s="569">
        <v>100</v>
      </c>
      <c r="Q118" s="631">
        <v>0.16500000000000001</v>
      </c>
      <c r="R118" s="580">
        <f t="shared" si="61"/>
        <v>4.1250000000000002E-2</v>
      </c>
      <c r="S118" s="708">
        <v>100</v>
      </c>
      <c r="T118" s="625">
        <f t="shared" si="101"/>
        <v>0.25</v>
      </c>
      <c r="U118" s="992">
        <v>100</v>
      </c>
      <c r="V118" s="626">
        <f t="shared" si="102"/>
        <v>25</v>
      </c>
      <c r="W118" s="594">
        <f t="shared" si="103"/>
        <v>100</v>
      </c>
      <c r="X118" s="594">
        <f t="shared" si="65"/>
        <v>100</v>
      </c>
      <c r="Y118" s="594">
        <f t="shared" si="98"/>
        <v>4.1250000000000002E-2</v>
      </c>
      <c r="Z118" s="594">
        <f t="shared" si="66"/>
        <v>100</v>
      </c>
      <c r="AA118" s="546">
        <v>0</v>
      </c>
      <c r="AB118" s="546">
        <v>0</v>
      </c>
      <c r="AC118" s="546">
        <v>0</v>
      </c>
      <c r="AD118" s="546">
        <v>0</v>
      </c>
      <c r="AE118" s="546">
        <v>0</v>
      </c>
      <c r="AF118" s="546">
        <v>0</v>
      </c>
      <c r="AG118" s="546">
        <v>0</v>
      </c>
      <c r="AH118" s="546">
        <v>0</v>
      </c>
      <c r="AI118" s="546">
        <v>0</v>
      </c>
      <c r="AJ118" s="546">
        <v>0</v>
      </c>
      <c r="AK118" s="546">
        <v>0</v>
      </c>
      <c r="AL118" s="546">
        <v>0</v>
      </c>
      <c r="AM118" s="546">
        <v>0</v>
      </c>
      <c r="AN118" s="546">
        <v>0</v>
      </c>
      <c r="AO118" s="546">
        <v>0</v>
      </c>
      <c r="AP118" s="546">
        <v>0</v>
      </c>
      <c r="AQ118" s="546">
        <v>0</v>
      </c>
      <c r="AR118" s="546">
        <v>0</v>
      </c>
      <c r="AS118" s="546">
        <v>0</v>
      </c>
      <c r="AT118" s="630">
        <f t="shared" si="67"/>
        <v>4.1250000000000002E-2</v>
      </c>
      <c r="AU118" s="570">
        <v>100</v>
      </c>
      <c r="AV118" s="625">
        <f t="shared" si="104"/>
        <v>0.25</v>
      </c>
      <c r="AW118" s="1003">
        <v>100</v>
      </c>
      <c r="AX118" s="604">
        <f t="shared" si="105"/>
        <v>25</v>
      </c>
      <c r="AY118" s="604">
        <f t="shared" si="106"/>
        <v>100</v>
      </c>
      <c r="AZ118" s="604">
        <f t="shared" si="71"/>
        <v>100</v>
      </c>
      <c r="BA118" s="592">
        <f t="shared" si="72"/>
        <v>4.1250000000000002E-2</v>
      </c>
      <c r="BB118" s="592">
        <f t="shared" si="73"/>
        <v>100</v>
      </c>
      <c r="BC118" s="591">
        <v>3000000</v>
      </c>
      <c r="BD118" s="591">
        <v>0</v>
      </c>
      <c r="BE118" s="591">
        <v>3000000</v>
      </c>
      <c r="BF118" s="591">
        <v>0</v>
      </c>
      <c r="BG118" s="591">
        <v>0</v>
      </c>
      <c r="BH118" s="591">
        <v>0</v>
      </c>
      <c r="BI118" s="591">
        <v>0</v>
      </c>
      <c r="BJ118" s="591">
        <v>0</v>
      </c>
      <c r="BK118" s="700">
        <v>0</v>
      </c>
      <c r="BL118" s="589">
        <v>0</v>
      </c>
      <c r="BM118" s="589">
        <v>0</v>
      </c>
      <c r="BN118" s="589">
        <v>0</v>
      </c>
      <c r="BO118" s="589">
        <v>0</v>
      </c>
      <c r="BP118" s="589">
        <v>0</v>
      </c>
      <c r="BQ118" s="589">
        <v>0</v>
      </c>
      <c r="BR118" s="589">
        <v>0</v>
      </c>
      <c r="BS118" s="589">
        <v>0</v>
      </c>
      <c r="BT118" s="589">
        <v>0</v>
      </c>
      <c r="BU118" s="589">
        <v>0</v>
      </c>
      <c r="BV118" s="588">
        <f t="shared" si="74"/>
        <v>4.1250000000000002E-2</v>
      </c>
      <c r="BW118" s="588">
        <v>100</v>
      </c>
      <c r="BX118" s="623">
        <f t="shared" si="107"/>
        <v>0.25</v>
      </c>
      <c r="BY118" s="639">
        <v>0</v>
      </c>
      <c r="BZ118" s="638">
        <v>0</v>
      </c>
      <c r="CA118" s="1018">
        <v>100</v>
      </c>
      <c r="CB118" s="557">
        <f t="shared" si="108"/>
        <v>25</v>
      </c>
      <c r="CC118" s="557">
        <f t="shared" si="109"/>
        <v>100</v>
      </c>
      <c r="CD118" s="622">
        <f t="shared" si="78"/>
        <v>100</v>
      </c>
      <c r="CE118" s="621">
        <f t="shared" si="79"/>
        <v>4.1250000000000002E-2</v>
      </c>
      <c r="CF118" s="605">
        <f t="shared" si="80"/>
        <v>100</v>
      </c>
      <c r="CG118" s="621">
        <f t="shared" si="81"/>
        <v>4.1250000000000002E-2</v>
      </c>
      <c r="CH118" s="553">
        <f t="shared" si="82"/>
        <v>4.1250000000000002E-2</v>
      </c>
      <c r="CI118" s="552">
        <v>100</v>
      </c>
      <c r="CJ118" s="551">
        <f t="shared" si="110"/>
        <v>0.25</v>
      </c>
      <c r="CK118" s="874">
        <v>0</v>
      </c>
      <c r="CL118" s="533">
        <f t="shared" si="111"/>
        <v>100</v>
      </c>
      <c r="CM118" s="619">
        <f t="shared" si="112"/>
        <v>0</v>
      </c>
      <c r="CN118" s="619">
        <f t="shared" si="113"/>
        <v>0</v>
      </c>
      <c r="CO118" s="619">
        <f t="shared" si="87"/>
        <v>0</v>
      </c>
      <c r="CP118" s="619">
        <f t="shared" si="88"/>
        <v>0</v>
      </c>
      <c r="CQ118" s="619">
        <f t="shared" si="89"/>
        <v>0</v>
      </c>
      <c r="CR118" s="546">
        <v>6000000</v>
      </c>
      <c r="CS118" s="546">
        <v>6000000</v>
      </c>
      <c r="CT118" s="546">
        <v>0</v>
      </c>
      <c r="CU118" s="546">
        <v>0</v>
      </c>
      <c r="CV118" s="546">
        <v>0</v>
      </c>
      <c r="CW118" s="546">
        <v>0</v>
      </c>
      <c r="CX118" s="546">
        <v>0</v>
      </c>
      <c r="CY118" s="546">
        <v>0</v>
      </c>
      <c r="CZ118" s="618">
        <v>0</v>
      </c>
      <c r="DA118" s="618">
        <v>0</v>
      </c>
      <c r="DB118" s="618">
        <v>0</v>
      </c>
      <c r="DC118" s="618">
        <v>0</v>
      </c>
      <c r="DD118" s="618">
        <v>0</v>
      </c>
      <c r="DE118" s="618">
        <v>0</v>
      </c>
      <c r="DF118" s="618">
        <v>0</v>
      </c>
      <c r="DG118" s="618">
        <v>0</v>
      </c>
      <c r="DH118" s="618">
        <v>0</v>
      </c>
      <c r="DI118" s="618">
        <v>0</v>
      </c>
      <c r="DJ118" s="618">
        <v>0</v>
      </c>
      <c r="DK118" s="1034">
        <f t="shared" si="114"/>
        <v>75</v>
      </c>
      <c r="DL118" s="543">
        <f t="shared" si="91"/>
        <v>0.16500000000000001</v>
      </c>
      <c r="DM118" s="542">
        <f t="shared" si="92"/>
        <v>75</v>
      </c>
      <c r="DN118" s="594">
        <f t="shared" si="93"/>
        <v>75</v>
      </c>
      <c r="DO118" s="540">
        <f t="shared" si="94"/>
        <v>0.12375</v>
      </c>
      <c r="DP118" s="597">
        <f>+IF(M118="M",DO118,0)</f>
        <v>0.12375</v>
      </c>
      <c r="DQ118" s="538">
        <f t="shared" si="95"/>
        <v>0.12375</v>
      </c>
      <c r="DR118" s="617">
        <f t="shared" si="96"/>
        <v>1</v>
      </c>
      <c r="DS118" s="616">
        <f t="shared" si="97"/>
        <v>0</v>
      </c>
      <c r="DT118" s="259">
        <v>79</v>
      </c>
      <c r="DU118" s="260" t="s">
        <v>286</v>
      </c>
      <c r="DV118" s="259">
        <v>118</v>
      </c>
      <c r="DW118" s="260" t="s">
        <v>478</v>
      </c>
      <c r="DX118" s="259"/>
      <c r="DY118" s="259"/>
      <c r="DZ118" s="259"/>
      <c r="EA118" s="987"/>
      <c r="EB118" s="1041" t="s">
        <v>2460</v>
      </c>
      <c r="EC118" s="802">
        <v>6000000</v>
      </c>
      <c r="EE118" s="1047"/>
    </row>
    <row r="119" spans="4:135" s="534" customFormat="1" ht="51" hidden="1" x14ac:dyDescent="0.3">
      <c r="D119" s="783">
        <v>116</v>
      </c>
      <c r="E119" s="799">
        <v>149</v>
      </c>
      <c r="F119" s="574" t="s">
        <v>200</v>
      </c>
      <c r="G119" s="574" t="s">
        <v>7</v>
      </c>
      <c r="H119" s="574" t="s">
        <v>136</v>
      </c>
      <c r="I119" s="574" t="s">
        <v>366</v>
      </c>
      <c r="J119" s="573" t="s">
        <v>1431</v>
      </c>
      <c r="K119" s="573" t="s">
        <v>555</v>
      </c>
      <c r="L119" s="702" t="s">
        <v>1682</v>
      </c>
      <c r="M119" s="570" t="s">
        <v>2017</v>
      </c>
      <c r="N119" s="570">
        <v>0</v>
      </c>
      <c r="O119" s="570">
        <f>+N119+P119</f>
        <v>2000</v>
      </c>
      <c r="P119" s="569">
        <v>2000</v>
      </c>
      <c r="Q119" s="631">
        <v>0.16500000000000001</v>
      </c>
      <c r="R119" s="580">
        <f t="shared" si="61"/>
        <v>6.6000000000000003E-2</v>
      </c>
      <c r="S119" s="708">
        <v>800</v>
      </c>
      <c r="T119" s="625">
        <f t="shared" si="101"/>
        <v>0.4</v>
      </c>
      <c r="U119" s="992">
        <v>800</v>
      </c>
      <c r="V119" s="626">
        <f t="shared" si="102"/>
        <v>800</v>
      </c>
      <c r="W119" s="594">
        <f t="shared" si="103"/>
        <v>100</v>
      </c>
      <c r="X119" s="594">
        <f t="shared" si="65"/>
        <v>100</v>
      </c>
      <c r="Y119" s="594">
        <f t="shared" si="98"/>
        <v>6.6000000000000003E-2</v>
      </c>
      <c r="Z119" s="594">
        <f t="shared" si="66"/>
        <v>100</v>
      </c>
      <c r="AA119" s="546">
        <v>0</v>
      </c>
      <c r="AB119" s="546">
        <v>0</v>
      </c>
      <c r="AC119" s="546">
        <v>0</v>
      </c>
      <c r="AD119" s="546">
        <v>0</v>
      </c>
      <c r="AE119" s="546">
        <v>0</v>
      </c>
      <c r="AF119" s="546">
        <v>0</v>
      </c>
      <c r="AG119" s="546">
        <v>0</v>
      </c>
      <c r="AH119" s="546">
        <v>0</v>
      </c>
      <c r="AI119" s="546">
        <v>0</v>
      </c>
      <c r="AJ119" s="546">
        <v>0</v>
      </c>
      <c r="AK119" s="546">
        <v>0</v>
      </c>
      <c r="AL119" s="546">
        <v>0</v>
      </c>
      <c r="AM119" s="546">
        <v>0</v>
      </c>
      <c r="AN119" s="546">
        <v>0</v>
      </c>
      <c r="AO119" s="546">
        <v>0</v>
      </c>
      <c r="AP119" s="546">
        <v>0</v>
      </c>
      <c r="AQ119" s="546">
        <v>0</v>
      </c>
      <c r="AR119" s="546">
        <v>0</v>
      </c>
      <c r="AS119" s="546">
        <v>0</v>
      </c>
      <c r="AT119" s="630">
        <f t="shared" si="67"/>
        <v>0</v>
      </c>
      <c r="AU119" s="570">
        <v>0</v>
      </c>
      <c r="AV119" s="625">
        <f t="shared" si="104"/>
        <v>0</v>
      </c>
      <c r="AW119" s="1003">
        <v>0</v>
      </c>
      <c r="AX119" s="604">
        <f t="shared" si="105"/>
        <v>0</v>
      </c>
      <c r="AY119" s="604">
        <f t="shared" si="106"/>
        <v>0</v>
      </c>
      <c r="AZ119" s="604">
        <f t="shared" si="71"/>
        <v>0</v>
      </c>
      <c r="BA119" s="592">
        <f t="shared" si="72"/>
        <v>0</v>
      </c>
      <c r="BB119" s="592">
        <f t="shared" si="73"/>
        <v>0</v>
      </c>
      <c r="BC119" s="591">
        <v>3000000</v>
      </c>
      <c r="BD119" s="591">
        <v>0</v>
      </c>
      <c r="BE119" s="591">
        <v>3000000</v>
      </c>
      <c r="BF119" s="591">
        <v>0</v>
      </c>
      <c r="BG119" s="591">
        <v>0</v>
      </c>
      <c r="BH119" s="591">
        <v>0</v>
      </c>
      <c r="BI119" s="591">
        <v>0</v>
      </c>
      <c r="BJ119" s="591">
        <v>0</v>
      </c>
      <c r="BK119" s="700">
        <v>0</v>
      </c>
      <c r="BL119" s="589">
        <v>0</v>
      </c>
      <c r="BM119" s="589">
        <v>0</v>
      </c>
      <c r="BN119" s="589">
        <v>0</v>
      </c>
      <c r="BO119" s="589">
        <v>0</v>
      </c>
      <c r="BP119" s="589">
        <v>0</v>
      </c>
      <c r="BQ119" s="589">
        <v>0</v>
      </c>
      <c r="BR119" s="589">
        <v>0</v>
      </c>
      <c r="BS119" s="589">
        <v>0</v>
      </c>
      <c r="BT119" s="589">
        <v>0</v>
      </c>
      <c r="BU119" s="589">
        <v>0</v>
      </c>
      <c r="BV119" s="588">
        <f t="shared" si="74"/>
        <v>8.2500000000000004E-3</v>
      </c>
      <c r="BW119" s="588">
        <v>100</v>
      </c>
      <c r="BX119" s="623">
        <f t="shared" si="107"/>
        <v>0.05</v>
      </c>
      <c r="BY119" s="639">
        <v>0</v>
      </c>
      <c r="BZ119" s="638">
        <v>0</v>
      </c>
      <c r="CA119" s="1018">
        <v>319</v>
      </c>
      <c r="CB119" s="557">
        <f t="shared" si="108"/>
        <v>319</v>
      </c>
      <c r="CC119" s="557">
        <f t="shared" si="109"/>
        <v>319</v>
      </c>
      <c r="CD119" s="622">
        <f t="shared" si="78"/>
        <v>100</v>
      </c>
      <c r="CE119" s="621">
        <f t="shared" si="79"/>
        <v>8.2500000000000004E-3</v>
      </c>
      <c r="CF119" s="605">
        <f t="shared" si="80"/>
        <v>100</v>
      </c>
      <c r="CG119" s="621">
        <f t="shared" si="81"/>
        <v>2.6317500000000004E-2</v>
      </c>
      <c r="CH119" s="553">
        <f t="shared" si="82"/>
        <v>9.0750000000000011E-2</v>
      </c>
      <c r="CI119" s="552">
        <v>1100</v>
      </c>
      <c r="CJ119" s="551">
        <f t="shared" si="110"/>
        <v>0.55000000000000004</v>
      </c>
      <c r="CK119" s="874">
        <v>0</v>
      </c>
      <c r="CL119" s="533">
        <f t="shared" si="111"/>
        <v>1100</v>
      </c>
      <c r="CM119" s="619">
        <f t="shared" si="112"/>
        <v>0</v>
      </c>
      <c r="CN119" s="619">
        <f t="shared" si="113"/>
        <v>0</v>
      </c>
      <c r="CO119" s="549">
        <f t="shared" si="87"/>
        <v>0</v>
      </c>
      <c r="CP119" s="619">
        <f t="shared" si="88"/>
        <v>0</v>
      </c>
      <c r="CQ119" s="619">
        <f t="shared" si="89"/>
        <v>0</v>
      </c>
      <c r="CR119" s="546">
        <v>6000000</v>
      </c>
      <c r="CS119" s="546">
        <v>6000000</v>
      </c>
      <c r="CT119" s="546">
        <v>0</v>
      </c>
      <c r="CU119" s="546">
        <v>0</v>
      </c>
      <c r="CV119" s="546">
        <v>0</v>
      </c>
      <c r="CW119" s="546">
        <v>0</v>
      </c>
      <c r="CX119" s="546">
        <v>0</v>
      </c>
      <c r="CY119" s="546">
        <v>0</v>
      </c>
      <c r="CZ119" s="618">
        <v>0</v>
      </c>
      <c r="DA119" s="618">
        <v>0</v>
      </c>
      <c r="DB119" s="618">
        <v>0</v>
      </c>
      <c r="DC119" s="618">
        <v>0</v>
      </c>
      <c r="DD119" s="618">
        <v>0</v>
      </c>
      <c r="DE119" s="618">
        <v>0</v>
      </c>
      <c r="DF119" s="618">
        <v>0</v>
      </c>
      <c r="DG119" s="618">
        <v>0</v>
      </c>
      <c r="DH119" s="618">
        <v>0</v>
      </c>
      <c r="DI119" s="618">
        <v>0</v>
      </c>
      <c r="DJ119" s="618">
        <v>0</v>
      </c>
      <c r="DK119" s="1034">
        <f t="shared" si="114"/>
        <v>1119</v>
      </c>
      <c r="DL119" s="543">
        <f t="shared" si="91"/>
        <v>0.16500000000000004</v>
      </c>
      <c r="DM119" s="542">
        <f t="shared" si="92"/>
        <v>55.95</v>
      </c>
      <c r="DN119" s="594">
        <f t="shared" si="93"/>
        <v>55.95</v>
      </c>
      <c r="DO119" s="540">
        <f t="shared" si="94"/>
        <v>9.2317500000000011E-2</v>
      </c>
      <c r="DP119" s="597">
        <f t="shared" ref="DP119:DP125" si="117">+IF(((DN119*Q119)/100)&lt;Q119, ((DN119*Q119)/100),Q119)</f>
        <v>9.2317500000000011E-2</v>
      </c>
      <c r="DQ119" s="538">
        <f t="shared" si="95"/>
        <v>9.2317500000000011E-2</v>
      </c>
      <c r="DR119" s="617">
        <f t="shared" si="96"/>
        <v>1</v>
      </c>
      <c r="DS119" s="616">
        <f t="shared" si="97"/>
        <v>0</v>
      </c>
      <c r="DT119" s="259">
        <v>200</v>
      </c>
      <c r="DU119" s="260" t="s">
        <v>556</v>
      </c>
      <c r="DV119" s="259"/>
      <c r="DW119" s="260" t="s">
        <v>242</v>
      </c>
      <c r="DX119" s="259"/>
      <c r="DY119" s="259"/>
      <c r="DZ119" s="259"/>
      <c r="EA119" s="987"/>
      <c r="EB119" s="1041" t="s">
        <v>2461</v>
      </c>
      <c r="EC119" s="802">
        <v>6000000</v>
      </c>
      <c r="EE119" s="1047"/>
    </row>
    <row r="120" spans="4:135" s="534" customFormat="1" ht="96" hidden="1" x14ac:dyDescent="0.3">
      <c r="D120" s="783">
        <v>117</v>
      </c>
      <c r="E120" s="799">
        <v>150</v>
      </c>
      <c r="F120" s="787" t="s">
        <v>200</v>
      </c>
      <c r="G120" s="787" t="s">
        <v>12</v>
      </c>
      <c r="H120" s="788" t="s">
        <v>136</v>
      </c>
      <c r="I120" s="712" t="s">
        <v>366</v>
      </c>
      <c r="J120" s="573" t="s">
        <v>557</v>
      </c>
      <c r="K120" s="573" t="s">
        <v>558</v>
      </c>
      <c r="L120" s="701" t="s">
        <v>2219</v>
      </c>
      <c r="M120" s="570" t="s">
        <v>2017</v>
      </c>
      <c r="N120" s="570">
        <v>0</v>
      </c>
      <c r="O120" s="570">
        <f>+N120+P120</f>
        <v>100</v>
      </c>
      <c r="P120" s="569">
        <v>100</v>
      </c>
      <c r="Q120" s="628">
        <v>0.16500000000000001</v>
      </c>
      <c r="R120" s="580">
        <f t="shared" si="61"/>
        <v>7.1775000000000005E-2</v>
      </c>
      <c r="S120" s="708">
        <v>43.5</v>
      </c>
      <c r="T120" s="625">
        <f t="shared" si="101"/>
        <v>0.435</v>
      </c>
      <c r="U120" s="992">
        <v>43.5</v>
      </c>
      <c r="V120" s="626">
        <f t="shared" si="102"/>
        <v>43.5</v>
      </c>
      <c r="W120" s="594">
        <f t="shared" si="103"/>
        <v>100</v>
      </c>
      <c r="X120" s="594">
        <f t="shared" si="65"/>
        <v>100</v>
      </c>
      <c r="Y120" s="594">
        <f t="shared" si="98"/>
        <v>7.1775000000000005E-2</v>
      </c>
      <c r="Z120" s="594">
        <f t="shared" si="66"/>
        <v>100</v>
      </c>
      <c r="AA120" s="546">
        <v>30000000</v>
      </c>
      <c r="AB120" s="546">
        <v>30000000</v>
      </c>
      <c r="AC120" s="546">
        <v>0</v>
      </c>
      <c r="AD120" s="546">
        <v>0</v>
      </c>
      <c r="AE120" s="546">
        <v>0</v>
      </c>
      <c r="AF120" s="546">
        <v>0</v>
      </c>
      <c r="AG120" s="546">
        <v>0</v>
      </c>
      <c r="AH120" s="546">
        <v>0</v>
      </c>
      <c r="AI120" s="546">
        <v>8587000</v>
      </c>
      <c r="AJ120" s="546">
        <v>8587000</v>
      </c>
      <c r="AK120" s="546">
        <v>0</v>
      </c>
      <c r="AL120" s="546">
        <v>0</v>
      </c>
      <c r="AM120" s="546">
        <v>0</v>
      </c>
      <c r="AN120" s="546">
        <v>0</v>
      </c>
      <c r="AO120" s="546">
        <v>0</v>
      </c>
      <c r="AP120" s="546">
        <v>0</v>
      </c>
      <c r="AQ120" s="546">
        <v>0</v>
      </c>
      <c r="AR120" s="546">
        <v>0</v>
      </c>
      <c r="AS120" s="546">
        <v>0</v>
      </c>
      <c r="AT120" s="570">
        <f t="shared" si="67"/>
        <v>3.3000000000000002E-2</v>
      </c>
      <c r="AU120" s="570">
        <v>20</v>
      </c>
      <c r="AV120" s="625">
        <f t="shared" si="104"/>
        <v>0.2</v>
      </c>
      <c r="AW120" s="1003">
        <v>20</v>
      </c>
      <c r="AX120" s="604">
        <f t="shared" si="105"/>
        <v>20</v>
      </c>
      <c r="AY120" s="604">
        <f t="shared" si="106"/>
        <v>100</v>
      </c>
      <c r="AZ120" s="604">
        <f t="shared" si="71"/>
        <v>100</v>
      </c>
      <c r="BA120" s="592">
        <f t="shared" si="72"/>
        <v>3.3000000000000002E-2</v>
      </c>
      <c r="BB120" s="592">
        <f t="shared" si="73"/>
        <v>100</v>
      </c>
      <c r="BC120" s="591">
        <v>10000000</v>
      </c>
      <c r="BD120" s="591">
        <v>0</v>
      </c>
      <c r="BE120" s="591">
        <v>10000000</v>
      </c>
      <c r="BF120" s="591">
        <v>0</v>
      </c>
      <c r="BG120" s="591">
        <v>0</v>
      </c>
      <c r="BH120" s="591">
        <v>0</v>
      </c>
      <c r="BI120" s="591">
        <v>0</v>
      </c>
      <c r="BJ120" s="591">
        <v>0</v>
      </c>
      <c r="BK120" s="700">
        <v>0</v>
      </c>
      <c r="BL120" s="589">
        <v>0</v>
      </c>
      <c r="BM120" s="589">
        <v>0</v>
      </c>
      <c r="BN120" s="589">
        <v>0</v>
      </c>
      <c r="BO120" s="589">
        <v>0</v>
      </c>
      <c r="BP120" s="589">
        <v>0</v>
      </c>
      <c r="BQ120" s="589">
        <v>0</v>
      </c>
      <c r="BR120" s="589">
        <v>0</v>
      </c>
      <c r="BS120" s="589">
        <v>0</v>
      </c>
      <c r="BT120" s="589">
        <v>0</v>
      </c>
      <c r="BU120" s="589">
        <v>0</v>
      </c>
      <c r="BV120" s="588">
        <f t="shared" si="74"/>
        <v>3.3000000000000002E-2</v>
      </c>
      <c r="BW120" s="588">
        <v>20</v>
      </c>
      <c r="BX120" s="623">
        <f t="shared" si="107"/>
        <v>0.2</v>
      </c>
      <c r="BY120" s="607">
        <v>25.520000457763672</v>
      </c>
      <c r="BZ120" s="629">
        <v>29.42</v>
      </c>
      <c r="CA120" s="1017">
        <v>74.290000915527344</v>
      </c>
      <c r="CB120" s="557">
        <f t="shared" si="108"/>
        <v>74.290000915527344</v>
      </c>
      <c r="CC120" s="557">
        <f t="shared" si="109"/>
        <v>371.45000457763672</v>
      </c>
      <c r="CD120" s="622">
        <f t="shared" si="78"/>
        <v>100</v>
      </c>
      <c r="CE120" s="621">
        <f t="shared" si="79"/>
        <v>3.3000000000000002E-2</v>
      </c>
      <c r="CF120" s="605">
        <f t="shared" si="80"/>
        <v>100</v>
      </c>
      <c r="CG120" s="621">
        <f t="shared" si="81"/>
        <v>0.12257850151062012</v>
      </c>
      <c r="CH120" s="553">
        <f t="shared" si="82"/>
        <v>2.7225000000000003E-2</v>
      </c>
      <c r="CI120" s="658">
        <v>16.5</v>
      </c>
      <c r="CJ120" s="551">
        <f t="shared" si="110"/>
        <v>0.16500000000000001</v>
      </c>
      <c r="CK120" s="874">
        <v>42</v>
      </c>
      <c r="CL120" s="533">
        <f t="shared" si="111"/>
        <v>-25.5</v>
      </c>
      <c r="CM120" s="619">
        <f t="shared" si="112"/>
        <v>42</v>
      </c>
      <c r="CN120" s="619">
        <f t="shared" si="113"/>
        <v>254.54545454545453</v>
      </c>
      <c r="CO120" s="549">
        <f t="shared" si="87"/>
        <v>100</v>
      </c>
      <c r="CP120" s="619">
        <f t="shared" si="88"/>
        <v>2.7225000000000003E-2</v>
      </c>
      <c r="CQ120" s="619">
        <f t="shared" si="89"/>
        <v>6.93E-2</v>
      </c>
      <c r="CR120" s="546">
        <v>0</v>
      </c>
      <c r="CS120" s="546">
        <v>0</v>
      </c>
      <c r="CT120" s="546">
        <v>0</v>
      </c>
      <c r="CU120" s="546">
        <v>0</v>
      </c>
      <c r="CV120" s="546">
        <v>0</v>
      </c>
      <c r="CW120" s="546">
        <v>0</v>
      </c>
      <c r="CX120" s="546">
        <v>0</v>
      </c>
      <c r="CY120" s="546">
        <v>0</v>
      </c>
      <c r="CZ120" s="618">
        <v>0</v>
      </c>
      <c r="DA120" s="618">
        <v>0</v>
      </c>
      <c r="DB120" s="618">
        <v>0</v>
      </c>
      <c r="DC120" s="618">
        <v>0</v>
      </c>
      <c r="DD120" s="618">
        <v>0</v>
      </c>
      <c r="DE120" s="618">
        <v>0</v>
      </c>
      <c r="DF120" s="618">
        <v>0</v>
      </c>
      <c r="DG120" s="618">
        <v>0</v>
      </c>
      <c r="DH120" s="618">
        <v>0</v>
      </c>
      <c r="DI120" s="618">
        <v>0</v>
      </c>
      <c r="DJ120" s="618">
        <v>0</v>
      </c>
      <c r="DK120" s="1034">
        <f t="shared" si="114"/>
        <v>179.79000091552734</v>
      </c>
      <c r="DL120" s="543">
        <f t="shared" si="91"/>
        <v>0.16500000000000001</v>
      </c>
      <c r="DM120" s="542">
        <f t="shared" si="92"/>
        <v>179.79000091552734</v>
      </c>
      <c r="DN120" s="594">
        <f t="shared" si="93"/>
        <v>100</v>
      </c>
      <c r="DO120" s="540">
        <f t="shared" si="94"/>
        <v>0.16500000000000001</v>
      </c>
      <c r="DP120" s="597">
        <f t="shared" si="117"/>
        <v>0.16500000000000001</v>
      </c>
      <c r="DQ120" s="538">
        <f t="shared" si="95"/>
        <v>0.16500000000000001</v>
      </c>
      <c r="DR120" s="617">
        <f t="shared" si="96"/>
        <v>1</v>
      </c>
      <c r="DS120" s="616">
        <f t="shared" si="97"/>
        <v>0</v>
      </c>
      <c r="DT120" s="259">
        <v>619</v>
      </c>
      <c r="DU120" s="260" t="s">
        <v>431</v>
      </c>
      <c r="DV120" s="259"/>
      <c r="DW120" s="260" t="s">
        <v>242</v>
      </c>
      <c r="DX120" s="259"/>
      <c r="DY120" s="259"/>
      <c r="DZ120" s="259"/>
      <c r="EA120" s="987"/>
      <c r="EB120" s="1041" t="s">
        <v>2462</v>
      </c>
      <c r="EC120" s="802">
        <v>10000000</v>
      </c>
      <c r="EE120" s="1047"/>
    </row>
    <row r="121" spans="4:135" s="534" customFormat="1" ht="63.75" hidden="1" x14ac:dyDescent="0.3">
      <c r="D121" s="783">
        <v>118</v>
      </c>
      <c r="E121" s="799">
        <v>151</v>
      </c>
      <c r="F121" s="787" t="s">
        <v>200</v>
      </c>
      <c r="G121" s="787" t="s">
        <v>239</v>
      </c>
      <c r="H121" s="788" t="s">
        <v>136</v>
      </c>
      <c r="I121" s="712" t="s">
        <v>366</v>
      </c>
      <c r="J121" s="573" t="s">
        <v>559</v>
      </c>
      <c r="K121" s="573" t="s">
        <v>560</v>
      </c>
      <c r="L121" s="702" t="s">
        <v>1593</v>
      </c>
      <c r="M121" s="570" t="s">
        <v>2017</v>
      </c>
      <c r="N121" s="570">
        <v>0</v>
      </c>
      <c r="O121" s="570">
        <f>+N121+P121</f>
        <v>5</v>
      </c>
      <c r="P121" s="569">
        <v>5</v>
      </c>
      <c r="Q121" s="628">
        <v>0.16500000000000001</v>
      </c>
      <c r="R121" s="580">
        <f t="shared" si="61"/>
        <v>0</v>
      </c>
      <c r="S121" s="708">
        <v>0</v>
      </c>
      <c r="T121" s="625">
        <f t="shared" si="101"/>
        <v>0</v>
      </c>
      <c r="U121" s="992">
        <v>0</v>
      </c>
      <c r="V121" s="626">
        <f t="shared" si="102"/>
        <v>0</v>
      </c>
      <c r="W121" s="594">
        <f t="shared" si="103"/>
        <v>0</v>
      </c>
      <c r="X121" s="594">
        <f t="shared" si="65"/>
        <v>0</v>
      </c>
      <c r="Y121" s="594">
        <f t="shared" si="98"/>
        <v>0</v>
      </c>
      <c r="Z121" s="594">
        <f t="shared" si="66"/>
        <v>0</v>
      </c>
      <c r="AA121" s="546">
        <v>0</v>
      </c>
      <c r="AB121" s="546">
        <v>0</v>
      </c>
      <c r="AC121" s="546">
        <v>0</v>
      </c>
      <c r="AD121" s="546">
        <v>0</v>
      </c>
      <c r="AE121" s="546">
        <v>0</v>
      </c>
      <c r="AF121" s="546">
        <v>0</v>
      </c>
      <c r="AG121" s="546">
        <v>0</v>
      </c>
      <c r="AH121" s="546">
        <v>0</v>
      </c>
      <c r="AI121" s="546">
        <v>0</v>
      </c>
      <c r="AJ121" s="546">
        <v>0</v>
      </c>
      <c r="AK121" s="546">
        <v>0</v>
      </c>
      <c r="AL121" s="546">
        <v>0</v>
      </c>
      <c r="AM121" s="546">
        <v>0</v>
      </c>
      <c r="AN121" s="546">
        <v>0</v>
      </c>
      <c r="AO121" s="546">
        <v>0</v>
      </c>
      <c r="AP121" s="546">
        <v>0</v>
      </c>
      <c r="AQ121" s="546">
        <v>0</v>
      </c>
      <c r="AR121" s="546">
        <v>0</v>
      </c>
      <c r="AS121" s="546">
        <v>0</v>
      </c>
      <c r="AT121" s="570">
        <f t="shared" si="67"/>
        <v>6.6000000000000003E-2</v>
      </c>
      <c r="AU121" s="570">
        <v>2</v>
      </c>
      <c r="AV121" s="625">
        <f t="shared" si="104"/>
        <v>0.4</v>
      </c>
      <c r="AW121" s="1003">
        <v>6</v>
      </c>
      <c r="AX121" s="604">
        <f t="shared" si="105"/>
        <v>6</v>
      </c>
      <c r="AY121" s="604">
        <f t="shared" si="106"/>
        <v>300</v>
      </c>
      <c r="AZ121" s="604">
        <f t="shared" si="71"/>
        <v>100</v>
      </c>
      <c r="BA121" s="592">
        <f t="shared" si="72"/>
        <v>6.6000000000000003E-2</v>
      </c>
      <c r="BB121" s="592">
        <f t="shared" si="73"/>
        <v>100</v>
      </c>
      <c r="BC121" s="591">
        <v>100000000</v>
      </c>
      <c r="BD121" s="591">
        <v>0</v>
      </c>
      <c r="BE121" s="591">
        <v>100000000</v>
      </c>
      <c r="BF121" s="591">
        <v>0</v>
      </c>
      <c r="BG121" s="591">
        <v>0</v>
      </c>
      <c r="BH121" s="591">
        <v>0</v>
      </c>
      <c r="BI121" s="591">
        <v>0</v>
      </c>
      <c r="BJ121" s="591">
        <v>0</v>
      </c>
      <c r="BK121" s="700">
        <v>95000000</v>
      </c>
      <c r="BL121" s="589">
        <v>95000000</v>
      </c>
      <c r="BM121" s="589">
        <v>0</v>
      </c>
      <c r="BN121" s="589">
        <v>0</v>
      </c>
      <c r="BO121" s="589">
        <v>0</v>
      </c>
      <c r="BP121" s="589">
        <v>0</v>
      </c>
      <c r="BQ121" s="589">
        <v>0</v>
      </c>
      <c r="BR121" s="589">
        <v>0</v>
      </c>
      <c r="BS121" s="589">
        <v>0</v>
      </c>
      <c r="BT121" s="589">
        <v>0</v>
      </c>
      <c r="BU121" s="589">
        <v>0</v>
      </c>
      <c r="BV121" s="588">
        <f t="shared" si="74"/>
        <v>6.6000000000000003E-2</v>
      </c>
      <c r="BW121" s="588">
        <v>2</v>
      </c>
      <c r="BX121" s="623">
        <f t="shared" si="107"/>
        <v>0.4</v>
      </c>
      <c r="BY121" s="639">
        <v>0</v>
      </c>
      <c r="BZ121" s="638">
        <v>6</v>
      </c>
      <c r="CA121" s="1018">
        <v>2</v>
      </c>
      <c r="CB121" s="557">
        <f t="shared" si="108"/>
        <v>2</v>
      </c>
      <c r="CC121" s="557">
        <f t="shared" si="109"/>
        <v>100</v>
      </c>
      <c r="CD121" s="622">
        <f t="shared" si="78"/>
        <v>100</v>
      </c>
      <c r="CE121" s="621">
        <f t="shared" si="79"/>
        <v>6.6000000000000003E-2</v>
      </c>
      <c r="CF121" s="605">
        <f t="shared" si="80"/>
        <v>100</v>
      </c>
      <c r="CG121" s="621">
        <f t="shared" si="81"/>
        <v>6.6000000000000003E-2</v>
      </c>
      <c r="CH121" s="553">
        <f t="shared" si="82"/>
        <v>3.3000000000000002E-2</v>
      </c>
      <c r="CI121" s="552">
        <v>1</v>
      </c>
      <c r="CJ121" s="551">
        <f t="shared" si="110"/>
        <v>0.2</v>
      </c>
      <c r="CK121" s="874">
        <v>0</v>
      </c>
      <c r="CL121" s="533">
        <f t="shared" si="111"/>
        <v>1</v>
      </c>
      <c r="CM121" s="619">
        <f t="shared" si="112"/>
        <v>0</v>
      </c>
      <c r="CN121" s="619">
        <f t="shared" si="113"/>
        <v>0</v>
      </c>
      <c r="CO121" s="549">
        <f t="shared" si="87"/>
        <v>0</v>
      </c>
      <c r="CP121" s="619">
        <f t="shared" si="88"/>
        <v>0</v>
      </c>
      <c r="CQ121" s="619">
        <f t="shared" si="89"/>
        <v>0</v>
      </c>
      <c r="CR121" s="546">
        <v>50000000</v>
      </c>
      <c r="CS121" s="546">
        <v>50000000</v>
      </c>
      <c r="CT121" s="546">
        <v>0</v>
      </c>
      <c r="CU121" s="546">
        <v>0</v>
      </c>
      <c r="CV121" s="546">
        <v>0</v>
      </c>
      <c r="CW121" s="546">
        <v>0</v>
      </c>
      <c r="CX121" s="546">
        <v>0</v>
      </c>
      <c r="CY121" s="546">
        <v>0</v>
      </c>
      <c r="CZ121" s="618">
        <v>0</v>
      </c>
      <c r="DA121" s="618">
        <v>0</v>
      </c>
      <c r="DB121" s="618">
        <v>0</v>
      </c>
      <c r="DC121" s="618">
        <v>0</v>
      </c>
      <c r="DD121" s="618">
        <v>0</v>
      </c>
      <c r="DE121" s="618">
        <v>0</v>
      </c>
      <c r="DF121" s="618">
        <v>0</v>
      </c>
      <c r="DG121" s="618">
        <v>0</v>
      </c>
      <c r="DH121" s="618">
        <v>0</v>
      </c>
      <c r="DI121" s="618">
        <v>0</v>
      </c>
      <c r="DJ121" s="618">
        <v>0</v>
      </c>
      <c r="DK121" s="1034">
        <f t="shared" si="114"/>
        <v>8</v>
      </c>
      <c r="DL121" s="543">
        <f t="shared" si="91"/>
        <v>0.16500000000000001</v>
      </c>
      <c r="DM121" s="542">
        <f t="shared" si="92"/>
        <v>160</v>
      </c>
      <c r="DN121" s="594">
        <f t="shared" si="93"/>
        <v>100</v>
      </c>
      <c r="DO121" s="540">
        <f t="shared" si="94"/>
        <v>0.16500000000000001</v>
      </c>
      <c r="DP121" s="597">
        <f t="shared" si="117"/>
        <v>0.16500000000000001</v>
      </c>
      <c r="DQ121" s="538">
        <f t="shared" si="95"/>
        <v>0.16500000000000001</v>
      </c>
      <c r="DR121" s="617">
        <f t="shared" si="96"/>
        <v>1</v>
      </c>
      <c r="DS121" s="616">
        <f t="shared" si="97"/>
        <v>0</v>
      </c>
      <c r="DT121" s="259">
        <v>118</v>
      </c>
      <c r="DU121" s="260" t="s">
        <v>478</v>
      </c>
      <c r="DV121" s="259"/>
      <c r="DW121" s="260" t="s">
        <v>242</v>
      </c>
      <c r="DX121" s="259"/>
      <c r="DY121" s="259"/>
      <c r="DZ121" s="259"/>
      <c r="EA121" s="987"/>
      <c r="EB121" s="1041" t="s">
        <v>2463</v>
      </c>
      <c r="EC121" s="802">
        <v>100000000</v>
      </c>
      <c r="EE121" s="1047"/>
    </row>
    <row r="122" spans="4:135" s="534" customFormat="1" ht="60" hidden="1" x14ac:dyDescent="0.3">
      <c r="D122" s="783">
        <v>119</v>
      </c>
      <c r="E122" s="799">
        <v>152</v>
      </c>
      <c r="F122" s="787" t="s">
        <v>200</v>
      </c>
      <c r="G122" s="787" t="s">
        <v>239</v>
      </c>
      <c r="H122" s="788" t="s">
        <v>136</v>
      </c>
      <c r="I122" s="712" t="s">
        <v>366</v>
      </c>
      <c r="J122" s="573" t="s">
        <v>561</v>
      </c>
      <c r="K122" s="573" t="s">
        <v>562</v>
      </c>
      <c r="L122" s="702" t="s">
        <v>1690</v>
      </c>
      <c r="M122" s="570" t="s">
        <v>2017</v>
      </c>
      <c r="N122" s="570">
        <v>0</v>
      </c>
      <c r="O122" s="570">
        <f>+N122+P122</f>
        <v>5</v>
      </c>
      <c r="P122" s="569">
        <v>5</v>
      </c>
      <c r="Q122" s="628">
        <v>0.25</v>
      </c>
      <c r="R122" s="580">
        <f t="shared" si="61"/>
        <v>0</v>
      </c>
      <c r="S122" s="708">
        <v>0</v>
      </c>
      <c r="T122" s="625">
        <f t="shared" si="101"/>
        <v>0</v>
      </c>
      <c r="U122" s="992">
        <v>0</v>
      </c>
      <c r="V122" s="626">
        <f t="shared" si="102"/>
        <v>0</v>
      </c>
      <c r="W122" s="594">
        <f t="shared" si="103"/>
        <v>0</v>
      </c>
      <c r="X122" s="594">
        <f t="shared" si="65"/>
        <v>0</v>
      </c>
      <c r="Y122" s="594">
        <f t="shared" si="98"/>
        <v>0</v>
      </c>
      <c r="Z122" s="594">
        <f t="shared" si="66"/>
        <v>0</v>
      </c>
      <c r="AA122" s="546">
        <v>0</v>
      </c>
      <c r="AB122" s="546">
        <v>0</v>
      </c>
      <c r="AC122" s="546">
        <v>0</v>
      </c>
      <c r="AD122" s="546">
        <v>0</v>
      </c>
      <c r="AE122" s="546">
        <v>0</v>
      </c>
      <c r="AF122" s="546">
        <v>0</v>
      </c>
      <c r="AG122" s="546">
        <v>0</v>
      </c>
      <c r="AH122" s="546">
        <v>0</v>
      </c>
      <c r="AI122" s="546">
        <v>0</v>
      </c>
      <c r="AJ122" s="546">
        <v>0</v>
      </c>
      <c r="AK122" s="546">
        <v>0</v>
      </c>
      <c r="AL122" s="546">
        <v>0</v>
      </c>
      <c r="AM122" s="546">
        <v>0</v>
      </c>
      <c r="AN122" s="546">
        <v>0</v>
      </c>
      <c r="AO122" s="546">
        <v>0</v>
      </c>
      <c r="AP122" s="546">
        <v>0</v>
      </c>
      <c r="AQ122" s="546">
        <v>0</v>
      </c>
      <c r="AR122" s="546">
        <v>0</v>
      </c>
      <c r="AS122" s="546">
        <v>0</v>
      </c>
      <c r="AT122" s="570">
        <f t="shared" si="67"/>
        <v>0.1</v>
      </c>
      <c r="AU122" s="570">
        <v>2</v>
      </c>
      <c r="AV122" s="625">
        <f t="shared" si="104"/>
        <v>0.4</v>
      </c>
      <c r="AW122" s="1003">
        <v>4</v>
      </c>
      <c r="AX122" s="604">
        <f t="shared" si="105"/>
        <v>4</v>
      </c>
      <c r="AY122" s="604">
        <f t="shared" si="106"/>
        <v>200</v>
      </c>
      <c r="AZ122" s="604">
        <f t="shared" si="71"/>
        <v>100</v>
      </c>
      <c r="BA122" s="592">
        <f t="shared" si="72"/>
        <v>0.1</v>
      </c>
      <c r="BB122" s="592">
        <f t="shared" si="73"/>
        <v>100</v>
      </c>
      <c r="BC122" s="591">
        <v>40000000</v>
      </c>
      <c r="BD122" s="591">
        <v>0</v>
      </c>
      <c r="BE122" s="591">
        <v>40000000</v>
      </c>
      <c r="BF122" s="591">
        <v>0</v>
      </c>
      <c r="BG122" s="591">
        <v>0</v>
      </c>
      <c r="BH122" s="591">
        <v>0</v>
      </c>
      <c r="BI122" s="591">
        <v>0</v>
      </c>
      <c r="BJ122" s="591">
        <v>0</v>
      </c>
      <c r="BK122" s="700">
        <v>355798333</v>
      </c>
      <c r="BL122" s="589">
        <v>355798333</v>
      </c>
      <c r="BM122" s="589">
        <v>0</v>
      </c>
      <c r="BN122" s="589">
        <v>0</v>
      </c>
      <c r="BO122" s="589">
        <v>0</v>
      </c>
      <c r="BP122" s="589">
        <v>0</v>
      </c>
      <c r="BQ122" s="589">
        <v>0</v>
      </c>
      <c r="BR122" s="589">
        <v>0</v>
      </c>
      <c r="BS122" s="589">
        <v>0</v>
      </c>
      <c r="BT122" s="589">
        <v>0</v>
      </c>
      <c r="BU122" s="589">
        <v>0</v>
      </c>
      <c r="BV122" s="588">
        <f t="shared" si="74"/>
        <v>0.1</v>
      </c>
      <c r="BW122" s="588">
        <v>2</v>
      </c>
      <c r="BX122" s="623">
        <f t="shared" si="107"/>
        <v>0.4</v>
      </c>
      <c r="BY122" s="607">
        <v>1</v>
      </c>
      <c r="BZ122" s="629">
        <v>5</v>
      </c>
      <c r="CA122" s="1017">
        <v>2</v>
      </c>
      <c r="CB122" s="557">
        <f t="shared" si="108"/>
        <v>2</v>
      </c>
      <c r="CC122" s="557">
        <f t="shared" si="109"/>
        <v>100</v>
      </c>
      <c r="CD122" s="622">
        <f t="shared" si="78"/>
        <v>100</v>
      </c>
      <c r="CE122" s="621">
        <f t="shared" si="79"/>
        <v>0.1</v>
      </c>
      <c r="CF122" s="605">
        <f t="shared" si="80"/>
        <v>100</v>
      </c>
      <c r="CG122" s="621">
        <f t="shared" si="81"/>
        <v>0.1</v>
      </c>
      <c r="CH122" s="553">
        <f t="shared" si="82"/>
        <v>0.05</v>
      </c>
      <c r="CI122" s="552">
        <v>1</v>
      </c>
      <c r="CJ122" s="551">
        <f t="shared" si="110"/>
        <v>0.2</v>
      </c>
      <c r="CK122" s="874">
        <v>0</v>
      </c>
      <c r="CL122" s="533">
        <f t="shared" si="111"/>
        <v>1</v>
      </c>
      <c r="CM122" s="619">
        <f t="shared" si="112"/>
        <v>0</v>
      </c>
      <c r="CN122" s="619">
        <f t="shared" si="113"/>
        <v>0</v>
      </c>
      <c r="CO122" s="549">
        <f t="shared" si="87"/>
        <v>0</v>
      </c>
      <c r="CP122" s="619">
        <f t="shared" si="88"/>
        <v>0</v>
      </c>
      <c r="CQ122" s="619">
        <f t="shared" si="89"/>
        <v>0</v>
      </c>
      <c r="CR122" s="546">
        <v>30000000</v>
      </c>
      <c r="CS122" s="546">
        <v>30000000</v>
      </c>
      <c r="CT122" s="546">
        <v>0</v>
      </c>
      <c r="CU122" s="546">
        <v>0</v>
      </c>
      <c r="CV122" s="546">
        <v>0</v>
      </c>
      <c r="CW122" s="546">
        <v>0</v>
      </c>
      <c r="CX122" s="546">
        <v>0</v>
      </c>
      <c r="CY122" s="546">
        <v>0</v>
      </c>
      <c r="CZ122" s="618">
        <v>0</v>
      </c>
      <c r="DA122" s="618">
        <v>0</v>
      </c>
      <c r="DB122" s="618">
        <v>0</v>
      </c>
      <c r="DC122" s="618">
        <v>0</v>
      </c>
      <c r="DD122" s="618">
        <v>0</v>
      </c>
      <c r="DE122" s="618">
        <v>0</v>
      </c>
      <c r="DF122" s="618">
        <v>0</v>
      </c>
      <c r="DG122" s="618">
        <v>0</v>
      </c>
      <c r="DH122" s="618">
        <v>0</v>
      </c>
      <c r="DI122" s="618">
        <v>0</v>
      </c>
      <c r="DJ122" s="618">
        <v>0</v>
      </c>
      <c r="DK122" s="1034">
        <f t="shared" si="114"/>
        <v>6</v>
      </c>
      <c r="DL122" s="543">
        <f t="shared" si="91"/>
        <v>0.25</v>
      </c>
      <c r="DM122" s="542">
        <f t="shared" si="92"/>
        <v>120</v>
      </c>
      <c r="DN122" s="594">
        <f t="shared" si="93"/>
        <v>100</v>
      </c>
      <c r="DO122" s="540">
        <f t="shared" si="94"/>
        <v>0.25</v>
      </c>
      <c r="DP122" s="597">
        <f t="shared" si="117"/>
        <v>0.25</v>
      </c>
      <c r="DQ122" s="538">
        <f t="shared" si="95"/>
        <v>0.25</v>
      </c>
      <c r="DR122" s="617">
        <f t="shared" si="96"/>
        <v>1</v>
      </c>
      <c r="DS122" s="616">
        <f t="shared" si="97"/>
        <v>0</v>
      </c>
      <c r="DT122" s="259">
        <v>118</v>
      </c>
      <c r="DU122" s="260" t="s">
        <v>478</v>
      </c>
      <c r="DV122" s="259"/>
      <c r="DW122" s="260" t="s">
        <v>242</v>
      </c>
      <c r="DX122" s="259"/>
      <c r="DY122" s="259"/>
      <c r="DZ122" s="259"/>
      <c r="EA122" s="987"/>
      <c r="EB122" s="1041" t="s">
        <v>2464</v>
      </c>
      <c r="EC122" s="802">
        <v>40000000</v>
      </c>
      <c r="EE122" s="1047"/>
    </row>
    <row r="123" spans="4:135" s="534" customFormat="1" ht="89.25" hidden="1" x14ac:dyDescent="0.3">
      <c r="D123" s="783">
        <v>120</v>
      </c>
      <c r="E123" s="799">
        <v>153</v>
      </c>
      <c r="F123" s="787" t="s">
        <v>200</v>
      </c>
      <c r="G123" s="787" t="s">
        <v>13</v>
      </c>
      <c r="H123" s="788" t="s">
        <v>136</v>
      </c>
      <c r="I123" s="712" t="s">
        <v>366</v>
      </c>
      <c r="J123" s="573" t="s">
        <v>563</v>
      </c>
      <c r="K123" s="573" t="s">
        <v>564</v>
      </c>
      <c r="L123" s="702" t="s">
        <v>1682</v>
      </c>
      <c r="M123" s="570" t="s">
        <v>2017</v>
      </c>
      <c r="N123" s="570">
        <v>0</v>
      </c>
      <c r="O123" s="570">
        <f>+N123+P123</f>
        <v>1000</v>
      </c>
      <c r="P123" s="569">
        <v>1000</v>
      </c>
      <c r="Q123" s="628">
        <v>0.25</v>
      </c>
      <c r="R123" s="580">
        <f t="shared" si="61"/>
        <v>0</v>
      </c>
      <c r="S123" s="708">
        <v>0</v>
      </c>
      <c r="T123" s="625">
        <f t="shared" si="101"/>
        <v>0</v>
      </c>
      <c r="U123" s="992">
        <v>0</v>
      </c>
      <c r="V123" s="626">
        <f t="shared" si="102"/>
        <v>0</v>
      </c>
      <c r="W123" s="594">
        <f t="shared" si="103"/>
        <v>0</v>
      </c>
      <c r="X123" s="594">
        <f t="shared" si="65"/>
        <v>0</v>
      </c>
      <c r="Y123" s="594">
        <f t="shared" si="98"/>
        <v>0</v>
      </c>
      <c r="Z123" s="594">
        <f t="shared" si="66"/>
        <v>0</v>
      </c>
      <c r="AA123" s="546">
        <v>0</v>
      </c>
      <c r="AB123" s="546">
        <v>0</v>
      </c>
      <c r="AC123" s="546">
        <v>0</v>
      </c>
      <c r="AD123" s="546">
        <v>0</v>
      </c>
      <c r="AE123" s="546">
        <v>0</v>
      </c>
      <c r="AF123" s="546">
        <v>0</v>
      </c>
      <c r="AG123" s="546">
        <v>0</v>
      </c>
      <c r="AH123" s="546">
        <v>0</v>
      </c>
      <c r="AI123" s="546">
        <v>0</v>
      </c>
      <c r="AJ123" s="546">
        <v>0</v>
      </c>
      <c r="AK123" s="546">
        <v>0</v>
      </c>
      <c r="AL123" s="546">
        <v>0</v>
      </c>
      <c r="AM123" s="546">
        <v>0</v>
      </c>
      <c r="AN123" s="546">
        <v>0</v>
      </c>
      <c r="AO123" s="546">
        <v>0</v>
      </c>
      <c r="AP123" s="546">
        <v>0</v>
      </c>
      <c r="AQ123" s="546">
        <v>0</v>
      </c>
      <c r="AR123" s="546">
        <v>0</v>
      </c>
      <c r="AS123" s="546">
        <v>0</v>
      </c>
      <c r="AT123" s="570">
        <f t="shared" si="67"/>
        <v>7.4999999999999997E-2</v>
      </c>
      <c r="AU123" s="570">
        <v>300</v>
      </c>
      <c r="AV123" s="625">
        <f t="shared" si="104"/>
        <v>0.3</v>
      </c>
      <c r="AW123" s="1012">
        <v>483</v>
      </c>
      <c r="AX123" s="604">
        <f t="shared" si="105"/>
        <v>483</v>
      </c>
      <c r="AY123" s="604">
        <f t="shared" si="106"/>
        <v>161</v>
      </c>
      <c r="AZ123" s="604">
        <f t="shared" si="71"/>
        <v>100</v>
      </c>
      <c r="BA123" s="592">
        <f t="shared" si="72"/>
        <v>7.4999999999999997E-2</v>
      </c>
      <c r="BB123" s="592">
        <f t="shared" si="73"/>
        <v>100</v>
      </c>
      <c r="BC123" s="591">
        <v>0</v>
      </c>
      <c r="BD123" s="591">
        <v>0</v>
      </c>
      <c r="BE123" s="591">
        <v>0</v>
      </c>
      <c r="BF123" s="591">
        <v>0</v>
      </c>
      <c r="BG123" s="591">
        <v>0</v>
      </c>
      <c r="BH123" s="591">
        <v>0</v>
      </c>
      <c r="BI123" s="591">
        <v>0</v>
      </c>
      <c r="BJ123" s="591">
        <v>0</v>
      </c>
      <c r="BK123" s="700">
        <v>0</v>
      </c>
      <c r="BL123" s="589">
        <v>0</v>
      </c>
      <c r="BM123" s="589">
        <v>0</v>
      </c>
      <c r="BN123" s="589">
        <v>0</v>
      </c>
      <c r="BO123" s="589">
        <v>0</v>
      </c>
      <c r="BP123" s="589">
        <v>0</v>
      </c>
      <c r="BQ123" s="589">
        <v>0</v>
      </c>
      <c r="BR123" s="589">
        <v>0</v>
      </c>
      <c r="BS123" s="589">
        <v>0</v>
      </c>
      <c r="BT123" s="589">
        <v>0</v>
      </c>
      <c r="BU123" s="589">
        <v>0</v>
      </c>
      <c r="BV123" s="588">
        <f t="shared" si="74"/>
        <v>7.4999999999999997E-2</v>
      </c>
      <c r="BW123" s="588">
        <v>300</v>
      </c>
      <c r="BX123" s="623">
        <f t="shared" si="107"/>
        <v>0.3</v>
      </c>
      <c r="BY123" s="717">
        <v>1000</v>
      </c>
      <c r="BZ123" s="716">
        <v>1000</v>
      </c>
      <c r="CA123" s="1019">
        <v>1000</v>
      </c>
      <c r="CB123" s="557">
        <f t="shared" si="108"/>
        <v>1000</v>
      </c>
      <c r="CC123" s="557">
        <f t="shared" si="109"/>
        <v>333.33333333333331</v>
      </c>
      <c r="CD123" s="622">
        <f t="shared" si="78"/>
        <v>100</v>
      </c>
      <c r="CE123" s="621">
        <f t="shared" si="79"/>
        <v>7.4999999999999997E-2</v>
      </c>
      <c r="CF123" s="605">
        <f t="shared" si="80"/>
        <v>100</v>
      </c>
      <c r="CG123" s="621">
        <f t="shared" si="81"/>
        <v>0.24999999999999997</v>
      </c>
      <c r="CH123" s="553">
        <f t="shared" si="82"/>
        <v>0.1</v>
      </c>
      <c r="CI123" s="552">
        <v>400</v>
      </c>
      <c r="CJ123" s="551">
        <f t="shared" si="110"/>
        <v>0.4</v>
      </c>
      <c r="CK123" s="871">
        <v>0</v>
      </c>
      <c r="CL123" s="533">
        <f t="shared" si="111"/>
        <v>400</v>
      </c>
      <c r="CM123" s="619">
        <f t="shared" si="112"/>
        <v>0</v>
      </c>
      <c r="CN123" s="619">
        <f t="shared" si="113"/>
        <v>0</v>
      </c>
      <c r="CO123" s="549">
        <f t="shared" si="87"/>
        <v>0</v>
      </c>
      <c r="CP123" s="619">
        <f t="shared" si="88"/>
        <v>0</v>
      </c>
      <c r="CQ123" s="619">
        <f t="shared" si="89"/>
        <v>0</v>
      </c>
      <c r="CR123" s="546">
        <v>0</v>
      </c>
      <c r="CS123" s="546">
        <v>0</v>
      </c>
      <c r="CT123" s="546">
        <v>0</v>
      </c>
      <c r="CU123" s="546">
        <v>0</v>
      </c>
      <c r="CV123" s="546">
        <v>0</v>
      </c>
      <c r="CW123" s="546">
        <v>0</v>
      </c>
      <c r="CX123" s="546">
        <v>0</v>
      </c>
      <c r="CY123" s="546">
        <v>0</v>
      </c>
      <c r="CZ123" s="618">
        <v>0</v>
      </c>
      <c r="DA123" s="618">
        <v>0</v>
      </c>
      <c r="DB123" s="618">
        <v>0</v>
      </c>
      <c r="DC123" s="618">
        <v>0</v>
      </c>
      <c r="DD123" s="618">
        <v>0</v>
      </c>
      <c r="DE123" s="618">
        <v>0</v>
      </c>
      <c r="DF123" s="618">
        <v>0</v>
      </c>
      <c r="DG123" s="618">
        <v>0</v>
      </c>
      <c r="DH123" s="618">
        <v>0</v>
      </c>
      <c r="DI123" s="618">
        <v>0</v>
      </c>
      <c r="DJ123" s="618">
        <v>0</v>
      </c>
      <c r="DK123" s="1034">
        <f t="shared" si="114"/>
        <v>1483</v>
      </c>
      <c r="DL123" s="543">
        <f t="shared" si="91"/>
        <v>0.25</v>
      </c>
      <c r="DM123" s="542">
        <f t="shared" si="92"/>
        <v>148.30000000000001</v>
      </c>
      <c r="DN123" s="594">
        <f t="shared" si="93"/>
        <v>100</v>
      </c>
      <c r="DO123" s="540">
        <f t="shared" si="94"/>
        <v>0.25</v>
      </c>
      <c r="DP123" s="597">
        <f t="shared" si="117"/>
        <v>0.25</v>
      </c>
      <c r="DQ123" s="538">
        <f t="shared" si="95"/>
        <v>0.25</v>
      </c>
      <c r="DR123" s="617">
        <f t="shared" si="96"/>
        <v>1</v>
      </c>
      <c r="DS123" s="616">
        <f t="shared" si="97"/>
        <v>0</v>
      </c>
      <c r="DT123" s="259">
        <v>118</v>
      </c>
      <c r="DU123" s="260" t="s">
        <v>478</v>
      </c>
      <c r="DV123" s="259"/>
      <c r="DW123" s="260" t="s">
        <v>242</v>
      </c>
      <c r="DX123" s="259"/>
      <c r="DY123" s="259"/>
      <c r="DZ123" s="259"/>
      <c r="EA123" s="987"/>
      <c r="EB123" s="1041" t="s">
        <v>2465</v>
      </c>
      <c r="EC123" s="802">
        <v>0</v>
      </c>
      <c r="EE123" s="1047"/>
    </row>
    <row r="124" spans="4:135" s="534" customFormat="1" ht="89.25" hidden="1" x14ac:dyDescent="0.3">
      <c r="D124" s="783">
        <v>121</v>
      </c>
      <c r="E124" s="799">
        <v>154</v>
      </c>
      <c r="F124" s="787" t="s">
        <v>200</v>
      </c>
      <c r="G124" s="787" t="s">
        <v>10</v>
      </c>
      <c r="H124" s="788" t="s">
        <v>136</v>
      </c>
      <c r="I124" s="712" t="s">
        <v>369</v>
      </c>
      <c r="J124" s="573" t="s">
        <v>565</v>
      </c>
      <c r="K124" s="573" t="s">
        <v>566</v>
      </c>
      <c r="L124" s="702" t="s">
        <v>1593</v>
      </c>
      <c r="M124" s="570" t="s">
        <v>2017</v>
      </c>
      <c r="N124" s="570">
        <v>11</v>
      </c>
      <c r="O124" s="570">
        <v>105</v>
      </c>
      <c r="P124" s="569">
        <v>116</v>
      </c>
      <c r="Q124" s="628">
        <v>0.16500000000000001</v>
      </c>
      <c r="R124" s="580">
        <f t="shared" si="61"/>
        <v>2.1336206896551725E-2</v>
      </c>
      <c r="S124" s="708">
        <v>15</v>
      </c>
      <c r="T124" s="625">
        <f t="shared" si="101"/>
        <v>0.12931034482758622</v>
      </c>
      <c r="U124" s="992">
        <v>16</v>
      </c>
      <c r="V124" s="626">
        <f t="shared" si="102"/>
        <v>16</v>
      </c>
      <c r="W124" s="594">
        <f t="shared" si="103"/>
        <v>106.66666666666667</v>
      </c>
      <c r="X124" s="594">
        <f t="shared" si="65"/>
        <v>100</v>
      </c>
      <c r="Y124" s="594">
        <f t="shared" si="98"/>
        <v>2.1336206896551725E-2</v>
      </c>
      <c r="Z124" s="594">
        <f t="shared" si="66"/>
        <v>100</v>
      </c>
      <c r="AA124" s="546">
        <v>354895000</v>
      </c>
      <c r="AB124" s="546">
        <v>0</v>
      </c>
      <c r="AC124" s="546">
        <v>354895000</v>
      </c>
      <c r="AD124" s="546">
        <v>0</v>
      </c>
      <c r="AE124" s="546">
        <v>0</v>
      </c>
      <c r="AF124" s="546">
        <v>0</v>
      </c>
      <c r="AG124" s="546">
        <v>0</v>
      </c>
      <c r="AH124" s="546">
        <v>0</v>
      </c>
      <c r="AI124" s="546">
        <v>0</v>
      </c>
      <c r="AJ124" s="546">
        <v>0</v>
      </c>
      <c r="AK124" s="546">
        <v>0</v>
      </c>
      <c r="AL124" s="546">
        <v>0</v>
      </c>
      <c r="AM124" s="546">
        <v>0</v>
      </c>
      <c r="AN124" s="546">
        <v>0</v>
      </c>
      <c r="AO124" s="546">
        <v>0</v>
      </c>
      <c r="AP124" s="546">
        <v>0</v>
      </c>
      <c r="AQ124" s="546">
        <v>0</v>
      </c>
      <c r="AR124" s="546">
        <v>0</v>
      </c>
      <c r="AS124" s="546">
        <v>0</v>
      </c>
      <c r="AT124" s="570">
        <f t="shared" si="67"/>
        <v>4.9784482758620692E-2</v>
      </c>
      <c r="AU124" s="570">
        <v>35</v>
      </c>
      <c r="AV124" s="625">
        <f t="shared" si="104"/>
        <v>0.30172413793103448</v>
      </c>
      <c r="AW124" s="1010">
        <v>35</v>
      </c>
      <c r="AX124" s="604">
        <f t="shared" si="105"/>
        <v>35</v>
      </c>
      <c r="AY124" s="604">
        <f t="shared" si="106"/>
        <v>100</v>
      </c>
      <c r="AZ124" s="604">
        <f t="shared" si="71"/>
        <v>100</v>
      </c>
      <c r="BA124" s="592">
        <f t="shared" si="72"/>
        <v>4.9784482758620692E-2</v>
      </c>
      <c r="BB124" s="592">
        <f t="shared" si="73"/>
        <v>100</v>
      </c>
      <c r="BC124" s="591">
        <v>373000000</v>
      </c>
      <c r="BD124" s="591">
        <v>373000000</v>
      </c>
      <c r="BE124" s="591">
        <v>0</v>
      </c>
      <c r="BF124" s="591">
        <v>0</v>
      </c>
      <c r="BG124" s="591">
        <v>0</v>
      </c>
      <c r="BH124" s="591">
        <v>0</v>
      </c>
      <c r="BI124" s="591">
        <v>0</v>
      </c>
      <c r="BJ124" s="591">
        <v>0</v>
      </c>
      <c r="BK124" s="700">
        <v>252567350</v>
      </c>
      <c r="BL124" s="589">
        <v>0</v>
      </c>
      <c r="BM124" s="589">
        <v>252567350</v>
      </c>
      <c r="BN124" s="589">
        <v>0</v>
      </c>
      <c r="BO124" s="589">
        <v>0</v>
      </c>
      <c r="BP124" s="589">
        <v>0</v>
      </c>
      <c r="BQ124" s="589">
        <v>0</v>
      </c>
      <c r="BR124" s="589">
        <v>0</v>
      </c>
      <c r="BS124" s="589">
        <v>0</v>
      </c>
      <c r="BT124" s="589">
        <v>0</v>
      </c>
      <c r="BU124" s="589">
        <v>0</v>
      </c>
      <c r="BV124" s="588">
        <f t="shared" si="74"/>
        <v>4.9784482758620692E-2</v>
      </c>
      <c r="BW124" s="588">
        <v>35</v>
      </c>
      <c r="BX124" s="623">
        <f t="shared" si="107"/>
        <v>0.30172413793103448</v>
      </c>
      <c r="BY124" s="607">
        <v>17</v>
      </c>
      <c r="BZ124" s="629">
        <v>26</v>
      </c>
      <c r="CA124" s="1017">
        <v>35</v>
      </c>
      <c r="CB124" s="557">
        <f t="shared" si="108"/>
        <v>35</v>
      </c>
      <c r="CC124" s="557">
        <f t="shared" si="109"/>
        <v>100</v>
      </c>
      <c r="CD124" s="622">
        <f t="shared" si="78"/>
        <v>100</v>
      </c>
      <c r="CE124" s="621">
        <f t="shared" si="79"/>
        <v>4.9784482758620692E-2</v>
      </c>
      <c r="CF124" s="605">
        <f t="shared" si="80"/>
        <v>100</v>
      </c>
      <c r="CG124" s="621">
        <f t="shared" si="81"/>
        <v>4.9784482758620692E-2</v>
      </c>
      <c r="CH124" s="553">
        <f t="shared" si="82"/>
        <v>4.4094827586206892E-2</v>
      </c>
      <c r="CI124" s="552">
        <v>31</v>
      </c>
      <c r="CJ124" s="551">
        <f t="shared" si="110"/>
        <v>0.26724137931034481</v>
      </c>
      <c r="CK124" s="874">
        <v>12</v>
      </c>
      <c r="CL124" s="533">
        <f t="shared" si="111"/>
        <v>19</v>
      </c>
      <c r="CM124" s="619">
        <f t="shared" si="112"/>
        <v>12</v>
      </c>
      <c r="CN124" s="619">
        <f t="shared" si="113"/>
        <v>38.70967741935484</v>
      </c>
      <c r="CO124" s="549">
        <f t="shared" si="87"/>
        <v>38.70967741935484</v>
      </c>
      <c r="CP124" s="619">
        <f t="shared" si="88"/>
        <v>1.706896551724138E-2</v>
      </c>
      <c r="CQ124" s="619">
        <f t="shared" si="89"/>
        <v>1.706896551724138E-2</v>
      </c>
      <c r="CR124" s="546">
        <v>373000000</v>
      </c>
      <c r="CS124" s="546">
        <v>0</v>
      </c>
      <c r="CT124" s="546">
        <v>373000000</v>
      </c>
      <c r="CU124" s="546">
        <v>0</v>
      </c>
      <c r="CV124" s="546">
        <v>0</v>
      </c>
      <c r="CW124" s="546">
        <v>0</v>
      </c>
      <c r="CX124" s="546">
        <v>0</v>
      </c>
      <c r="CY124" s="546">
        <v>0</v>
      </c>
      <c r="CZ124" s="618">
        <v>0</v>
      </c>
      <c r="DA124" s="618">
        <v>0</v>
      </c>
      <c r="DB124" s="618">
        <v>0</v>
      </c>
      <c r="DC124" s="618">
        <v>0</v>
      </c>
      <c r="DD124" s="618">
        <v>0</v>
      </c>
      <c r="DE124" s="618">
        <v>0</v>
      </c>
      <c r="DF124" s="618">
        <v>0</v>
      </c>
      <c r="DG124" s="618">
        <v>0</v>
      </c>
      <c r="DH124" s="618">
        <v>0</v>
      </c>
      <c r="DI124" s="618">
        <v>0</v>
      </c>
      <c r="DJ124" s="618">
        <v>0</v>
      </c>
      <c r="DK124" s="1034">
        <f t="shared" si="114"/>
        <v>98</v>
      </c>
      <c r="DL124" s="543">
        <f t="shared" si="91"/>
        <v>0.16500000000000001</v>
      </c>
      <c r="DM124" s="542">
        <f t="shared" si="92"/>
        <v>84.482758620689651</v>
      </c>
      <c r="DN124" s="594">
        <f t="shared" si="93"/>
        <v>84.482758620689651</v>
      </c>
      <c r="DO124" s="540">
        <f t="shared" si="94"/>
        <v>0.13939655172413792</v>
      </c>
      <c r="DP124" s="597">
        <f t="shared" si="117"/>
        <v>0.13939655172413792</v>
      </c>
      <c r="DQ124" s="538">
        <f t="shared" si="95"/>
        <v>0.13939655172413792</v>
      </c>
      <c r="DR124" s="617">
        <f t="shared" si="96"/>
        <v>1</v>
      </c>
      <c r="DS124" s="616">
        <f t="shared" si="97"/>
        <v>0</v>
      </c>
      <c r="DT124" s="259">
        <v>118</v>
      </c>
      <c r="DU124" s="260" t="s">
        <v>478</v>
      </c>
      <c r="DV124" s="259"/>
      <c r="DW124" s="260" t="s">
        <v>242</v>
      </c>
      <c r="DX124" s="259"/>
      <c r="DY124" s="259"/>
      <c r="DZ124" s="259"/>
      <c r="EA124" s="987"/>
      <c r="EB124" s="1041" t="s">
        <v>2466</v>
      </c>
      <c r="EC124" s="802">
        <v>373000000</v>
      </c>
      <c r="EE124" s="1047"/>
    </row>
    <row r="125" spans="4:135" s="534" customFormat="1" ht="63.75" hidden="1" x14ac:dyDescent="0.3">
      <c r="D125" s="783">
        <v>122</v>
      </c>
      <c r="E125" s="799">
        <v>155</v>
      </c>
      <c r="F125" s="787" t="s">
        <v>200</v>
      </c>
      <c r="G125" s="787" t="s">
        <v>7</v>
      </c>
      <c r="H125" s="788" t="s">
        <v>136</v>
      </c>
      <c r="I125" s="712" t="s">
        <v>369</v>
      </c>
      <c r="J125" s="573" t="s">
        <v>567</v>
      </c>
      <c r="K125" s="573" t="s">
        <v>568</v>
      </c>
      <c r="L125" s="702" t="s">
        <v>1593</v>
      </c>
      <c r="M125" s="570" t="s">
        <v>2017</v>
      </c>
      <c r="N125" s="570">
        <v>0</v>
      </c>
      <c r="O125" s="570">
        <f>+N125+P125</f>
        <v>30</v>
      </c>
      <c r="P125" s="569">
        <v>30</v>
      </c>
      <c r="Q125" s="628">
        <v>0.16500000000000001</v>
      </c>
      <c r="R125" s="580">
        <f t="shared" si="61"/>
        <v>5.5E-2</v>
      </c>
      <c r="S125" s="708">
        <v>10</v>
      </c>
      <c r="T125" s="625">
        <f t="shared" si="101"/>
        <v>0.33333333333333331</v>
      </c>
      <c r="U125" s="992">
        <v>10</v>
      </c>
      <c r="V125" s="626">
        <f t="shared" si="102"/>
        <v>10</v>
      </c>
      <c r="W125" s="594">
        <f t="shared" si="103"/>
        <v>100</v>
      </c>
      <c r="X125" s="594">
        <f t="shared" si="65"/>
        <v>100</v>
      </c>
      <c r="Y125" s="594">
        <f t="shared" si="98"/>
        <v>5.5E-2</v>
      </c>
      <c r="Z125" s="594">
        <f t="shared" si="66"/>
        <v>100</v>
      </c>
      <c r="AA125" s="546">
        <v>48000000</v>
      </c>
      <c r="AB125" s="546">
        <v>48000000</v>
      </c>
      <c r="AC125" s="546">
        <v>0</v>
      </c>
      <c r="AD125" s="546">
        <v>0</v>
      </c>
      <c r="AE125" s="546">
        <v>0</v>
      </c>
      <c r="AF125" s="546">
        <v>0</v>
      </c>
      <c r="AG125" s="546">
        <v>0</v>
      </c>
      <c r="AH125" s="546">
        <v>0</v>
      </c>
      <c r="AI125" s="546">
        <v>10500000</v>
      </c>
      <c r="AJ125" s="546">
        <v>10500000</v>
      </c>
      <c r="AK125" s="546">
        <v>0</v>
      </c>
      <c r="AL125" s="546">
        <v>0</v>
      </c>
      <c r="AM125" s="546">
        <v>0</v>
      </c>
      <c r="AN125" s="546">
        <v>0</v>
      </c>
      <c r="AO125" s="546">
        <v>0</v>
      </c>
      <c r="AP125" s="546">
        <v>0</v>
      </c>
      <c r="AQ125" s="546">
        <v>0</v>
      </c>
      <c r="AR125" s="546">
        <v>0</v>
      </c>
      <c r="AS125" s="546">
        <v>0</v>
      </c>
      <c r="AT125" s="570">
        <f t="shared" si="67"/>
        <v>6.6000000000000003E-2</v>
      </c>
      <c r="AU125" s="570">
        <v>12</v>
      </c>
      <c r="AV125" s="625">
        <f t="shared" si="104"/>
        <v>0.4</v>
      </c>
      <c r="AW125" s="1003">
        <v>12</v>
      </c>
      <c r="AX125" s="604">
        <f t="shared" si="105"/>
        <v>12</v>
      </c>
      <c r="AY125" s="604">
        <f t="shared" si="106"/>
        <v>100</v>
      </c>
      <c r="AZ125" s="604">
        <f t="shared" si="71"/>
        <v>100</v>
      </c>
      <c r="BA125" s="592">
        <f t="shared" si="72"/>
        <v>6.6000000000000003E-2</v>
      </c>
      <c r="BB125" s="592">
        <f t="shared" si="73"/>
        <v>100</v>
      </c>
      <c r="BC125" s="591">
        <v>15000000</v>
      </c>
      <c r="BD125" s="591">
        <v>0</v>
      </c>
      <c r="BE125" s="591">
        <v>15000000</v>
      </c>
      <c r="BF125" s="591">
        <v>0</v>
      </c>
      <c r="BG125" s="591">
        <v>0</v>
      </c>
      <c r="BH125" s="591">
        <v>0</v>
      </c>
      <c r="BI125" s="591">
        <v>0</v>
      </c>
      <c r="BJ125" s="591">
        <v>0</v>
      </c>
      <c r="BK125" s="700">
        <v>30000000</v>
      </c>
      <c r="BL125" s="589">
        <v>30000000</v>
      </c>
      <c r="BM125" s="589">
        <v>0</v>
      </c>
      <c r="BN125" s="589">
        <v>0</v>
      </c>
      <c r="BO125" s="589">
        <v>0</v>
      </c>
      <c r="BP125" s="589">
        <v>0</v>
      </c>
      <c r="BQ125" s="589">
        <v>0</v>
      </c>
      <c r="BR125" s="589">
        <v>0</v>
      </c>
      <c r="BS125" s="589">
        <v>0</v>
      </c>
      <c r="BT125" s="589">
        <v>0</v>
      </c>
      <c r="BU125" s="589">
        <v>0</v>
      </c>
      <c r="BV125" s="588">
        <f t="shared" si="74"/>
        <v>2.75E-2</v>
      </c>
      <c r="BW125" s="588">
        <v>5</v>
      </c>
      <c r="BX125" s="623">
        <f t="shared" si="107"/>
        <v>0.16666666666666666</v>
      </c>
      <c r="BY125" s="639">
        <v>4</v>
      </c>
      <c r="BZ125" s="638">
        <v>7</v>
      </c>
      <c r="CA125" s="1018">
        <v>8</v>
      </c>
      <c r="CB125" s="557">
        <f t="shared" si="108"/>
        <v>8</v>
      </c>
      <c r="CC125" s="557">
        <f t="shared" si="109"/>
        <v>160</v>
      </c>
      <c r="CD125" s="622">
        <f t="shared" si="78"/>
        <v>100</v>
      </c>
      <c r="CE125" s="621">
        <f t="shared" si="79"/>
        <v>2.75E-2</v>
      </c>
      <c r="CF125" s="605">
        <f t="shared" si="80"/>
        <v>100</v>
      </c>
      <c r="CG125" s="621">
        <f t="shared" si="81"/>
        <v>4.4000000000000004E-2</v>
      </c>
      <c r="CH125" s="553">
        <f t="shared" si="82"/>
        <v>1.6500000000000001E-2</v>
      </c>
      <c r="CI125" s="552">
        <v>3</v>
      </c>
      <c r="CJ125" s="551">
        <f t="shared" si="110"/>
        <v>0.1</v>
      </c>
      <c r="CK125" s="874">
        <v>8</v>
      </c>
      <c r="CL125" s="533">
        <f t="shared" si="111"/>
        <v>-5</v>
      </c>
      <c r="CM125" s="619">
        <f t="shared" si="112"/>
        <v>8</v>
      </c>
      <c r="CN125" s="619">
        <f t="shared" si="113"/>
        <v>266.66666666666669</v>
      </c>
      <c r="CO125" s="549">
        <f t="shared" si="87"/>
        <v>100</v>
      </c>
      <c r="CP125" s="619">
        <f t="shared" si="88"/>
        <v>1.6500000000000001E-2</v>
      </c>
      <c r="CQ125" s="619">
        <f t="shared" si="89"/>
        <v>4.4000000000000004E-2</v>
      </c>
      <c r="CR125" s="546">
        <v>35000000</v>
      </c>
      <c r="CS125" s="546">
        <v>35000000</v>
      </c>
      <c r="CT125" s="546">
        <v>0</v>
      </c>
      <c r="CU125" s="546">
        <v>0</v>
      </c>
      <c r="CV125" s="546">
        <v>0</v>
      </c>
      <c r="CW125" s="546">
        <v>0</v>
      </c>
      <c r="CX125" s="546">
        <v>0</v>
      </c>
      <c r="CY125" s="546">
        <v>0</v>
      </c>
      <c r="CZ125" s="618">
        <v>0</v>
      </c>
      <c r="DA125" s="618">
        <v>0</v>
      </c>
      <c r="DB125" s="618">
        <v>0</v>
      </c>
      <c r="DC125" s="618">
        <v>0</v>
      </c>
      <c r="DD125" s="618">
        <v>0</v>
      </c>
      <c r="DE125" s="618">
        <v>0</v>
      </c>
      <c r="DF125" s="618">
        <v>0</v>
      </c>
      <c r="DG125" s="618">
        <v>0</v>
      </c>
      <c r="DH125" s="618">
        <v>0</v>
      </c>
      <c r="DI125" s="618">
        <v>0</v>
      </c>
      <c r="DJ125" s="618">
        <v>0</v>
      </c>
      <c r="DK125" s="1034">
        <f t="shared" si="114"/>
        <v>38</v>
      </c>
      <c r="DL125" s="543">
        <f t="shared" si="91"/>
        <v>0.16499999999999998</v>
      </c>
      <c r="DM125" s="542">
        <f t="shared" si="92"/>
        <v>126.66666666666667</v>
      </c>
      <c r="DN125" s="594">
        <f t="shared" si="93"/>
        <v>100</v>
      </c>
      <c r="DO125" s="540">
        <f t="shared" si="94"/>
        <v>0.16500000000000001</v>
      </c>
      <c r="DP125" s="597">
        <f t="shared" si="117"/>
        <v>0.16500000000000001</v>
      </c>
      <c r="DQ125" s="538">
        <f t="shared" si="95"/>
        <v>0.16500000000000001</v>
      </c>
      <c r="DR125" s="617">
        <f t="shared" si="96"/>
        <v>1</v>
      </c>
      <c r="DS125" s="616">
        <f t="shared" si="97"/>
        <v>0</v>
      </c>
      <c r="DT125" s="259">
        <v>118</v>
      </c>
      <c r="DU125" s="260" t="s">
        <v>478</v>
      </c>
      <c r="DV125" s="259">
        <v>119</v>
      </c>
      <c r="DW125" s="260" t="s">
        <v>283</v>
      </c>
      <c r="DX125" s="259"/>
      <c r="DY125" s="259"/>
      <c r="DZ125" s="259"/>
      <c r="EA125" s="987"/>
      <c r="EB125" s="1041" t="s">
        <v>2467</v>
      </c>
      <c r="EC125" s="802">
        <v>35000000</v>
      </c>
      <c r="EE125" s="1047"/>
    </row>
    <row r="126" spans="4:135" s="534" customFormat="1" ht="102" hidden="1" x14ac:dyDescent="0.3">
      <c r="D126" s="783">
        <v>123</v>
      </c>
      <c r="E126" s="799">
        <v>156</v>
      </c>
      <c r="F126" s="787" t="s">
        <v>200</v>
      </c>
      <c r="G126" s="787" t="s">
        <v>9</v>
      </c>
      <c r="H126" s="788" t="s">
        <v>136</v>
      </c>
      <c r="I126" s="712" t="s">
        <v>369</v>
      </c>
      <c r="J126" s="573" t="s">
        <v>569</v>
      </c>
      <c r="K126" s="573" t="s">
        <v>570</v>
      </c>
      <c r="L126" s="701" t="s">
        <v>2201</v>
      </c>
      <c r="M126" s="570" t="s">
        <v>2032</v>
      </c>
      <c r="N126" s="570">
        <v>0</v>
      </c>
      <c r="O126" s="570">
        <f>+P126</f>
        <v>100</v>
      </c>
      <c r="P126" s="569">
        <v>100</v>
      </c>
      <c r="Q126" s="628">
        <v>0.16500000000000001</v>
      </c>
      <c r="R126" s="580">
        <f t="shared" si="61"/>
        <v>4.1250000000000002E-2</v>
      </c>
      <c r="S126" s="708">
        <v>100</v>
      </c>
      <c r="T126" s="625">
        <f t="shared" si="101"/>
        <v>0.25</v>
      </c>
      <c r="U126" s="992">
        <v>100</v>
      </c>
      <c r="V126" s="626">
        <f t="shared" si="102"/>
        <v>25</v>
      </c>
      <c r="W126" s="594">
        <f t="shared" si="103"/>
        <v>100</v>
      </c>
      <c r="X126" s="594">
        <f t="shared" si="65"/>
        <v>100</v>
      </c>
      <c r="Y126" s="594">
        <f t="shared" si="98"/>
        <v>4.1250000000000002E-2</v>
      </c>
      <c r="Z126" s="594">
        <f t="shared" si="66"/>
        <v>100</v>
      </c>
      <c r="AA126" s="546">
        <v>0</v>
      </c>
      <c r="AB126" s="546">
        <v>0</v>
      </c>
      <c r="AC126" s="546">
        <v>0</v>
      </c>
      <c r="AD126" s="546">
        <v>0</v>
      </c>
      <c r="AE126" s="546">
        <v>0</v>
      </c>
      <c r="AF126" s="546">
        <v>0</v>
      </c>
      <c r="AG126" s="546">
        <v>0</v>
      </c>
      <c r="AH126" s="546">
        <v>0</v>
      </c>
      <c r="AI126" s="546">
        <v>0</v>
      </c>
      <c r="AJ126" s="546">
        <v>0</v>
      </c>
      <c r="AK126" s="546">
        <v>0</v>
      </c>
      <c r="AL126" s="546">
        <v>0</v>
      </c>
      <c r="AM126" s="546">
        <v>0</v>
      </c>
      <c r="AN126" s="546">
        <v>0</v>
      </c>
      <c r="AO126" s="546">
        <v>0</v>
      </c>
      <c r="AP126" s="546">
        <v>0</v>
      </c>
      <c r="AQ126" s="546">
        <v>0</v>
      </c>
      <c r="AR126" s="546">
        <v>0</v>
      </c>
      <c r="AS126" s="546">
        <v>0</v>
      </c>
      <c r="AT126" s="570">
        <f t="shared" si="67"/>
        <v>4.1250000000000002E-2</v>
      </c>
      <c r="AU126" s="570">
        <v>100</v>
      </c>
      <c r="AV126" s="625">
        <f t="shared" si="104"/>
        <v>0.25</v>
      </c>
      <c r="AW126" s="1003">
        <v>100</v>
      </c>
      <c r="AX126" s="604">
        <f t="shared" si="105"/>
        <v>25</v>
      </c>
      <c r="AY126" s="604">
        <f t="shared" si="106"/>
        <v>100</v>
      </c>
      <c r="AZ126" s="604">
        <f t="shared" si="71"/>
        <v>100</v>
      </c>
      <c r="BA126" s="592">
        <f t="shared" si="72"/>
        <v>4.1250000000000002E-2</v>
      </c>
      <c r="BB126" s="592">
        <f t="shared" si="73"/>
        <v>100</v>
      </c>
      <c r="BC126" s="591">
        <v>20000000</v>
      </c>
      <c r="BD126" s="591">
        <v>0</v>
      </c>
      <c r="BE126" s="591">
        <v>20000000</v>
      </c>
      <c r="BF126" s="591">
        <v>0</v>
      </c>
      <c r="BG126" s="591">
        <v>0</v>
      </c>
      <c r="BH126" s="591">
        <v>0</v>
      </c>
      <c r="BI126" s="591">
        <v>0</v>
      </c>
      <c r="BJ126" s="591">
        <v>0</v>
      </c>
      <c r="BK126" s="700">
        <v>20000000</v>
      </c>
      <c r="BL126" s="589">
        <v>20000000</v>
      </c>
      <c r="BM126" s="589">
        <v>0</v>
      </c>
      <c r="BN126" s="589">
        <v>0</v>
      </c>
      <c r="BO126" s="589">
        <v>0</v>
      </c>
      <c r="BP126" s="589">
        <v>0</v>
      </c>
      <c r="BQ126" s="589">
        <v>0</v>
      </c>
      <c r="BR126" s="589">
        <v>0</v>
      </c>
      <c r="BS126" s="589">
        <v>0</v>
      </c>
      <c r="BT126" s="589">
        <v>0</v>
      </c>
      <c r="BU126" s="589">
        <v>0</v>
      </c>
      <c r="BV126" s="588">
        <f t="shared" si="74"/>
        <v>4.1250000000000002E-2</v>
      </c>
      <c r="BW126" s="588">
        <v>100</v>
      </c>
      <c r="BX126" s="623">
        <f t="shared" si="107"/>
        <v>0.25</v>
      </c>
      <c r="BY126" s="607">
        <v>116</v>
      </c>
      <c r="BZ126" s="629">
        <v>100</v>
      </c>
      <c r="CA126" s="1017">
        <v>100</v>
      </c>
      <c r="CB126" s="557">
        <f t="shared" si="108"/>
        <v>25</v>
      </c>
      <c r="CC126" s="557">
        <f t="shared" si="109"/>
        <v>100</v>
      </c>
      <c r="CD126" s="622">
        <f t="shared" si="78"/>
        <v>100</v>
      </c>
      <c r="CE126" s="621">
        <f t="shared" si="79"/>
        <v>4.1250000000000002E-2</v>
      </c>
      <c r="CF126" s="605">
        <f t="shared" si="80"/>
        <v>100</v>
      </c>
      <c r="CG126" s="621">
        <f t="shared" si="81"/>
        <v>4.1250000000000002E-2</v>
      </c>
      <c r="CH126" s="553">
        <f t="shared" si="82"/>
        <v>4.1250000000000002E-2</v>
      </c>
      <c r="CI126" s="552">
        <v>100</v>
      </c>
      <c r="CJ126" s="551">
        <f t="shared" si="110"/>
        <v>0.25</v>
      </c>
      <c r="CK126" s="874">
        <v>100</v>
      </c>
      <c r="CL126" s="533">
        <f t="shared" si="111"/>
        <v>0</v>
      </c>
      <c r="CM126" s="619">
        <f t="shared" si="112"/>
        <v>25</v>
      </c>
      <c r="CN126" s="619">
        <f t="shared" si="113"/>
        <v>100</v>
      </c>
      <c r="CO126" s="619">
        <f t="shared" si="87"/>
        <v>100</v>
      </c>
      <c r="CP126" s="619">
        <f t="shared" si="88"/>
        <v>4.1250000000000002E-2</v>
      </c>
      <c r="CQ126" s="619">
        <f t="shared" si="89"/>
        <v>4.1250000000000002E-2</v>
      </c>
      <c r="CR126" s="546">
        <v>0</v>
      </c>
      <c r="CS126" s="546">
        <v>0</v>
      </c>
      <c r="CT126" s="546">
        <v>0</v>
      </c>
      <c r="CU126" s="546">
        <v>0</v>
      </c>
      <c r="CV126" s="546">
        <v>0</v>
      </c>
      <c r="CW126" s="546">
        <v>0</v>
      </c>
      <c r="CX126" s="546">
        <v>0</v>
      </c>
      <c r="CY126" s="546">
        <v>0</v>
      </c>
      <c r="CZ126" s="618">
        <v>0</v>
      </c>
      <c r="DA126" s="618">
        <v>0</v>
      </c>
      <c r="DB126" s="618">
        <v>0</v>
      </c>
      <c r="DC126" s="618">
        <v>0</v>
      </c>
      <c r="DD126" s="618">
        <v>0</v>
      </c>
      <c r="DE126" s="618">
        <v>0</v>
      </c>
      <c r="DF126" s="618">
        <v>0</v>
      </c>
      <c r="DG126" s="618">
        <v>0</v>
      </c>
      <c r="DH126" s="618">
        <v>0</v>
      </c>
      <c r="DI126" s="618">
        <v>0</v>
      </c>
      <c r="DJ126" s="618">
        <v>0</v>
      </c>
      <c r="DK126" s="1034">
        <f t="shared" si="114"/>
        <v>100</v>
      </c>
      <c r="DL126" s="543">
        <f t="shared" si="91"/>
        <v>0.16500000000000001</v>
      </c>
      <c r="DM126" s="542">
        <f t="shared" si="92"/>
        <v>100</v>
      </c>
      <c r="DN126" s="594">
        <f t="shared" si="93"/>
        <v>100</v>
      </c>
      <c r="DO126" s="540">
        <f t="shared" si="94"/>
        <v>0.16500000000000001</v>
      </c>
      <c r="DP126" s="597">
        <f>+IF(M126="M",DO126,0)</f>
        <v>0.16500000000000001</v>
      </c>
      <c r="DQ126" s="538">
        <f t="shared" si="95"/>
        <v>0.16500000000000001</v>
      </c>
      <c r="DR126" s="617">
        <f t="shared" si="96"/>
        <v>1</v>
      </c>
      <c r="DS126" s="616">
        <f t="shared" si="97"/>
        <v>0</v>
      </c>
      <c r="DT126" s="259">
        <v>115</v>
      </c>
      <c r="DU126" s="260" t="s">
        <v>285</v>
      </c>
      <c r="DV126" s="259"/>
      <c r="DW126" s="260" t="s">
        <v>242</v>
      </c>
      <c r="DX126" s="259"/>
      <c r="DY126" s="259"/>
      <c r="DZ126" s="259"/>
      <c r="EA126" s="987"/>
      <c r="EB126" s="1041" t="s">
        <v>2468</v>
      </c>
      <c r="EC126" s="802">
        <v>0</v>
      </c>
      <c r="EE126" s="1047"/>
    </row>
    <row r="127" spans="4:135" s="534" customFormat="1" ht="63.75" hidden="1" x14ac:dyDescent="0.3">
      <c r="D127" s="783">
        <v>124</v>
      </c>
      <c r="E127" s="799">
        <v>157</v>
      </c>
      <c r="F127" s="787" t="s">
        <v>200</v>
      </c>
      <c r="G127" s="787" t="s">
        <v>9</v>
      </c>
      <c r="H127" s="788" t="s">
        <v>136</v>
      </c>
      <c r="I127" s="712" t="s">
        <v>369</v>
      </c>
      <c r="J127" s="573" t="s">
        <v>571</v>
      </c>
      <c r="K127" s="573" t="s">
        <v>572</v>
      </c>
      <c r="L127" s="702" t="s">
        <v>1593</v>
      </c>
      <c r="M127" s="570" t="s">
        <v>2032</v>
      </c>
      <c r="N127" s="570">
        <v>0</v>
      </c>
      <c r="O127" s="570">
        <f>+P127</f>
        <v>116</v>
      </c>
      <c r="P127" s="569">
        <v>116</v>
      </c>
      <c r="Q127" s="628">
        <v>0.16500000000000001</v>
      </c>
      <c r="R127" s="580">
        <f t="shared" si="61"/>
        <v>4.1250000000000002E-2</v>
      </c>
      <c r="S127" s="708">
        <v>116</v>
      </c>
      <c r="T127" s="625">
        <f t="shared" si="101"/>
        <v>0.25</v>
      </c>
      <c r="U127" s="992">
        <v>0</v>
      </c>
      <c r="V127" s="626">
        <f t="shared" si="102"/>
        <v>0</v>
      </c>
      <c r="W127" s="594">
        <f t="shared" si="103"/>
        <v>0</v>
      </c>
      <c r="X127" s="594">
        <f t="shared" si="65"/>
        <v>0</v>
      </c>
      <c r="Y127" s="594">
        <f t="shared" si="98"/>
        <v>0</v>
      </c>
      <c r="Z127" s="594">
        <f t="shared" si="66"/>
        <v>0</v>
      </c>
      <c r="AA127" s="546">
        <v>0</v>
      </c>
      <c r="AB127" s="546">
        <v>0</v>
      </c>
      <c r="AC127" s="546">
        <v>0</v>
      </c>
      <c r="AD127" s="546">
        <v>0</v>
      </c>
      <c r="AE127" s="546">
        <v>0</v>
      </c>
      <c r="AF127" s="546">
        <v>0</v>
      </c>
      <c r="AG127" s="546">
        <v>0</v>
      </c>
      <c r="AH127" s="546">
        <v>0</v>
      </c>
      <c r="AI127" s="546">
        <v>0</v>
      </c>
      <c r="AJ127" s="546">
        <v>0</v>
      </c>
      <c r="AK127" s="546">
        <v>0</v>
      </c>
      <c r="AL127" s="546">
        <v>0</v>
      </c>
      <c r="AM127" s="546">
        <v>0</v>
      </c>
      <c r="AN127" s="546">
        <v>0</v>
      </c>
      <c r="AO127" s="546">
        <v>0</v>
      </c>
      <c r="AP127" s="546">
        <v>0</v>
      </c>
      <c r="AQ127" s="546">
        <v>0</v>
      </c>
      <c r="AR127" s="546">
        <v>0</v>
      </c>
      <c r="AS127" s="546">
        <v>0</v>
      </c>
      <c r="AT127" s="570">
        <f t="shared" si="67"/>
        <v>4.1250000000000002E-2</v>
      </c>
      <c r="AU127" s="570">
        <v>116</v>
      </c>
      <c r="AV127" s="625">
        <f t="shared" si="104"/>
        <v>0.25</v>
      </c>
      <c r="AW127" s="1003">
        <v>116</v>
      </c>
      <c r="AX127" s="604">
        <f t="shared" si="105"/>
        <v>29</v>
      </c>
      <c r="AY127" s="604">
        <f t="shared" si="106"/>
        <v>100</v>
      </c>
      <c r="AZ127" s="604">
        <f t="shared" si="71"/>
        <v>100</v>
      </c>
      <c r="BA127" s="592">
        <f t="shared" si="72"/>
        <v>4.1250000000000002E-2</v>
      </c>
      <c r="BB127" s="592">
        <f t="shared" si="73"/>
        <v>100</v>
      </c>
      <c r="BC127" s="591">
        <v>50000000</v>
      </c>
      <c r="BD127" s="591">
        <v>0</v>
      </c>
      <c r="BE127" s="591">
        <v>50000000</v>
      </c>
      <c r="BF127" s="591">
        <v>0</v>
      </c>
      <c r="BG127" s="591">
        <v>0</v>
      </c>
      <c r="BH127" s="591">
        <v>0</v>
      </c>
      <c r="BI127" s="591">
        <v>0</v>
      </c>
      <c r="BJ127" s="591">
        <v>0</v>
      </c>
      <c r="BK127" s="700">
        <v>0</v>
      </c>
      <c r="BL127" s="589">
        <v>0</v>
      </c>
      <c r="BM127" s="589">
        <v>0</v>
      </c>
      <c r="BN127" s="589">
        <v>0</v>
      </c>
      <c r="BO127" s="589">
        <v>0</v>
      </c>
      <c r="BP127" s="589">
        <v>0</v>
      </c>
      <c r="BQ127" s="589">
        <v>0</v>
      </c>
      <c r="BR127" s="589">
        <v>0</v>
      </c>
      <c r="BS127" s="589">
        <v>0</v>
      </c>
      <c r="BT127" s="589">
        <v>0</v>
      </c>
      <c r="BU127" s="589">
        <v>0</v>
      </c>
      <c r="BV127" s="588">
        <f t="shared" si="74"/>
        <v>4.1250000000000002E-2</v>
      </c>
      <c r="BW127" s="588">
        <v>116</v>
      </c>
      <c r="BX127" s="623">
        <f t="shared" si="107"/>
        <v>0.25</v>
      </c>
      <c r="BY127" s="607">
        <v>116</v>
      </c>
      <c r="BZ127" s="629">
        <v>116</v>
      </c>
      <c r="CA127" s="1017">
        <v>116</v>
      </c>
      <c r="CB127" s="557">
        <f t="shared" si="108"/>
        <v>29</v>
      </c>
      <c r="CC127" s="557">
        <f t="shared" si="109"/>
        <v>100</v>
      </c>
      <c r="CD127" s="622">
        <f t="shared" si="78"/>
        <v>100</v>
      </c>
      <c r="CE127" s="621">
        <f t="shared" si="79"/>
        <v>4.1250000000000002E-2</v>
      </c>
      <c r="CF127" s="605">
        <f t="shared" si="80"/>
        <v>100</v>
      </c>
      <c r="CG127" s="621">
        <f t="shared" si="81"/>
        <v>4.1250000000000002E-2</v>
      </c>
      <c r="CH127" s="553">
        <f t="shared" si="82"/>
        <v>4.1250000000000002E-2</v>
      </c>
      <c r="CI127" s="552">
        <v>0</v>
      </c>
      <c r="CJ127" s="551">
        <f t="shared" si="110"/>
        <v>0.25</v>
      </c>
      <c r="CK127" s="871">
        <v>0</v>
      </c>
      <c r="CL127" s="533">
        <f t="shared" si="111"/>
        <v>0</v>
      </c>
      <c r="CM127" s="619">
        <f t="shared" si="112"/>
        <v>0</v>
      </c>
      <c r="CN127" s="619">
        <f t="shared" si="113"/>
        <v>0</v>
      </c>
      <c r="CO127" s="619">
        <f t="shared" si="87"/>
        <v>0</v>
      </c>
      <c r="CP127" s="619">
        <f t="shared" si="88"/>
        <v>0</v>
      </c>
      <c r="CQ127" s="619">
        <f t="shared" si="89"/>
        <v>0</v>
      </c>
      <c r="CR127" s="546">
        <v>0</v>
      </c>
      <c r="CS127" s="546">
        <v>0</v>
      </c>
      <c r="CT127" s="546">
        <v>0</v>
      </c>
      <c r="CU127" s="546">
        <v>0</v>
      </c>
      <c r="CV127" s="546">
        <v>0</v>
      </c>
      <c r="CW127" s="546">
        <v>0</v>
      </c>
      <c r="CX127" s="546">
        <v>0</v>
      </c>
      <c r="CY127" s="546">
        <v>0</v>
      </c>
      <c r="CZ127" s="618">
        <v>0</v>
      </c>
      <c r="DA127" s="618">
        <v>0</v>
      </c>
      <c r="DB127" s="618">
        <v>0</v>
      </c>
      <c r="DC127" s="618">
        <v>0</v>
      </c>
      <c r="DD127" s="618">
        <v>0</v>
      </c>
      <c r="DE127" s="618">
        <v>0</v>
      </c>
      <c r="DF127" s="618">
        <v>0</v>
      </c>
      <c r="DG127" s="618">
        <v>0</v>
      </c>
      <c r="DH127" s="618">
        <v>0</v>
      </c>
      <c r="DI127" s="618">
        <v>0</v>
      </c>
      <c r="DJ127" s="618">
        <v>0</v>
      </c>
      <c r="DK127" s="1034">
        <f t="shared" si="114"/>
        <v>58</v>
      </c>
      <c r="DL127" s="543">
        <f t="shared" si="91"/>
        <v>0.16500000000000001</v>
      </c>
      <c r="DM127" s="542">
        <f t="shared" si="92"/>
        <v>50</v>
      </c>
      <c r="DN127" s="594">
        <f t="shared" si="93"/>
        <v>50</v>
      </c>
      <c r="DO127" s="540">
        <f t="shared" si="94"/>
        <v>8.2500000000000004E-2</v>
      </c>
      <c r="DP127" s="597">
        <f>+IF(M127="M",DO127,0)</f>
        <v>8.2500000000000004E-2</v>
      </c>
      <c r="DQ127" s="538">
        <f t="shared" si="95"/>
        <v>8.2500000000000004E-2</v>
      </c>
      <c r="DR127" s="617">
        <f t="shared" si="96"/>
        <v>1</v>
      </c>
      <c r="DS127" s="616">
        <f t="shared" si="97"/>
        <v>0</v>
      </c>
      <c r="DT127" s="259">
        <v>115</v>
      </c>
      <c r="DU127" s="260" t="s">
        <v>285</v>
      </c>
      <c r="DV127" s="259"/>
      <c r="DW127" s="260" t="s">
        <v>242</v>
      </c>
      <c r="DX127" s="259"/>
      <c r="DY127" s="259"/>
      <c r="DZ127" s="259"/>
      <c r="EA127" s="987"/>
      <c r="EB127" s="1041" t="s">
        <v>2469</v>
      </c>
      <c r="EC127" s="802">
        <v>0</v>
      </c>
      <c r="EE127" s="1047"/>
    </row>
    <row r="128" spans="4:135" s="534" customFormat="1" ht="114.75" hidden="1" x14ac:dyDescent="0.3">
      <c r="D128" s="783">
        <v>125</v>
      </c>
      <c r="E128" s="799">
        <v>161</v>
      </c>
      <c r="F128" s="787" t="s">
        <v>200</v>
      </c>
      <c r="G128" s="787" t="s">
        <v>10</v>
      </c>
      <c r="H128" s="788" t="s">
        <v>131</v>
      </c>
      <c r="I128" s="712" t="s">
        <v>330</v>
      </c>
      <c r="J128" s="573" t="s">
        <v>573</v>
      </c>
      <c r="K128" s="573" t="s">
        <v>574</v>
      </c>
      <c r="L128" s="702" t="s">
        <v>1593</v>
      </c>
      <c r="M128" s="570" t="s">
        <v>2017</v>
      </c>
      <c r="N128" s="570">
        <v>0</v>
      </c>
      <c r="O128" s="570">
        <f>+N128+P128</f>
        <v>116</v>
      </c>
      <c r="P128" s="569">
        <v>116</v>
      </c>
      <c r="Q128" s="628">
        <v>0.25</v>
      </c>
      <c r="R128" s="580">
        <f t="shared" si="61"/>
        <v>3.6637931034482756E-2</v>
      </c>
      <c r="S128" s="708">
        <v>17</v>
      </c>
      <c r="T128" s="625">
        <f t="shared" si="101"/>
        <v>0.14655172413793102</v>
      </c>
      <c r="U128" s="992">
        <v>12</v>
      </c>
      <c r="V128" s="626">
        <f t="shared" si="102"/>
        <v>12</v>
      </c>
      <c r="W128" s="594">
        <f t="shared" si="103"/>
        <v>70.588235294117652</v>
      </c>
      <c r="X128" s="594">
        <f t="shared" si="65"/>
        <v>70.588235294117652</v>
      </c>
      <c r="Y128" s="594">
        <f t="shared" si="98"/>
        <v>2.5862068965517241E-2</v>
      </c>
      <c r="Z128" s="594">
        <f t="shared" si="66"/>
        <v>70.588235294117652</v>
      </c>
      <c r="AA128" s="546">
        <v>0</v>
      </c>
      <c r="AB128" s="546">
        <v>0</v>
      </c>
      <c r="AC128" s="546">
        <v>0</v>
      </c>
      <c r="AD128" s="546">
        <v>0</v>
      </c>
      <c r="AE128" s="546">
        <v>0</v>
      </c>
      <c r="AF128" s="546">
        <v>0</v>
      </c>
      <c r="AG128" s="546">
        <v>0</v>
      </c>
      <c r="AH128" s="546">
        <v>0</v>
      </c>
      <c r="AI128" s="546">
        <v>306600000</v>
      </c>
      <c r="AJ128" s="546">
        <v>306600000</v>
      </c>
      <c r="AK128" s="546">
        <v>0</v>
      </c>
      <c r="AL128" s="546">
        <v>0</v>
      </c>
      <c r="AM128" s="546">
        <v>0</v>
      </c>
      <c r="AN128" s="546">
        <v>0</v>
      </c>
      <c r="AO128" s="546">
        <v>0</v>
      </c>
      <c r="AP128" s="546">
        <v>0</v>
      </c>
      <c r="AQ128" s="546">
        <v>0</v>
      </c>
      <c r="AR128" s="546">
        <v>0</v>
      </c>
      <c r="AS128" s="546">
        <v>0</v>
      </c>
      <c r="AT128" s="570">
        <f t="shared" si="67"/>
        <v>3.6637931034482756E-2</v>
      </c>
      <c r="AU128" s="570">
        <v>17</v>
      </c>
      <c r="AV128" s="625">
        <f t="shared" si="104"/>
        <v>0.14655172413793102</v>
      </c>
      <c r="AW128" s="1003">
        <v>35</v>
      </c>
      <c r="AX128" s="604">
        <f t="shared" si="105"/>
        <v>35</v>
      </c>
      <c r="AY128" s="604">
        <f t="shared" si="106"/>
        <v>205.88235294117646</v>
      </c>
      <c r="AZ128" s="604">
        <f t="shared" si="71"/>
        <v>100</v>
      </c>
      <c r="BA128" s="592">
        <f t="shared" si="72"/>
        <v>3.6637931034482756E-2</v>
      </c>
      <c r="BB128" s="592">
        <f t="shared" si="73"/>
        <v>100</v>
      </c>
      <c r="BC128" s="591">
        <v>234000000</v>
      </c>
      <c r="BD128" s="591">
        <v>0</v>
      </c>
      <c r="BE128" s="591">
        <v>234000000</v>
      </c>
      <c r="BF128" s="591">
        <v>0</v>
      </c>
      <c r="BG128" s="591">
        <v>0</v>
      </c>
      <c r="BH128" s="591">
        <v>0</v>
      </c>
      <c r="BI128" s="591">
        <v>0</v>
      </c>
      <c r="BJ128" s="591">
        <v>0</v>
      </c>
      <c r="BK128" s="700">
        <v>247001666</v>
      </c>
      <c r="BL128" s="589">
        <v>207500000</v>
      </c>
      <c r="BM128" s="589">
        <v>39501666</v>
      </c>
      <c r="BN128" s="589">
        <v>0</v>
      </c>
      <c r="BO128" s="589">
        <v>0</v>
      </c>
      <c r="BP128" s="589">
        <v>0</v>
      </c>
      <c r="BQ128" s="589">
        <v>0</v>
      </c>
      <c r="BR128" s="589">
        <v>0</v>
      </c>
      <c r="BS128" s="589">
        <v>0</v>
      </c>
      <c r="BT128" s="589">
        <v>0</v>
      </c>
      <c r="BU128" s="589">
        <v>0</v>
      </c>
      <c r="BV128" s="588">
        <f t="shared" si="74"/>
        <v>8.8362068965517238E-2</v>
      </c>
      <c r="BW128" s="588">
        <v>41</v>
      </c>
      <c r="BX128" s="623">
        <f t="shared" si="107"/>
        <v>0.35344827586206895</v>
      </c>
      <c r="BY128" s="607">
        <v>18</v>
      </c>
      <c r="BZ128" s="629">
        <v>28</v>
      </c>
      <c r="CA128" s="1017">
        <v>41</v>
      </c>
      <c r="CB128" s="557">
        <f t="shared" si="108"/>
        <v>41</v>
      </c>
      <c r="CC128" s="557">
        <f t="shared" si="109"/>
        <v>100</v>
      </c>
      <c r="CD128" s="622">
        <f t="shared" si="78"/>
        <v>100</v>
      </c>
      <c r="CE128" s="621">
        <f t="shared" si="79"/>
        <v>8.8362068965517238E-2</v>
      </c>
      <c r="CF128" s="605">
        <f t="shared" si="80"/>
        <v>100</v>
      </c>
      <c r="CG128" s="621">
        <f t="shared" si="81"/>
        <v>8.8362068965517238E-2</v>
      </c>
      <c r="CH128" s="553">
        <f t="shared" si="82"/>
        <v>8.8362068965517238E-2</v>
      </c>
      <c r="CI128" s="552">
        <v>41</v>
      </c>
      <c r="CJ128" s="551">
        <f t="shared" si="110"/>
        <v>0.35344827586206895</v>
      </c>
      <c r="CK128" s="874">
        <v>20</v>
      </c>
      <c r="CL128" s="533">
        <f t="shared" si="111"/>
        <v>21</v>
      </c>
      <c r="CM128" s="619">
        <f t="shared" si="112"/>
        <v>20</v>
      </c>
      <c r="CN128" s="619">
        <f t="shared" si="113"/>
        <v>48.780487804878049</v>
      </c>
      <c r="CO128" s="549">
        <f t="shared" si="87"/>
        <v>48.780487804878049</v>
      </c>
      <c r="CP128" s="619">
        <f t="shared" si="88"/>
        <v>4.3103448275862065E-2</v>
      </c>
      <c r="CQ128" s="619">
        <f t="shared" si="89"/>
        <v>4.3103448275862065E-2</v>
      </c>
      <c r="CR128" s="546">
        <v>540000000</v>
      </c>
      <c r="CS128" s="546">
        <v>540000000</v>
      </c>
      <c r="CT128" s="546">
        <v>0</v>
      </c>
      <c r="CU128" s="546">
        <v>0</v>
      </c>
      <c r="CV128" s="546">
        <v>0</v>
      </c>
      <c r="CW128" s="546">
        <v>0</v>
      </c>
      <c r="CX128" s="546">
        <v>0</v>
      </c>
      <c r="CY128" s="546">
        <v>0</v>
      </c>
      <c r="CZ128" s="618">
        <v>0</v>
      </c>
      <c r="DA128" s="618">
        <v>0</v>
      </c>
      <c r="DB128" s="618">
        <v>0</v>
      </c>
      <c r="DC128" s="618">
        <v>0</v>
      </c>
      <c r="DD128" s="618">
        <v>0</v>
      </c>
      <c r="DE128" s="618">
        <v>0</v>
      </c>
      <c r="DF128" s="618">
        <v>0</v>
      </c>
      <c r="DG128" s="618">
        <v>0</v>
      </c>
      <c r="DH128" s="618">
        <v>0</v>
      </c>
      <c r="DI128" s="618">
        <v>0</v>
      </c>
      <c r="DJ128" s="618">
        <v>0</v>
      </c>
      <c r="DK128" s="1034">
        <f t="shared" si="114"/>
        <v>108</v>
      </c>
      <c r="DL128" s="543">
        <f t="shared" si="91"/>
        <v>0.25</v>
      </c>
      <c r="DM128" s="542">
        <f t="shared" si="92"/>
        <v>93.103448275862064</v>
      </c>
      <c r="DN128" s="594">
        <f t="shared" si="93"/>
        <v>93.103448275862064</v>
      </c>
      <c r="DO128" s="540">
        <f t="shared" si="94"/>
        <v>0.23275862068965517</v>
      </c>
      <c r="DP128" s="597">
        <f>+IF(((DN128*Q128)/100)&lt;Q128, ((DN128*Q128)/100),Q128)</f>
        <v>0.23275862068965517</v>
      </c>
      <c r="DQ128" s="538">
        <f t="shared" si="95"/>
        <v>0.23275862068965517</v>
      </c>
      <c r="DR128" s="617">
        <f t="shared" si="96"/>
        <v>1</v>
      </c>
      <c r="DS128" s="616">
        <f t="shared" si="97"/>
        <v>0</v>
      </c>
      <c r="DT128" s="259">
        <v>160</v>
      </c>
      <c r="DU128" s="260" t="s">
        <v>575</v>
      </c>
      <c r="DV128" s="259"/>
      <c r="DW128" s="260" t="s">
        <v>242</v>
      </c>
      <c r="DX128" s="259"/>
      <c r="DY128" s="259"/>
      <c r="DZ128" s="259"/>
      <c r="EA128" s="987"/>
      <c r="EB128" s="1041" t="s">
        <v>2470</v>
      </c>
      <c r="EC128" s="802">
        <v>540000000</v>
      </c>
      <c r="EE128" s="1047"/>
    </row>
    <row r="129" spans="4:135" s="534" customFormat="1" ht="89.25" hidden="1" x14ac:dyDescent="0.3">
      <c r="D129" s="783">
        <v>126</v>
      </c>
      <c r="E129" s="799">
        <v>162</v>
      </c>
      <c r="F129" s="787" t="s">
        <v>200</v>
      </c>
      <c r="G129" s="787" t="s">
        <v>10</v>
      </c>
      <c r="H129" s="788" t="s">
        <v>131</v>
      </c>
      <c r="I129" s="712" t="s">
        <v>330</v>
      </c>
      <c r="J129" s="573" t="s">
        <v>576</v>
      </c>
      <c r="K129" s="573" t="s">
        <v>577</v>
      </c>
      <c r="L129" s="702" t="s">
        <v>2079</v>
      </c>
      <c r="M129" s="570" t="s">
        <v>2017</v>
      </c>
      <c r="N129" s="570">
        <v>0</v>
      </c>
      <c r="O129" s="570">
        <f>+N129+P129</f>
        <v>100</v>
      </c>
      <c r="P129" s="569">
        <v>100</v>
      </c>
      <c r="Q129" s="628">
        <v>0.25</v>
      </c>
      <c r="R129" s="580">
        <f t="shared" si="61"/>
        <v>3.7499999999999999E-2</v>
      </c>
      <c r="S129" s="708">
        <v>15</v>
      </c>
      <c r="T129" s="625">
        <f t="shared" si="101"/>
        <v>0.15</v>
      </c>
      <c r="U129" s="992">
        <v>13</v>
      </c>
      <c r="V129" s="626">
        <f t="shared" si="102"/>
        <v>13</v>
      </c>
      <c r="W129" s="594">
        <f t="shared" si="103"/>
        <v>86.666666666666671</v>
      </c>
      <c r="X129" s="594">
        <f t="shared" si="65"/>
        <v>86.666666666666671</v>
      </c>
      <c r="Y129" s="594">
        <f t="shared" si="98"/>
        <v>3.2500000000000001E-2</v>
      </c>
      <c r="Z129" s="594">
        <f t="shared" si="66"/>
        <v>86.666666666666671</v>
      </c>
      <c r="AA129" s="546">
        <v>2008202000</v>
      </c>
      <c r="AB129" s="546">
        <v>1700202000</v>
      </c>
      <c r="AC129" s="546">
        <v>308000000</v>
      </c>
      <c r="AD129" s="546">
        <v>0</v>
      </c>
      <c r="AE129" s="546">
        <v>0</v>
      </c>
      <c r="AF129" s="546">
        <v>0</v>
      </c>
      <c r="AG129" s="546">
        <v>0</v>
      </c>
      <c r="AH129" s="546">
        <v>0</v>
      </c>
      <c r="AI129" s="546">
        <v>334371000</v>
      </c>
      <c r="AJ129" s="546">
        <v>334371000</v>
      </c>
      <c r="AK129" s="546">
        <v>0</v>
      </c>
      <c r="AL129" s="546">
        <v>0</v>
      </c>
      <c r="AM129" s="546">
        <v>0</v>
      </c>
      <c r="AN129" s="546">
        <v>0</v>
      </c>
      <c r="AO129" s="546">
        <v>0</v>
      </c>
      <c r="AP129" s="546">
        <v>0</v>
      </c>
      <c r="AQ129" s="546">
        <v>0</v>
      </c>
      <c r="AR129" s="546">
        <v>0</v>
      </c>
      <c r="AS129" s="546">
        <v>0</v>
      </c>
      <c r="AT129" s="570">
        <f t="shared" si="67"/>
        <v>3.7499999999999999E-2</v>
      </c>
      <c r="AU129" s="570">
        <v>15</v>
      </c>
      <c r="AV129" s="625">
        <f t="shared" si="104"/>
        <v>0.15</v>
      </c>
      <c r="AW129" s="1010">
        <v>17</v>
      </c>
      <c r="AX129" s="604">
        <f t="shared" si="105"/>
        <v>17</v>
      </c>
      <c r="AY129" s="604">
        <f t="shared" si="106"/>
        <v>113.33333333333333</v>
      </c>
      <c r="AZ129" s="604">
        <f t="shared" si="71"/>
        <v>100</v>
      </c>
      <c r="BA129" s="592">
        <f t="shared" si="72"/>
        <v>3.7499999999999999E-2</v>
      </c>
      <c r="BB129" s="592">
        <f t="shared" si="73"/>
        <v>100</v>
      </c>
      <c r="BC129" s="591">
        <v>283000000</v>
      </c>
      <c r="BD129" s="591">
        <v>0</v>
      </c>
      <c r="BE129" s="591">
        <v>283000000</v>
      </c>
      <c r="BF129" s="591">
        <v>0</v>
      </c>
      <c r="BG129" s="591">
        <v>0</v>
      </c>
      <c r="BH129" s="591">
        <v>0</v>
      </c>
      <c r="BI129" s="591">
        <v>0</v>
      </c>
      <c r="BJ129" s="591">
        <v>0</v>
      </c>
      <c r="BK129" s="700">
        <v>288611666</v>
      </c>
      <c r="BL129" s="589">
        <v>258611666</v>
      </c>
      <c r="BM129" s="589">
        <v>30000000</v>
      </c>
      <c r="BN129" s="589">
        <v>0</v>
      </c>
      <c r="BO129" s="589">
        <v>0</v>
      </c>
      <c r="BP129" s="589">
        <v>0</v>
      </c>
      <c r="BQ129" s="589">
        <v>0</v>
      </c>
      <c r="BR129" s="589">
        <v>0</v>
      </c>
      <c r="BS129" s="589">
        <v>0</v>
      </c>
      <c r="BT129" s="589">
        <v>0</v>
      </c>
      <c r="BU129" s="589">
        <v>0</v>
      </c>
      <c r="BV129" s="588">
        <f t="shared" si="74"/>
        <v>8.7499999999999994E-2</v>
      </c>
      <c r="BW129" s="588">
        <v>35</v>
      </c>
      <c r="BX129" s="623">
        <f t="shared" si="107"/>
        <v>0.35</v>
      </c>
      <c r="BY129" s="607">
        <v>19</v>
      </c>
      <c r="BZ129" s="629">
        <v>25</v>
      </c>
      <c r="CA129" s="1017">
        <v>35</v>
      </c>
      <c r="CB129" s="557">
        <f t="shared" si="108"/>
        <v>35</v>
      </c>
      <c r="CC129" s="557">
        <f t="shared" si="109"/>
        <v>100</v>
      </c>
      <c r="CD129" s="622">
        <f t="shared" si="78"/>
        <v>100</v>
      </c>
      <c r="CE129" s="621">
        <f t="shared" si="79"/>
        <v>8.7499999999999994E-2</v>
      </c>
      <c r="CF129" s="605">
        <f t="shared" si="80"/>
        <v>100</v>
      </c>
      <c r="CG129" s="621">
        <f t="shared" si="81"/>
        <v>8.7499999999999994E-2</v>
      </c>
      <c r="CH129" s="553">
        <f t="shared" si="82"/>
        <v>8.7499999999999994E-2</v>
      </c>
      <c r="CI129" s="552">
        <v>35</v>
      </c>
      <c r="CJ129" s="551">
        <f t="shared" si="110"/>
        <v>0.35</v>
      </c>
      <c r="CK129" s="874">
        <v>13.199999809265137</v>
      </c>
      <c r="CL129" s="533">
        <f t="shared" si="111"/>
        <v>21.800000190734863</v>
      </c>
      <c r="CM129" s="619">
        <f t="shared" si="112"/>
        <v>13.199999809265137</v>
      </c>
      <c r="CN129" s="619">
        <f t="shared" si="113"/>
        <v>37.71428516932896</v>
      </c>
      <c r="CO129" s="549">
        <f t="shared" si="87"/>
        <v>37.71428516932896</v>
      </c>
      <c r="CP129" s="619">
        <f t="shared" si="88"/>
        <v>3.2999999523162835E-2</v>
      </c>
      <c r="CQ129" s="619">
        <f t="shared" si="89"/>
        <v>3.2999999523162835E-2</v>
      </c>
      <c r="CR129" s="546">
        <v>652000000</v>
      </c>
      <c r="CS129" s="546">
        <v>652000000</v>
      </c>
      <c r="CT129" s="546">
        <v>0</v>
      </c>
      <c r="CU129" s="546">
        <v>0</v>
      </c>
      <c r="CV129" s="546">
        <v>0</v>
      </c>
      <c r="CW129" s="546">
        <v>0</v>
      </c>
      <c r="CX129" s="546">
        <v>0</v>
      </c>
      <c r="CY129" s="546">
        <v>0</v>
      </c>
      <c r="CZ129" s="618">
        <v>0</v>
      </c>
      <c r="DA129" s="618">
        <v>0</v>
      </c>
      <c r="DB129" s="618">
        <v>0</v>
      </c>
      <c r="DC129" s="618">
        <v>0</v>
      </c>
      <c r="DD129" s="618">
        <v>0</v>
      </c>
      <c r="DE129" s="618">
        <v>0</v>
      </c>
      <c r="DF129" s="618">
        <v>0</v>
      </c>
      <c r="DG129" s="618">
        <v>0</v>
      </c>
      <c r="DH129" s="618">
        <v>0</v>
      </c>
      <c r="DI129" s="618">
        <v>0</v>
      </c>
      <c r="DJ129" s="618">
        <v>0</v>
      </c>
      <c r="DK129" s="1034">
        <f t="shared" si="114"/>
        <v>78.199999809265137</v>
      </c>
      <c r="DL129" s="543">
        <f t="shared" si="91"/>
        <v>0.24999999999999997</v>
      </c>
      <c r="DM129" s="542">
        <f t="shared" si="92"/>
        <v>78.199999809265137</v>
      </c>
      <c r="DN129" s="594">
        <f t="shared" si="93"/>
        <v>78.199999809265137</v>
      </c>
      <c r="DO129" s="540">
        <f t="shared" si="94"/>
        <v>0.19549999952316285</v>
      </c>
      <c r="DP129" s="597">
        <f>+IF(((DN129*Q129)/100)&lt;Q129, ((DN129*Q129)/100),Q129)</f>
        <v>0.19549999952316285</v>
      </c>
      <c r="DQ129" s="538">
        <f t="shared" si="95"/>
        <v>0.19549999952316285</v>
      </c>
      <c r="DR129" s="617">
        <f t="shared" si="96"/>
        <v>0.99999999999999989</v>
      </c>
      <c r="DS129" s="616">
        <f t="shared" si="97"/>
        <v>0</v>
      </c>
      <c r="DT129" s="259">
        <v>160</v>
      </c>
      <c r="DU129" s="260" t="s">
        <v>575</v>
      </c>
      <c r="DV129" s="259"/>
      <c r="DW129" s="260" t="s">
        <v>242</v>
      </c>
      <c r="DX129" s="259"/>
      <c r="DY129" s="259"/>
      <c r="DZ129" s="259"/>
      <c r="EA129" s="987"/>
      <c r="EB129" s="1041" t="s">
        <v>2471</v>
      </c>
      <c r="EC129" s="802">
        <v>652000000</v>
      </c>
      <c r="EE129" s="1047"/>
    </row>
    <row r="130" spans="4:135" s="534" customFormat="1" ht="120" hidden="1" x14ac:dyDescent="0.3">
      <c r="D130" s="783">
        <v>127</v>
      </c>
      <c r="E130" s="799">
        <v>163</v>
      </c>
      <c r="F130" s="787" t="s">
        <v>200</v>
      </c>
      <c r="G130" s="787" t="s">
        <v>8</v>
      </c>
      <c r="H130" s="788" t="s">
        <v>131</v>
      </c>
      <c r="I130" s="712" t="s">
        <v>346</v>
      </c>
      <c r="J130" s="573" t="s">
        <v>578</v>
      </c>
      <c r="K130" s="573" t="s">
        <v>579</v>
      </c>
      <c r="L130" s="702" t="s">
        <v>2244</v>
      </c>
      <c r="M130" s="570" t="s">
        <v>2017</v>
      </c>
      <c r="N130" s="570">
        <v>2959</v>
      </c>
      <c r="O130" s="570">
        <f>+N130+P130</f>
        <v>9165</v>
      </c>
      <c r="P130" s="569">
        <v>6206</v>
      </c>
      <c r="Q130" s="628">
        <v>0.25</v>
      </c>
      <c r="R130" s="580">
        <f t="shared" si="61"/>
        <v>3.8229133097002897E-2</v>
      </c>
      <c r="S130" s="708">
        <v>949</v>
      </c>
      <c r="T130" s="625">
        <f t="shared" si="101"/>
        <v>0.15291653238801159</v>
      </c>
      <c r="U130" s="992">
        <v>949</v>
      </c>
      <c r="V130" s="626">
        <f t="shared" si="102"/>
        <v>949</v>
      </c>
      <c r="W130" s="594">
        <f t="shared" si="103"/>
        <v>100</v>
      </c>
      <c r="X130" s="594">
        <f t="shared" si="65"/>
        <v>100</v>
      </c>
      <c r="Y130" s="594">
        <f t="shared" si="98"/>
        <v>3.8229133097002897E-2</v>
      </c>
      <c r="Z130" s="594">
        <f t="shared" si="66"/>
        <v>100</v>
      </c>
      <c r="AA130" s="546">
        <v>236000000</v>
      </c>
      <c r="AB130" s="546">
        <v>236000000</v>
      </c>
      <c r="AC130" s="546">
        <v>0</v>
      </c>
      <c r="AD130" s="546">
        <v>0</v>
      </c>
      <c r="AE130" s="546">
        <v>0</v>
      </c>
      <c r="AF130" s="546">
        <v>0</v>
      </c>
      <c r="AG130" s="546">
        <v>0</v>
      </c>
      <c r="AH130" s="546">
        <v>0</v>
      </c>
      <c r="AI130" s="546">
        <v>205000000</v>
      </c>
      <c r="AJ130" s="546">
        <v>205000000</v>
      </c>
      <c r="AK130" s="546">
        <v>0</v>
      </c>
      <c r="AL130" s="546">
        <v>0</v>
      </c>
      <c r="AM130" s="546">
        <v>0</v>
      </c>
      <c r="AN130" s="546">
        <v>0</v>
      </c>
      <c r="AO130" s="546">
        <v>0</v>
      </c>
      <c r="AP130" s="546">
        <v>0</v>
      </c>
      <c r="AQ130" s="546">
        <v>0</v>
      </c>
      <c r="AR130" s="546">
        <v>0</v>
      </c>
      <c r="AS130" s="546">
        <v>0</v>
      </c>
      <c r="AT130" s="570">
        <f t="shared" si="67"/>
        <v>4.5923300032226874E-2</v>
      </c>
      <c r="AU130" s="570">
        <v>1140</v>
      </c>
      <c r="AV130" s="625">
        <f t="shared" si="104"/>
        <v>0.1836932001289075</v>
      </c>
      <c r="AW130" s="1003">
        <v>1140</v>
      </c>
      <c r="AX130" s="604">
        <f t="shared" si="105"/>
        <v>1140</v>
      </c>
      <c r="AY130" s="604">
        <f t="shared" si="106"/>
        <v>100</v>
      </c>
      <c r="AZ130" s="604">
        <f t="shared" si="71"/>
        <v>100</v>
      </c>
      <c r="BA130" s="592">
        <f t="shared" si="72"/>
        <v>4.5923300032226874E-2</v>
      </c>
      <c r="BB130" s="592">
        <f t="shared" si="73"/>
        <v>100</v>
      </c>
      <c r="BC130" s="591">
        <v>169000000</v>
      </c>
      <c r="BD130" s="591">
        <v>0</v>
      </c>
      <c r="BE130" s="591">
        <v>169000000</v>
      </c>
      <c r="BF130" s="591">
        <v>0</v>
      </c>
      <c r="BG130" s="591">
        <v>0</v>
      </c>
      <c r="BH130" s="591">
        <v>0</v>
      </c>
      <c r="BI130" s="591">
        <v>0</v>
      </c>
      <c r="BJ130" s="591">
        <v>0</v>
      </c>
      <c r="BK130" s="700">
        <v>169000000</v>
      </c>
      <c r="BL130" s="589">
        <v>169000000</v>
      </c>
      <c r="BM130" s="589">
        <v>0</v>
      </c>
      <c r="BN130" s="589">
        <v>0</v>
      </c>
      <c r="BO130" s="589">
        <v>0</v>
      </c>
      <c r="BP130" s="589">
        <v>0</v>
      </c>
      <c r="BQ130" s="589">
        <v>0</v>
      </c>
      <c r="BR130" s="589">
        <v>0</v>
      </c>
      <c r="BS130" s="589">
        <v>0</v>
      </c>
      <c r="BT130" s="589">
        <v>0</v>
      </c>
      <c r="BU130" s="589">
        <v>0</v>
      </c>
      <c r="BV130" s="588">
        <f t="shared" si="74"/>
        <v>6.5823396712858528E-2</v>
      </c>
      <c r="BW130" s="588">
        <v>1634</v>
      </c>
      <c r="BX130" s="623">
        <f t="shared" si="107"/>
        <v>0.26329358685143411</v>
      </c>
      <c r="BY130" s="607">
        <v>0</v>
      </c>
      <c r="BZ130" s="629">
        <v>0</v>
      </c>
      <c r="CA130" s="1017">
        <v>1285</v>
      </c>
      <c r="CB130" s="557">
        <f t="shared" si="108"/>
        <v>1285</v>
      </c>
      <c r="CC130" s="557">
        <f t="shared" si="109"/>
        <v>78.641370869033054</v>
      </c>
      <c r="CD130" s="622">
        <f t="shared" si="78"/>
        <v>78.641370869033054</v>
      </c>
      <c r="CE130" s="621">
        <f t="shared" si="79"/>
        <v>5.1764421527553985E-2</v>
      </c>
      <c r="CF130" s="605">
        <f t="shared" si="80"/>
        <v>78.641370869033054</v>
      </c>
      <c r="CG130" s="621">
        <f t="shared" si="81"/>
        <v>5.1764421527553985E-2</v>
      </c>
      <c r="CH130" s="553">
        <f t="shared" si="82"/>
        <v>0.10002417015791169</v>
      </c>
      <c r="CI130" s="552">
        <v>2483</v>
      </c>
      <c r="CJ130" s="551">
        <f t="shared" si="110"/>
        <v>0.40009668063164677</v>
      </c>
      <c r="CK130" s="874">
        <v>0</v>
      </c>
      <c r="CL130" s="533">
        <f t="shared" si="111"/>
        <v>2483</v>
      </c>
      <c r="CM130" s="619">
        <f t="shared" si="112"/>
        <v>0</v>
      </c>
      <c r="CN130" s="619">
        <f t="shared" si="113"/>
        <v>0</v>
      </c>
      <c r="CO130" s="549">
        <f t="shared" si="87"/>
        <v>0</v>
      </c>
      <c r="CP130" s="619">
        <f t="shared" si="88"/>
        <v>0</v>
      </c>
      <c r="CQ130" s="619">
        <f t="shared" si="89"/>
        <v>0</v>
      </c>
      <c r="CR130" s="546">
        <v>390000000</v>
      </c>
      <c r="CS130" s="546">
        <v>390000000</v>
      </c>
      <c r="CT130" s="546">
        <v>0</v>
      </c>
      <c r="CU130" s="546">
        <v>0</v>
      </c>
      <c r="CV130" s="546">
        <v>0</v>
      </c>
      <c r="CW130" s="546">
        <v>0</v>
      </c>
      <c r="CX130" s="546">
        <v>0</v>
      </c>
      <c r="CY130" s="546">
        <v>0</v>
      </c>
      <c r="CZ130" s="618">
        <v>0</v>
      </c>
      <c r="DA130" s="618">
        <v>0</v>
      </c>
      <c r="DB130" s="618">
        <v>0</v>
      </c>
      <c r="DC130" s="618">
        <v>0</v>
      </c>
      <c r="DD130" s="618">
        <v>0</v>
      </c>
      <c r="DE130" s="618">
        <v>0</v>
      </c>
      <c r="DF130" s="618">
        <v>0</v>
      </c>
      <c r="DG130" s="618">
        <v>0</v>
      </c>
      <c r="DH130" s="618">
        <v>0</v>
      </c>
      <c r="DI130" s="618">
        <v>0</v>
      </c>
      <c r="DJ130" s="618">
        <v>0</v>
      </c>
      <c r="DK130" s="1034">
        <f t="shared" si="114"/>
        <v>3374</v>
      </c>
      <c r="DL130" s="543">
        <f t="shared" si="91"/>
        <v>0.25</v>
      </c>
      <c r="DM130" s="542">
        <f t="shared" si="92"/>
        <v>54.366741862713504</v>
      </c>
      <c r="DN130" s="594">
        <f t="shared" si="93"/>
        <v>54.366741862713504</v>
      </c>
      <c r="DO130" s="540">
        <f t="shared" si="94"/>
        <v>0.13591685465678377</v>
      </c>
      <c r="DP130" s="597">
        <f>+IF(((DN130*Q130)/100)&lt;Q130, ((DN130*Q130)/100),Q130)</f>
        <v>0.13591685465678377</v>
      </c>
      <c r="DQ130" s="538">
        <f t="shared" si="95"/>
        <v>0.13591685465678377</v>
      </c>
      <c r="DR130" s="617">
        <f t="shared" si="96"/>
        <v>1</v>
      </c>
      <c r="DS130" s="616">
        <f t="shared" si="97"/>
        <v>0</v>
      </c>
      <c r="DT130" s="259">
        <v>36</v>
      </c>
      <c r="DU130" s="260" t="s">
        <v>294</v>
      </c>
      <c r="DV130" s="259">
        <v>78</v>
      </c>
      <c r="DW130" s="260" t="s">
        <v>287</v>
      </c>
      <c r="DX130" s="259"/>
      <c r="DY130" s="259"/>
      <c r="DZ130" s="259"/>
      <c r="EA130" s="987"/>
      <c r="EB130" s="1041" t="s">
        <v>2472</v>
      </c>
      <c r="EC130" s="802">
        <v>390000000</v>
      </c>
      <c r="EE130" s="1047"/>
    </row>
    <row r="131" spans="4:135" s="534" customFormat="1" ht="51" hidden="1" x14ac:dyDescent="0.3">
      <c r="D131" s="783">
        <v>128</v>
      </c>
      <c r="E131" s="799">
        <v>164</v>
      </c>
      <c r="F131" s="787" t="s">
        <v>200</v>
      </c>
      <c r="G131" s="787" t="s">
        <v>7</v>
      </c>
      <c r="H131" s="788" t="s">
        <v>131</v>
      </c>
      <c r="I131" s="712" t="s">
        <v>346</v>
      </c>
      <c r="J131" s="573" t="s">
        <v>580</v>
      </c>
      <c r="K131" s="573" t="s">
        <v>581</v>
      </c>
      <c r="L131" s="702" t="s">
        <v>2242</v>
      </c>
      <c r="M131" s="570" t="s">
        <v>2017</v>
      </c>
      <c r="N131" s="570">
        <v>0</v>
      </c>
      <c r="O131" s="570">
        <f>+N131+P131</f>
        <v>160</v>
      </c>
      <c r="P131" s="569">
        <v>160</v>
      </c>
      <c r="Q131" s="628">
        <v>0.16500000000000001</v>
      </c>
      <c r="R131" s="580">
        <f t="shared" si="61"/>
        <v>1.03125E-2</v>
      </c>
      <c r="S131" s="708">
        <v>10</v>
      </c>
      <c r="T131" s="625">
        <f t="shared" si="101"/>
        <v>6.25E-2</v>
      </c>
      <c r="U131" s="992">
        <v>0</v>
      </c>
      <c r="V131" s="626">
        <f t="shared" si="102"/>
        <v>0</v>
      </c>
      <c r="W131" s="594">
        <f t="shared" si="103"/>
        <v>0</v>
      </c>
      <c r="X131" s="594">
        <f t="shared" si="65"/>
        <v>0</v>
      </c>
      <c r="Y131" s="594">
        <f t="shared" si="98"/>
        <v>0</v>
      </c>
      <c r="Z131" s="594">
        <f t="shared" si="66"/>
        <v>0</v>
      </c>
      <c r="AA131" s="546">
        <v>152000000</v>
      </c>
      <c r="AB131" s="546">
        <v>52000000</v>
      </c>
      <c r="AC131" s="546">
        <v>0</v>
      </c>
      <c r="AD131" s="546">
        <v>0</v>
      </c>
      <c r="AE131" s="546">
        <v>0</v>
      </c>
      <c r="AF131" s="546">
        <v>0</v>
      </c>
      <c r="AG131" s="546">
        <v>0</v>
      </c>
      <c r="AH131" s="546">
        <v>100000000</v>
      </c>
      <c r="AI131" s="546">
        <v>0</v>
      </c>
      <c r="AJ131" s="546">
        <v>0</v>
      </c>
      <c r="AK131" s="546">
        <v>0</v>
      </c>
      <c r="AL131" s="546">
        <v>0</v>
      </c>
      <c r="AM131" s="546">
        <v>0</v>
      </c>
      <c r="AN131" s="546">
        <v>0</v>
      </c>
      <c r="AO131" s="546">
        <v>0</v>
      </c>
      <c r="AP131" s="546">
        <v>0</v>
      </c>
      <c r="AQ131" s="546">
        <v>0</v>
      </c>
      <c r="AR131" s="546">
        <v>0</v>
      </c>
      <c r="AS131" s="546">
        <v>0</v>
      </c>
      <c r="AT131" s="580">
        <f t="shared" si="67"/>
        <v>5.1562500000000004E-2</v>
      </c>
      <c r="AU131" s="570">
        <v>50</v>
      </c>
      <c r="AV131" s="625">
        <f t="shared" si="104"/>
        <v>0.3125</v>
      </c>
      <c r="AW131" s="1003">
        <v>70</v>
      </c>
      <c r="AX131" s="604">
        <f t="shared" si="105"/>
        <v>70</v>
      </c>
      <c r="AY131" s="604">
        <f t="shared" si="106"/>
        <v>140</v>
      </c>
      <c r="AZ131" s="604">
        <f t="shared" si="71"/>
        <v>100</v>
      </c>
      <c r="BA131" s="592">
        <f t="shared" si="72"/>
        <v>5.1562499999999997E-2</v>
      </c>
      <c r="BB131" s="592">
        <f t="shared" si="73"/>
        <v>100</v>
      </c>
      <c r="BC131" s="591">
        <v>13000000</v>
      </c>
      <c r="BD131" s="591">
        <v>0</v>
      </c>
      <c r="BE131" s="591">
        <v>13000000</v>
      </c>
      <c r="BF131" s="591">
        <v>0</v>
      </c>
      <c r="BG131" s="591">
        <v>0</v>
      </c>
      <c r="BH131" s="591">
        <v>0</v>
      </c>
      <c r="BI131" s="591">
        <v>0</v>
      </c>
      <c r="BJ131" s="591">
        <v>0</v>
      </c>
      <c r="BK131" s="700">
        <v>13000000</v>
      </c>
      <c r="BL131" s="589">
        <v>13000000</v>
      </c>
      <c r="BM131" s="589">
        <v>0</v>
      </c>
      <c r="BN131" s="589">
        <v>0</v>
      </c>
      <c r="BO131" s="589">
        <v>0</v>
      </c>
      <c r="BP131" s="589">
        <v>0</v>
      </c>
      <c r="BQ131" s="589">
        <v>0</v>
      </c>
      <c r="BR131" s="589">
        <v>0</v>
      </c>
      <c r="BS131" s="589">
        <v>0</v>
      </c>
      <c r="BT131" s="589">
        <v>0</v>
      </c>
      <c r="BU131" s="589">
        <v>0</v>
      </c>
      <c r="BV131" s="588">
        <f t="shared" si="74"/>
        <v>5.1562500000000004E-2</v>
      </c>
      <c r="BW131" s="588">
        <v>50</v>
      </c>
      <c r="BX131" s="623">
        <f t="shared" si="107"/>
        <v>0.3125</v>
      </c>
      <c r="BY131" s="639">
        <v>0</v>
      </c>
      <c r="BZ131" s="638">
        <v>0</v>
      </c>
      <c r="CA131" s="1018">
        <v>0</v>
      </c>
      <c r="CB131" s="557">
        <f t="shared" si="108"/>
        <v>0</v>
      </c>
      <c r="CC131" s="557">
        <f t="shared" si="109"/>
        <v>0</v>
      </c>
      <c r="CD131" s="622">
        <f t="shared" si="78"/>
        <v>0</v>
      </c>
      <c r="CE131" s="621">
        <f t="shared" si="79"/>
        <v>0</v>
      </c>
      <c r="CF131" s="605">
        <f t="shared" si="80"/>
        <v>0</v>
      </c>
      <c r="CG131" s="621">
        <f t="shared" si="81"/>
        <v>0</v>
      </c>
      <c r="CH131" s="553">
        <f t="shared" si="82"/>
        <v>5.1562500000000004E-2</v>
      </c>
      <c r="CI131" s="552">
        <v>50</v>
      </c>
      <c r="CJ131" s="551">
        <f t="shared" si="110"/>
        <v>0.3125</v>
      </c>
      <c r="CK131" s="874">
        <v>0</v>
      </c>
      <c r="CL131" s="533">
        <f t="shared" si="111"/>
        <v>50</v>
      </c>
      <c r="CM131" s="619">
        <f t="shared" si="112"/>
        <v>0</v>
      </c>
      <c r="CN131" s="619">
        <f t="shared" si="113"/>
        <v>0</v>
      </c>
      <c r="CO131" s="549">
        <f t="shared" si="87"/>
        <v>0</v>
      </c>
      <c r="CP131" s="619">
        <f t="shared" si="88"/>
        <v>0</v>
      </c>
      <c r="CQ131" s="619">
        <f t="shared" si="89"/>
        <v>0</v>
      </c>
      <c r="CR131" s="546">
        <v>30000000</v>
      </c>
      <c r="CS131" s="546">
        <v>30000000</v>
      </c>
      <c r="CT131" s="546">
        <v>0</v>
      </c>
      <c r="CU131" s="546">
        <v>0</v>
      </c>
      <c r="CV131" s="546">
        <v>0</v>
      </c>
      <c r="CW131" s="546">
        <v>0</v>
      </c>
      <c r="CX131" s="546">
        <v>0</v>
      </c>
      <c r="CY131" s="546">
        <v>0</v>
      </c>
      <c r="CZ131" s="618">
        <v>0</v>
      </c>
      <c r="DA131" s="618">
        <v>0</v>
      </c>
      <c r="DB131" s="618">
        <v>0</v>
      </c>
      <c r="DC131" s="618">
        <v>0</v>
      </c>
      <c r="DD131" s="618">
        <v>0</v>
      </c>
      <c r="DE131" s="618">
        <v>0</v>
      </c>
      <c r="DF131" s="618">
        <v>0</v>
      </c>
      <c r="DG131" s="618">
        <v>0</v>
      </c>
      <c r="DH131" s="618">
        <v>0</v>
      </c>
      <c r="DI131" s="618">
        <v>0</v>
      </c>
      <c r="DJ131" s="618">
        <v>0</v>
      </c>
      <c r="DK131" s="1034">
        <f t="shared" si="114"/>
        <v>70</v>
      </c>
      <c r="DL131" s="543">
        <f t="shared" si="91"/>
        <v>0.16500000000000001</v>
      </c>
      <c r="DM131" s="542">
        <f t="shared" si="92"/>
        <v>43.75</v>
      </c>
      <c r="DN131" s="594">
        <f t="shared" si="93"/>
        <v>43.75</v>
      </c>
      <c r="DO131" s="540">
        <f t="shared" si="94"/>
        <v>7.2187500000000002E-2</v>
      </c>
      <c r="DP131" s="597">
        <f>+IF(((DN131*Q131)/100)&lt;Q131, ((DN131*Q131)/100),Q131)</f>
        <v>7.2187500000000002E-2</v>
      </c>
      <c r="DQ131" s="538">
        <f t="shared" si="95"/>
        <v>7.2187500000000002E-2</v>
      </c>
      <c r="DR131" s="617">
        <f t="shared" si="96"/>
        <v>1</v>
      </c>
      <c r="DS131" s="616">
        <f t="shared" si="97"/>
        <v>0</v>
      </c>
      <c r="DT131" s="259">
        <v>160</v>
      </c>
      <c r="DU131" s="260" t="s">
        <v>575</v>
      </c>
      <c r="DV131" s="259"/>
      <c r="DW131" s="260" t="s">
        <v>242</v>
      </c>
      <c r="DX131" s="259"/>
      <c r="DY131" s="259"/>
      <c r="DZ131" s="259"/>
      <c r="EA131" s="987"/>
      <c r="EB131" s="1041" t="s">
        <v>2473</v>
      </c>
      <c r="EC131" s="802">
        <v>30000000</v>
      </c>
      <c r="EE131" s="1047"/>
    </row>
    <row r="132" spans="4:135" s="534" customFormat="1" ht="51" hidden="1" x14ac:dyDescent="0.3">
      <c r="D132" s="783">
        <v>129</v>
      </c>
      <c r="E132" s="799">
        <v>165</v>
      </c>
      <c r="F132" s="787" t="s">
        <v>200</v>
      </c>
      <c r="G132" s="787" t="s">
        <v>3</v>
      </c>
      <c r="H132" s="788" t="s">
        <v>131</v>
      </c>
      <c r="I132" s="712" t="s">
        <v>346</v>
      </c>
      <c r="J132" s="573" t="s">
        <v>582</v>
      </c>
      <c r="K132" s="573" t="s">
        <v>583</v>
      </c>
      <c r="L132" s="702" t="s">
        <v>1682</v>
      </c>
      <c r="M132" s="570" t="s">
        <v>2032</v>
      </c>
      <c r="N132" s="570">
        <v>0</v>
      </c>
      <c r="O132" s="570">
        <f>+P132</f>
        <v>25000</v>
      </c>
      <c r="P132" s="569">
        <v>25000</v>
      </c>
      <c r="Q132" s="628">
        <v>0.16500000000000001</v>
      </c>
      <c r="R132" s="580">
        <f t="shared" si="61"/>
        <v>4.1250000000000002E-2</v>
      </c>
      <c r="S132" s="708">
        <v>25000</v>
      </c>
      <c r="T132" s="625">
        <f t="shared" si="101"/>
        <v>0.25</v>
      </c>
      <c r="U132" s="992">
        <v>27500</v>
      </c>
      <c r="V132" s="626">
        <f t="shared" si="102"/>
        <v>6875</v>
      </c>
      <c r="W132" s="594">
        <f t="shared" si="103"/>
        <v>110</v>
      </c>
      <c r="X132" s="594">
        <f t="shared" si="65"/>
        <v>100</v>
      </c>
      <c r="Y132" s="594">
        <f t="shared" si="98"/>
        <v>4.1250000000000002E-2</v>
      </c>
      <c r="Z132" s="594">
        <f t="shared" si="66"/>
        <v>100</v>
      </c>
      <c r="AA132" s="546">
        <v>421000000</v>
      </c>
      <c r="AB132" s="546">
        <v>421000000</v>
      </c>
      <c r="AC132" s="546">
        <v>0</v>
      </c>
      <c r="AD132" s="546">
        <v>0</v>
      </c>
      <c r="AE132" s="546">
        <v>0</v>
      </c>
      <c r="AF132" s="546">
        <v>0</v>
      </c>
      <c r="AG132" s="546">
        <v>0</v>
      </c>
      <c r="AH132" s="546">
        <v>0</v>
      </c>
      <c r="AI132" s="546">
        <v>421000000</v>
      </c>
      <c r="AJ132" s="546">
        <v>421000000</v>
      </c>
      <c r="AK132" s="546">
        <v>0</v>
      </c>
      <c r="AL132" s="546">
        <v>0</v>
      </c>
      <c r="AM132" s="546">
        <v>0</v>
      </c>
      <c r="AN132" s="546">
        <v>0</v>
      </c>
      <c r="AO132" s="546">
        <v>0</v>
      </c>
      <c r="AP132" s="546">
        <v>0</v>
      </c>
      <c r="AQ132" s="546">
        <v>0</v>
      </c>
      <c r="AR132" s="546">
        <v>0</v>
      </c>
      <c r="AS132" s="546">
        <v>0</v>
      </c>
      <c r="AT132" s="580">
        <f t="shared" si="67"/>
        <v>4.1250000000000002E-2</v>
      </c>
      <c r="AU132" s="570">
        <v>25000</v>
      </c>
      <c r="AV132" s="625">
        <f t="shared" si="104"/>
        <v>0.25</v>
      </c>
      <c r="AW132" s="1003">
        <v>32829</v>
      </c>
      <c r="AX132" s="604">
        <f t="shared" si="105"/>
        <v>8207.25</v>
      </c>
      <c r="AY132" s="604">
        <f t="shared" si="106"/>
        <v>131.316</v>
      </c>
      <c r="AZ132" s="604">
        <f t="shared" si="71"/>
        <v>100</v>
      </c>
      <c r="BA132" s="592">
        <f t="shared" si="72"/>
        <v>4.1250000000000002E-2</v>
      </c>
      <c r="BB132" s="592">
        <f t="shared" si="73"/>
        <v>100</v>
      </c>
      <c r="BC132" s="591">
        <v>125000000</v>
      </c>
      <c r="BD132" s="591">
        <v>0</v>
      </c>
      <c r="BE132" s="591">
        <v>125000000</v>
      </c>
      <c r="BF132" s="591">
        <v>0</v>
      </c>
      <c r="BG132" s="591">
        <v>0</v>
      </c>
      <c r="BH132" s="591">
        <v>0</v>
      </c>
      <c r="BI132" s="591">
        <v>0</v>
      </c>
      <c r="BJ132" s="591">
        <v>0</v>
      </c>
      <c r="BK132" s="700">
        <v>846536950</v>
      </c>
      <c r="BL132" s="589">
        <v>846536950</v>
      </c>
      <c r="BM132" s="589">
        <v>0</v>
      </c>
      <c r="BN132" s="589">
        <v>0</v>
      </c>
      <c r="BO132" s="589">
        <v>0</v>
      </c>
      <c r="BP132" s="589">
        <v>0</v>
      </c>
      <c r="BQ132" s="589">
        <v>0</v>
      </c>
      <c r="BR132" s="589">
        <v>0</v>
      </c>
      <c r="BS132" s="589">
        <v>0</v>
      </c>
      <c r="BT132" s="589">
        <v>0</v>
      </c>
      <c r="BU132" s="589">
        <v>0</v>
      </c>
      <c r="BV132" s="588">
        <f t="shared" si="74"/>
        <v>4.1250000000000002E-2</v>
      </c>
      <c r="BW132" s="588">
        <v>25000</v>
      </c>
      <c r="BX132" s="623">
        <f t="shared" si="107"/>
        <v>0.25</v>
      </c>
      <c r="BY132" s="607">
        <v>17504</v>
      </c>
      <c r="BZ132" s="629">
        <v>17504</v>
      </c>
      <c r="CA132" s="1017">
        <v>28347</v>
      </c>
      <c r="CB132" s="557">
        <f t="shared" si="108"/>
        <v>7086.75</v>
      </c>
      <c r="CC132" s="557">
        <f t="shared" si="109"/>
        <v>113.38800000000001</v>
      </c>
      <c r="CD132" s="622">
        <f t="shared" si="78"/>
        <v>100</v>
      </c>
      <c r="CE132" s="621">
        <f t="shared" si="79"/>
        <v>4.1250000000000002E-2</v>
      </c>
      <c r="CF132" s="605">
        <f t="shared" si="80"/>
        <v>100</v>
      </c>
      <c r="CG132" s="621">
        <f t="shared" si="81"/>
        <v>4.6772550000000003E-2</v>
      </c>
      <c r="CH132" s="553">
        <f t="shared" si="82"/>
        <v>4.1250000000000002E-2</v>
      </c>
      <c r="CI132" s="552">
        <v>25000</v>
      </c>
      <c r="CJ132" s="551">
        <f t="shared" si="110"/>
        <v>0.25</v>
      </c>
      <c r="CK132" s="874">
        <v>0</v>
      </c>
      <c r="CL132" s="533">
        <f t="shared" si="111"/>
        <v>25000</v>
      </c>
      <c r="CM132" s="619">
        <f t="shared" si="112"/>
        <v>0</v>
      </c>
      <c r="CN132" s="619">
        <f t="shared" si="113"/>
        <v>0</v>
      </c>
      <c r="CO132" s="619">
        <f t="shared" si="87"/>
        <v>0</v>
      </c>
      <c r="CP132" s="619">
        <f t="shared" si="88"/>
        <v>0</v>
      </c>
      <c r="CQ132" s="619">
        <f t="shared" si="89"/>
        <v>0</v>
      </c>
      <c r="CR132" s="546">
        <v>125000000</v>
      </c>
      <c r="CS132" s="546">
        <v>125000000</v>
      </c>
      <c r="CT132" s="546">
        <v>0</v>
      </c>
      <c r="CU132" s="546">
        <v>0</v>
      </c>
      <c r="CV132" s="546">
        <v>0</v>
      </c>
      <c r="CW132" s="546">
        <v>0</v>
      </c>
      <c r="CX132" s="546">
        <v>0</v>
      </c>
      <c r="CY132" s="546">
        <v>0</v>
      </c>
      <c r="CZ132" s="618">
        <v>0</v>
      </c>
      <c r="DA132" s="618">
        <v>0</v>
      </c>
      <c r="DB132" s="618">
        <v>0</v>
      </c>
      <c r="DC132" s="618">
        <v>0</v>
      </c>
      <c r="DD132" s="618">
        <v>0</v>
      </c>
      <c r="DE132" s="618">
        <v>0</v>
      </c>
      <c r="DF132" s="618">
        <v>0</v>
      </c>
      <c r="DG132" s="618">
        <v>0</v>
      </c>
      <c r="DH132" s="618">
        <v>0</v>
      </c>
      <c r="DI132" s="618">
        <v>0</v>
      </c>
      <c r="DJ132" s="618">
        <v>0</v>
      </c>
      <c r="DK132" s="1034">
        <f t="shared" si="114"/>
        <v>22169</v>
      </c>
      <c r="DL132" s="543">
        <f t="shared" si="91"/>
        <v>0.16500000000000001</v>
      </c>
      <c r="DM132" s="542">
        <f t="shared" si="92"/>
        <v>88.676000000000002</v>
      </c>
      <c r="DN132" s="594">
        <f t="shared" si="93"/>
        <v>88.676000000000002</v>
      </c>
      <c r="DO132" s="540">
        <f t="shared" si="94"/>
        <v>0.14631540000000001</v>
      </c>
      <c r="DP132" s="597">
        <f>+IF(M132="M",DO132,0)</f>
        <v>0.14631540000000001</v>
      </c>
      <c r="DQ132" s="538">
        <f t="shared" si="95"/>
        <v>0.14631540000000001</v>
      </c>
      <c r="DR132" s="617">
        <f t="shared" si="96"/>
        <v>1</v>
      </c>
      <c r="DS132" s="616">
        <f t="shared" si="97"/>
        <v>0</v>
      </c>
      <c r="DT132" s="259">
        <v>160</v>
      </c>
      <c r="DU132" s="260" t="s">
        <v>575</v>
      </c>
      <c r="DV132" s="259"/>
      <c r="DW132" s="260" t="s">
        <v>242</v>
      </c>
      <c r="DX132" s="259"/>
      <c r="DY132" s="259"/>
      <c r="DZ132" s="259"/>
      <c r="EA132" s="987"/>
      <c r="EB132" s="1041" t="s">
        <v>2474</v>
      </c>
      <c r="EC132" s="802">
        <v>125000000</v>
      </c>
      <c r="EE132" s="1047"/>
    </row>
    <row r="133" spans="4:135" s="534" customFormat="1" ht="51" hidden="1" x14ac:dyDescent="0.3">
      <c r="D133" s="783">
        <v>130</v>
      </c>
      <c r="E133" s="799">
        <v>166</v>
      </c>
      <c r="F133" s="787" t="s">
        <v>200</v>
      </c>
      <c r="G133" s="787" t="s">
        <v>3</v>
      </c>
      <c r="H133" s="788" t="s">
        <v>131</v>
      </c>
      <c r="I133" s="712" t="s">
        <v>346</v>
      </c>
      <c r="J133" s="573" t="s">
        <v>584</v>
      </c>
      <c r="K133" s="573" t="s">
        <v>585</v>
      </c>
      <c r="L133" s="702" t="s">
        <v>1682</v>
      </c>
      <c r="M133" s="570" t="s">
        <v>2017</v>
      </c>
      <c r="N133" s="570">
        <v>0</v>
      </c>
      <c r="O133" s="570">
        <f>+N133+P133</f>
        <v>123236</v>
      </c>
      <c r="P133" s="569">
        <v>123236</v>
      </c>
      <c r="Q133" s="628">
        <v>0.16500000000000001</v>
      </c>
      <c r="R133" s="580">
        <f t="shared" ref="R133:R196" si="118">+Q133*T133</f>
        <v>4.1250000000000002E-2</v>
      </c>
      <c r="S133" s="708">
        <v>30809</v>
      </c>
      <c r="T133" s="625">
        <f t="shared" ref="T133:T164" si="119">IF($M133="M",0.25,(IF($P133&gt;0,S133/$P133," ")))</f>
        <v>0.25</v>
      </c>
      <c r="U133" s="992">
        <v>41058</v>
      </c>
      <c r="V133" s="626">
        <f t="shared" ref="V133:V164" si="120">+IF(M133="I",(+U133),IF(M133="M",(+U133)/4,))</f>
        <v>41058</v>
      </c>
      <c r="W133" s="594">
        <f t="shared" ref="W133:W164" si="121">IF(S133=0,0,+U133*100/S133)</f>
        <v>133.26625336752247</v>
      </c>
      <c r="X133" s="594">
        <f t="shared" ref="X133:X196" si="122">+IF(W133&lt;100,W133,100)</f>
        <v>100</v>
      </c>
      <c r="Y133" s="594">
        <f t="shared" si="98"/>
        <v>4.1250000000000002E-2</v>
      </c>
      <c r="Z133" s="594">
        <f t="shared" ref="Z133:Z196" si="123">+IF(U133&gt;S133,100,X133)</f>
        <v>100</v>
      </c>
      <c r="AA133" s="546">
        <v>76000000</v>
      </c>
      <c r="AB133" s="546">
        <v>13000000</v>
      </c>
      <c r="AC133" s="546">
        <v>0</v>
      </c>
      <c r="AD133" s="546">
        <v>0</v>
      </c>
      <c r="AE133" s="546">
        <v>0</v>
      </c>
      <c r="AF133" s="546">
        <v>0</v>
      </c>
      <c r="AG133" s="546">
        <v>0</v>
      </c>
      <c r="AH133" s="546">
        <v>63000000</v>
      </c>
      <c r="AI133" s="546">
        <v>76000000</v>
      </c>
      <c r="AJ133" s="546">
        <v>13000000</v>
      </c>
      <c r="AK133" s="546">
        <v>0</v>
      </c>
      <c r="AL133" s="546">
        <v>63000000</v>
      </c>
      <c r="AM133" s="546">
        <v>0</v>
      </c>
      <c r="AN133" s="546">
        <v>0</v>
      </c>
      <c r="AO133" s="546">
        <v>0</v>
      </c>
      <c r="AP133" s="546">
        <v>0</v>
      </c>
      <c r="AQ133" s="546">
        <v>0</v>
      </c>
      <c r="AR133" s="546">
        <v>0</v>
      </c>
      <c r="AS133" s="546">
        <v>0</v>
      </c>
      <c r="AT133" s="580">
        <f t="shared" ref="AT133:AT196" si="124">+Q133*AV133</f>
        <v>4.1250000000000002E-2</v>
      </c>
      <c r="AU133" s="570">
        <v>30809</v>
      </c>
      <c r="AV133" s="625">
        <f t="shared" ref="AV133:AV164" si="125">IF($M133="M",0.25,(IF($P133&gt;0,AU133/$P133," ")))</f>
        <v>0.25</v>
      </c>
      <c r="AW133" s="1003">
        <v>31302</v>
      </c>
      <c r="AX133" s="604">
        <f t="shared" ref="AX133:AX164" si="126">+IF(M133="I",(+AW133),IF(M133="M",(+AW133)/4,))</f>
        <v>31302</v>
      </c>
      <c r="AY133" s="604">
        <f t="shared" ref="AY133:AY164" si="127">IF(AU133=0,0,+AW133*100/AU133)</f>
        <v>101.60018176506865</v>
      </c>
      <c r="AZ133" s="604">
        <f t="shared" ref="AZ133:AZ196" si="128">+IF(AY133&lt;100,AY133,100)</f>
        <v>100</v>
      </c>
      <c r="BA133" s="592">
        <f t="shared" ref="BA133:BA196" si="129">+(AZ133*AT133)/100</f>
        <v>4.1250000000000002E-2</v>
      </c>
      <c r="BB133" s="592">
        <f t="shared" ref="BB133:BB196" si="130">+IF(AW133&gt;AU133,100,AZ133)</f>
        <v>100</v>
      </c>
      <c r="BC133" s="591">
        <v>68000000</v>
      </c>
      <c r="BD133" s="591">
        <v>0</v>
      </c>
      <c r="BE133" s="591">
        <v>0</v>
      </c>
      <c r="BF133" s="591">
        <v>0</v>
      </c>
      <c r="BG133" s="591">
        <v>0</v>
      </c>
      <c r="BH133" s="591">
        <v>0</v>
      </c>
      <c r="BI133" s="591">
        <v>0</v>
      </c>
      <c r="BJ133" s="591">
        <v>68000000</v>
      </c>
      <c r="BK133" s="700">
        <v>81459223</v>
      </c>
      <c r="BL133" s="589">
        <v>32862568</v>
      </c>
      <c r="BM133" s="589">
        <v>0</v>
      </c>
      <c r="BN133" s="589">
        <v>48596655</v>
      </c>
      <c r="BO133" s="589">
        <v>0</v>
      </c>
      <c r="BP133" s="589">
        <v>0</v>
      </c>
      <c r="BQ133" s="589">
        <v>0</v>
      </c>
      <c r="BR133" s="589">
        <v>0</v>
      </c>
      <c r="BS133" s="589">
        <v>0</v>
      </c>
      <c r="BT133" s="589">
        <v>0</v>
      </c>
      <c r="BU133" s="589">
        <v>0</v>
      </c>
      <c r="BV133" s="588">
        <f t="shared" ref="BV133:BV196" si="131">+Q133*BX133</f>
        <v>4.1250000000000002E-2</v>
      </c>
      <c r="BW133" s="588">
        <v>30809</v>
      </c>
      <c r="BX133" s="623">
        <f t="shared" ref="BX133:BX164" si="132">IF($M133="M",0.25,(IF($P133&gt;0,BW133/$P133," ")))</f>
        <v>0.25</v>
      </c>
      <c r="BY133" s="607">
        <v>32925</v>
      </c>
      <c r="BZ133" s="629">
        <v>16720</v>
      </c>
      <c r="CA133" s="1017">
        <v>30957</v>
      </c>
      <c r="CB133" s="557">
        <f t="shared" ref="CB133:CB164" si="133">+IF(M133="I",(+CA133),IF(M133="M",(+CA133)/4,))</f>
        <v>30957</v>
      </c>
      <c r="CC133" s="557">
        <f t="shared" ref="CC133:CC164" si="134">IF(BW133=0,0,+CA133*100/BW133)</f>
        <v>100.48037911000033</v>
      </c>
      <c r="CD133" s="622">
        <f t="shared" ref="CD133:CD196" si="135">+IF(CC133&lt;100,CC133,100)</f>
        <v>100</v>
      </c>
      <c r="CE133" s="621">
        <f t="shared" ref="CE133:CE196" si="136">+(CD133*BV133)/100</f>
        <v>4.1250000000000002E-2</v>
      </c>
      <c r="CF133" s="605">
        <f t="shared" ref="CF133:CF196" si="137">+IF(BZ133&gt;BW133,100,CD133)</f>
        <v>100</v>
      </c>
      <c r="CG133" s="621">
        <f t="shared" ref="CG133:CG196" si="138">(CC133*BV133)/100</f>
        <v>4.1448156382875141E-2</v>
      </c>
      <c r="CH133" s="553">
        <f t="shared" ref="CH133:CH196" si="139">+Q133*CJ133</f>
        <v>4.1250000000000002E-2</v>
      </c>
      <c r="CI133" s="552">
        <v>30809</v>
      </c>
      <c r="CJ133" s="551">
        <f t="shared" ref="CJ133:CJ164" si="140">IF($M133="M",0.25,(IF($P133&gt;0,CI133/$P133," ")))</f>
        <v>0.25</v>
      </c>
      <c r="CK133" s="874">
        <v>7188</v>
      </c>
      <c r="CL133" s="533">
        <f t="shared" ref="CL133:CL164" si="141">+CI133-CK133</f>
        <v>23621</v>
      </c>
      <c r="CM133" s="619">
        <f t="shared" ref="CM133:CM164" si="142">+IF(M133="I",(+CK133),IF(M133="M",(+CK133)/4,))</f>
        <v>7188</v>
      </c>
      <c r="CN133" s="619">
        <f t="shared" ref="CN133:CN164" si="143">IF(CI133=0,0,+CK133*100/CI133)</f>
        <v>23.330844882988735</v>
      </c>
      <c r="CO133" s="549">
        <f t="shared" ref="CO133:CO196" si="144">+IF(CN133&lt;100,CN133,100)</f>
        <v>23.330844882988735</v>
      </c>
      <c r="CP133" s="619">
        <f t="shared" ref="CP133:CP196" si="145">+(CO133*CH133)/100</f>
        <v>9.6239735142328534E-3</v>
      </c>
      <c r="CQ133" s="619">
        <f t="shared" ref="CQ133:CQ196" si="146">+(CN133*CH133)/100</f>
        <v>9.6239735142328534E-3</v>
      </c>
      <c r="CR133" s="546">
        <v>68000000</v>
      </c>
      <c r="CS133" s="546">
        <v>0</v>
      </c>
      <c r="CT133" s="546">
        <v>0</v>
      </c>
      <c r="CU133" s="546">
        <v>0</v>
      </c>
      <c r="CV133" s="546">
        <v>0</v>
      </c>
      <c r="CW133" s="546">
        <v>0</v>
      </c>
      <c r="CX133" s="546">
        <v>0</v>
      </c>
      <c r="CY133" s="546">
        <v>68000000</v>
      </c>
      <c r="CZ133" s="618">
        <v>0</v>
      </c>
      <c r="DA133" s="618">
        <v>0</v>
      </c>
      <c r="DB133" s="618">
        <v>0</v>
      </c>
      <c r="DC133" s="618">
        <v>0</v>
      </c>
      <c r="DD133" s="618">
        <v>0</v>
      </c>
      <c r="DE133" s="618">
        <v>0</v>
      </c>
      <c r="DF133" s="618">
        <v>0</v>
      </c>
      <c r="DG133" s="618">
        <v>0</v>
      </c>
      <c r="DH133" s="618">
        <v>0</v>
      </c>
      <c r="DI133" s="618">
        <v>0</v>
      </c>
      <c r="DJ133" s="618">
        <v>0</v>
      </c>
      <c r="DK133" s="1034">
        <f t="shared" ref="DK133:DK164" si="147">+IF(M133="I",(+U133+AW133+CA133+CK133),IF(M133="M",(+U133+AW133+CA133+CK133)/4,))</f>
        <v>110505</v>
      </c>
      <c r="DL133" s="543">
        <f t="shared" ref="DL133:DL196" si="148">+R133+AT133+BV133+CH133</f>
        <v>0.16500000000000001</v>
      </c>
      <c r="DM133" s="542">
        <f t="shared" ref="DM133:DM196" si="149">+DK133*100/P133</f>
        <v>89.669414781395048</v>
      </c>
      <c r="DN133" s="594">
        <f t="shared" ref="DN133:DN196" si="150">+IF(DM133&lt;100,DM133,100)</f>
        <v>89.669414781395048</v>
      </c>
      <c r="DO133" s="540">
        <f t="shared" ref="DO133:DO196" si="151">+(DN133*Q133)/100</f>
        <v>0.14795453438930184</v>
      </c>
      <c r="DP133" s="597">
        <f>+IF(((DN133*Q133)/100)&lt;Q133, ((DN133*Q133)/100),Q133)</f>
        <v>0.14795453438930184</v>
      </c>
      <c r="DQ133" s="538">
        <f t="shared" ref="DQ133:DQ196" si="152">+IF(DL133&lt;DP133,DL133,DP133)</f>
        <v>0.14795453438930184</v>
      </c>
      <c r="DR133" s="617">
        <f t="shared" ref="DR133:DR196" si="153">+T133+AV133+BX133+CJ133</f>
        <v>1</v>
      </c>
      <c r="DS133" s="616">
        <f t="shared" ref="DS133:DS196" si="154">+Q133-R133-AT133-BV133-CH133</f>
        <v>0</v>
      </c>
      <c r="DT133" s="259">
        <v>160</v>
      </c>
      <c r="DU133" s="260" t="s">
        <v>575</v>
      </c>
      <c r="DV133" s="259"/>
      <c r="DW133" s="260" t="s">
        <v>242</v>
      </c>
      <c r="DX133" s="259"/>
      <c r="DY133" s="259"/>
      <c r="DZ133" s="259"/>
      <c r="EA133" s="987"/>
      <c r="EB133" s="1041" t="s">
        <v>2475</v>
      </c>
      <c r="EC133" s="802">
        <v>68000000</v>
      </c>
      <c r="EE133" s="1047"/>
    </row>
    <row r="134" spans="4:135" s="534" customFormat="1" ht="76.5" hidden="1" x14ac:dyDescent="0.3">
      <c r="D134" s="783">
        <v>131</v>
      </c>
      <c r="E134" s="799">
        <v>167</v>
      </c>
      <c r="F134" s="787" t="s">
        <v>200</v>
      </c>
      <c r="G134" s="787" t="s">
        <v>239</v>
      </c>
      <c r="H134" s="788" t="s">
        <v>131</v>
      </c>
      <c r="I134" s="712" t="s">
        <v>346</v>
      </c>
      <c r="J134" s="573" t="s">
        <v>586</v>
      </c>
      <c r="K134" s="573" t="s">
        <v>587</v>
      </c>
      <c r="L134" s="702" t="s">
        <v>2247</v>
      </c>
      <c r="M134" s="570" t="s">
        <v>2017</v>
      </c>
      <c r="N134" s="570">
        <v>80</v>
      </c>
      <c r="O134" s="570">
        <f>+N134+P134</f>
        <v>160</v>
      </c>
      <c r="P134" s="569">
        <v>80</v>
      </c>
      <c r="Q134" s="628">
        <v>8.8999999999999996E-2</v>
      </c>
      <c r="R134" s="580">
        <f t="shared" si="118"/>
        <v>1.1124999999999999E-2</v>
      </c>
      <c r="S134" s="708">
        <v>10</v>
      </c>
      <c r="T134" s="625">
        <f t="shared" si="119"/>
        <v>0.125</v>
      </c>
      <c r="U134" s="992">
        <v>10</v>
      </c>
      <c r="V134" s="626">
        <f t="shared" si="120"/>
        <v>10</v>
      </c>
      <c r="W134" s="594">
        <f t="shared" si="121"/>
        <v>100</v>
      </c>
      <c r="X134" s="594">
        <f t="shared" si="122"/>
        <v>100</v>
      </c>
      <c r="Y134" s="594">
        <f t="shared" si="98"/>
        <v>1.1125000000000001E-2</v>
      </c>
      <c r="Z134" s="594">
        <f t="shared" si="123"/>
        <v>100</v>
      </c>
      <c r="AA134" s="546">
        <v>44000000</v>
      </c>
      <c r="AB134" s="546">
        <v>44000000</v>
      </c>
      <c r="AC134" s="546">
        <v>0</v>
      </c>
      <c r="AD134" s="546">
        <v>0</v>
      </c>
      <c r="AE134" s="546">
        <v>0</v>
      </c>
      <c r="AF134" s="546">
        <v>0</v>
      </c>
      <c r="AG134" s="546">
        <v>0</v>
      </c>
      <c r="AH134" s="546">
        <v>0</v>
      </c>
      <c r="AI134" s="546">
        <v>12800000</v>
      </c>
      <c r="AJ134" s="546">
        <v>12800000</v>
      </c>
      <c r="AK134" s="546">
        <v>0</v>
      </c>
      <c r="AL134" s="546">
        <v>0</v>
      </c>
      <c r="AM134" s="546">
        <v>0</v>
      </c>
      <c r="AN134" s="546">
        <v>0</v>
      </c>
      <c r="AO134" s="546">
        <v>0</v>
      </c>
      <c r="AP134" s="546">
        <v>0</v>
      </c>
      <c r="AQ134" s="546">
        <v>0</v>
      </c>
      <c r="AR134" s="546">
        <v>0</v>
      </c>
      <c r="AS134" s="546">
        <v>0</v>
      </c>
      <c r="AT134" s="580">
        <f t="shared" si="124"/>
        <v>2.7812499999999997E-2</v>
      </c>
      <c r="AU134" s="570">
        <v>25</v>
      </c>
      <c r="AV134" s="625">
        <f t="shared" si="125"/>
        <v>0.3125</v>
      </c>
      <c r="AW134" s="1003">
        <v>53</v>
      </c>
      <c r="AX134" s="604">
        <f t="shared" si="126"/>
        <v>53</v>
      </c>
      <c r="AY134" s="604">
        <f t="shared" si="127"/>
        <v>212</v>
      </c>
      <c r="AZ134" s="604">
        <f t="shared" si="128"/>
        <v>100</v>
      </c>
      <c r="BA134" s="592">
        <f t="shared" si="129"/>
        <v>2.7812499999999997E-2</v>
      </c>
      <c r="BB134" s="592">
        <f t="shared" si="130"/>
        <v>100</v>
      </c>
      <c r="BC134" s="591">
        <v>36000000</v>
      </c>
      <c r="BD134" s="591">
        <v>0</v>
      </c>
      <c r="BE134" s="591">
        <v>36000000</v>
      </c>
      <c r="BF134" s="591">
        <v>0</v>
      </c>
      <c r="BG134" s="591">
        <v>0</v>
      </c>
      <c r="BH134" s="591">
        <v>0</v>
      </c>
      <c r="BI134" s="591">
        <v>0</v>
      </c>
      <c r="BJ134" s="591">
        <v>0</v>
      </c>
      <c r="BK134" s="700">
        <v>86138363</v>
      </c>
      <c r="BL134" s="589">
        <v>86138363</v>
      </c>
      <c r="BM134" s="589">
        <v>0</v>
      </c>
      <c r="BN134" s="589">
        <v>0</v>
      </c>
      <c r="BO134" s="589">
        <v>0</v>
      </c>
      <c r="BP134" s="589">
        <v>0</v>
      </c>
      <c r="BQ134" s="589">
        <v>0</v>
      </c>
      <c r="BR134" s="589">
        <v>0</v>
      </c>
      <c r="BS134" s="589">
        <v>0</v>
      </c>
      <c r="BT134" s="589">
        <v>0</v>
      </c>
      <c r="BU134" s="589">
        <v>0</v>
      </c>
      <c r="BV134" s="588">
        <f t="shared" si="131"/>
        <v>2.7812499999999997E-2</v>
      </c>
      <c r="BW134" s="588">
        <v>25</v>
      </c>
      <c r="BX134" s="623">
        <f t="shared" si="132"/>
        <v>0.3125</v>
      </c>
      <c r="BY134" s="607">
        <v>12</v>
      </c>
      <c r="BZ134" s="629">
        <v>65</v>
      </c>
      <c r="CA134" s="1017">
        <v>65</v>
      </c>
      <c r="CB134" s="557">
        <f t="shared" si="133"/>
        <v>65</v>
      </c>
      <c r="CC134" s="557">
        <f t="shared" si="134"/>
        <v>260</v>
      </c>
      <c r="CD134" s="622">
        <f t="shared" si="135"/>
        <v>100</v>
      </c>
      <c r="CE134" s="621">
        <f t="shared" si="136"/>
        <v>2.7812499999999997E-2</v>
      </c>
      <c r="CF134" s="605">
        <f t="shared" si="137"/>
        <v>100</v>
      </c>
      <c r="CG134" s="621">
        <f t="shared" si="138"/>
        <v>7.2312499999999988E-2</v>
      </c>
      <c r="CH134" s="553">
        <f t="shared" si="139"/>
        <v>2.2249999999999999E-2</v>
      </c>
      <c r="CI134" s="552">
        <v>20</v>
      </c>
      <c r="CJ134" s="551">
        <f t="shared" si="140"/>
        <v>0.25</v>
      </c>
      <c r="CK134" s="874">
        <v>11</v>
      </c>
      <c r="CL134" s="533">
        <f t="shared" si="141"/>
        <v>9</v>
      </c>
      <c r="CM134" s="619">
        <f t="shared" si="142"/>
        <v>11</v>
      </c>
      <c r="CN134" s="619">
        <f t="shared" si="143"/>
        <v>55</v>
      </c>
      <c r="CO134" s="549">
        <f t="shared" si="144"/>
        <v>55</v>
      </c>
      <c r="CP134" s="619">
        <f t="shared" si="145"/>
        <v>1.2237499999999998E-2</v>
      </c>
      <c r="CQ134" s="619">
        <f t="shared" si="146"/>
        <v>1.2237499999999998E-2</v>
      </c>
      <c r="CR134" s="546">
        <v>36000000</v>
      </c>
      <c r="CS134" s="546">
        <v>36000000</v>
      </c>
      <c r="CT134" s="546">
        <v>0</v>
      </c>
      <c r="CU134" s="546">
        <v>0</v>
      </c>
      <c r="CV134" s="546">
        <v>0</v>
      </c>
      <c r="CW134" s="546">
        <v>0</v>
      </c>
      <c r="CX134" s="546">
        <v>0</v>
      </c>
      <c r="CY134" s="546">
        <v>0</v>
      </c>
      <c r="CZ134" s="618">
        <v>0</v>
      </c>
      <c r="DA134" s="618">
        <v>0</v>
      </c>
      <c r="DB134" s="618">
        <v>0</v>
      </c>
      <c r="DC134" s="618">
        <v>0</v>
      </c>
      <c r="DD134" s="618">
        <v>0</v>
      </c>
      <c r="DE134" s="618">
        <v>0</v>
      </c>
      <c r="DF134" s="618">
        <v>0</v>
      </c>
      <c r="DG134" s="618">
        <v>0</v>
      </c>
      <c r="DH134" s="618">
        <v>0</v>
      </c>
      <c r="DI134" s="618">
        <v>0</v>
      </c>
      <c r="DJ134" s="618">
        <v>0</v>
      </c>
      <c r="DK134" s="1034">
        <f t="shared" si="147"/>
        <v>139</v>
      </c>
      <c r="DL134" s="543">
        <f t="shared" si="148"/>
        <v>8.8999999999999996E-2</v>
      </c>
      <c r="DM134" s="542">
        <f t="shared" si="149"/>
        <v>173.75</v>
      </c>
      <c r="DN134" s="594">
        <f t="shared" si="150"/>
        <v>100</v>
      </c>
      <c r="DO134" s="540">
        <f t="shared" si="151"/>
        <v>8.900000000000001E-2</v>
      </c>
      <c r="DP134" s="597">
        <f>+IF(((DN134*Q134)/100)&lt;Q134, ((DN134*Q134)/100),Q134)</f>
        <v>8.8999999999999996E-2</v>
      </c>
      <c r="DQ134" s="538">
        <f t="shared" si="152"/>
        <v>8.8999999999999996E-2</v>
      </c>
      <c r="DR134" s="617">
        <f t="shared" si="153"/>
        <v>1</v>
      </c>
      <c r="DS134" s="616">
        <f t="shared" si="154"/>
        <v>0</v>
      </c>
      <c r="DT134" s="259">
        <v>160</v>
      </c>
      <c r="DU134" s="260" t="s">
        <v>575</v>
      </c>
      <c r="DV134" s="259"/>
      <c r="DW134" s="260" t="s">
        <v>242</v>
      </c>
      <c r="DX134" s="259"/>
      <c r="DY134" s="259"/>
      <c r="DZ134" s="259"/>
      <c r="EA134" s="987"/>
      <c r="EB134" s="1041" t="s">
        <v>2476</v>
      </c>
      <c r="EC134" s="802">
        <v>36000000</v>
      </c>
      <c r="EE134" s="1047"/>
    </row>
    <row r="135" spans="4:135" s="534" customFormat="1" ht="51" hidden="1" x14ac:dyDescent="0.3">
      <c r="D135" s="783">
        <v>132</v>
      </c>
      <c r="E135" s="799">
        <v>168</v>
      </c>
      <c r="F135" s="787" t="s">
        <v>200</v>
      </c>
      <c r="G135" s="787" t="s">
        <v>239</v>
      </c>
      <c r="H135" s="788" t="s">
        <v>131</v>
      </c>
      <c r="I135" s="712" t="s">
        <v>346</v>
      </c>
      <c r="J135" s="573" t="s">
        <v>588</v>
      </c>
      <c r="K135" s="573" t="s">
        <v>589</v>
      </c>
      <c r="L135" s="702" t="s">
        <v>1690</v>
      </c>
      <c r="M135" s="570" t="s">
        <v>2017</v>
      </c>
      <c r="N135" s="570">
        <v>0</v>
      </c>
      <c r="O135" s="570">
        <f>+N135+P135</f>
        <v>3</v>
      </c>
      <c r="P135" s="569">
        <v>3</v>
      </c>
      <c r="Q135" s="628">
        <v>0.16500000000000001</v>
      </c>
      <c r="R135" s="580">
        <f t="shared" si="118"/>
        <v>0</v>
      </c>
      <c r="S135" s="708">
        <v>0</v>
      </c>
      <c r="T135" s="625">
        <f t="shared" si="119"/>
        <v>0</v>
      </c>
      <c r="U135" s="992">
        <v>0</v>
      </c>
      <c r="V135" s="626">
        <f t="shared" si="120"/>
        <v>0</v>
      </c>
      <c r="W135" s="594">
        <f t="shared" si="121"/>
        <v>0</v>
      </c>
      <c r="X135" s="594">
        <f t="shared" si="122"/>
        <v>0</v>
      </c>
      <c r="Y135" s="594">
        <f t="shared" si="98"/>
        <v>0</v>
      </c>
      <c r="Z135" s="594">
        <f t="shared" si="123"/>
        <v>0</v>
      </c>
      <c r="AA135" s="546">
        <v>0</v>
      </c>
      <c r="AB135" s="546">
        <v>0</v>
      </c>
      <c r="AC135" s="546">
        <v>0</v>
      </c>
      <c r="AD135" s="546">
        <v>0</v>
      </c>
      <c r="AE135" s="546">
        <v>0</v>
      </c>
      <c r="AF135" s="546">
        <v>0</v>
      </c>
      <c r="AG135" s="546">
        <v>0</v>
      </c>
      <c r="AH135" s="546">
        <v>0</v>
      </c>
      <c r="AI135" s="546">
        <v>0</v>
      </c>
      <c r="AJ135" s="546">
        <v>0</v>
      </c>
      <c r="AK135" s="546">
        <v>0</v>
      </c>
      <c r="AL135" s="546">
        <v>0</v>
      </c>
      <c r="AM135" s="546">
        <v>0</v>
      </c>
      <c r="AN135" s="546">
        <v>0</v>
      </c>
      <c r="AO135" s="546">
        <v>0</v>
      </c>
      <c r="AP135" s="546">
        <v>0</v>
      </c>
      <c r="AQ135" s="546">
        <v>0</v>
      </c>
      <c r="AR135" s="546">
        <v>0</v>
      </c>
      <c r="AS135" s="546">
        <v>0</v>
      </c>
      <c r="AT135" s="580">
        <f t="shared" si="124"/>
        <v>5.5E-2</v>
      </c>
      <c r="AU135" s="570">
        <v>1</v>
      </c>
      <c r="AV135" s="625">
        <f t="shared" si="125"/>
        <v>0.33333333333333331</v>
      </c>
      <c r="AW135" s="1003">
        <v>6</v>
      </c>
      <c r="AX135" s="604">
        <f t="shared" si="126"/>
        <v>6</v>
      </c>
      <c r="AY135" s="604">
        <f t="shared" si="127"/>
        <v>600</v>
      </c>
      <c r="AZ135" s="604">
        <f t="shared" si="128"/>
        <v>100</v>
      </c>
      <c r="BA135" s="592">
        <f t="shared" si="129"/>
        <v>5.5E-2</v>
      </c>
      <c r="BB135" s="592">
        <f t="shared" si="130"/>
        <v>100</v>
      </c>
      <c r="BC135" s="591">
        <v>21000000</v>
      </c>
      <c r="BD135" s="591">
        <v>0</v>
      </c>
      <c r="BE135" s="591">
        <v>21000000</v>
      </c>
      <c r="BF135" s="591">
        <v>0</v>
      </c>
      <c r="BG135" s="591">
        <v>0</v>
      </c>
      <c r="BH135" s="591">
        <v>0</v>
      </c>
      <c r="BI135" s="591">
        <v>0</v>
      </c>
      <c r="BJ135" s="591">
        <v>0</v>
      </c>
      <c r="BK135" s="700">
        <v>92308000</v>
      </c>
      <c r="BL135" s="589">
        <v>92308000</v>
      </c>
      <c r="BM135" s="589">
        <v>0</v>
      </c>
      <c r="BN135" s="589">
        <v>0</v>
      </c>
      <c r="BO135" s="589">
        <v>0</v>
      </c>
      <c r="BP135" s="589">
        <v>0</v>
      </c>
      <c r="BQ135" s="589">
        <v>0</v>
      </c>
      <c r="BR135" s="589">
        <v>0</v>
      </c>
      <c r="BS135" s="589">
        <v>0</v>
      </c>
      <c r="BT135" s="589">
        <v>0</v>
      </c>
      <c r="BU135" s="589">
        <v>0</v>
      </c>
      <c r="BV135" s="588">
        <f t="shared" si="131"/>
        <v>5.5E-2</v>
      </c>
      <c r="BW135" s="588">
        <v>1</v>
      </c>
      <c r="BX135" s="623">
        <f t="shared" si="132"/>
        <v>0.33333333333333331</v>
      </c>
      <c r="BY135" s="607">
        <v>1</v>
      </c>
      <c r="BZ135" s="629">
        <v>7</v>
      </c>
      <c r="CA135" s="1017">
        <v>1</v>
      </c>
      <c r="CB135" s="557">
        <f t="shared" si="133"/>
        <v>1</v>
      </c>
      <c r="CC135" s="557">
        <f t="shared" si="134"/>
        <v>100</v>
      </c>
      <c r="CD135" s="622">
        <f t="shared" si="135"/>
        <v>100</v>
      </c>
      <c r="CE135" s="621">
        <f t="shared" si="136"/>
        <v>5.5E-2</v>
      </c>
      <c r="CF135" s="605">
        <f t="shared" si="137"/>
        <v>100</v>
      </c>
      <c r="CG135" s="621">
        <f t="shared" si="138"/>
        <v>5.5E-2</v>
      </c>
      <c r="CH135" s="553">
        <f t="shared" si="139"/>
        <v>5.5E-2</v>
      </c>
      <c r="CI135" s="552">
        <v>1</v>
      </c>
      <c r="CJ135" s="551">
        <f t="shared" si="140"/>
        <v>0.33333333333333331</v>
      </c>
      <c r="CK135" s="874">
        <v>0</v>
      </c>
      <c r="CL135" s="533">
        <f t="shared" si="141"/>
        <v>1</v>
      </c>
      <c r="CM135" s="619">
        <f t="shared" si="142"/>
        <v>0</v>
      </c>
      <c r="CN135" s="619">
        <f t="shared" si="143"/>
        <v>0</v>
      </c>
      <c r="CO135" s="549">
        <f t="shared" si="144"/>
        <v>0</v>
      </c>
      <c r="CP135" s="619">
        <f t="shared" si="145"/>
        <v>0</v>
      </c>
      <c r="CQ135" s="619">
        <f t="shared" si="146"/>
        <v>0</v>
      </c>
      <c r="CR135" s="546">
        <v>30000000</v>
      </c>
      <c r="CS135" s="546">
        <v>30000000</v>
      </c>
      <c r="CT135" s="546">
        <v>0</v>
      </c>
      <c r="CU135" s="546">
        <v>0</v>
      </c>
      <c r="CV135" s="546">
        <v>0</v>
      </c>
      <c r="CW135" s="546">
        <v>0</v>
      </c>
      <c r="CX135" s="546">
        <v>0</v>
      </c>
      <c r="CY135" s="546">
        <v>0</v>
      </c>
      <c r="CZ135" s="618">
        <v>0</v>
      </c>
      <c r="DA135" s="618">
        <v>0</v>
      </c>
      <c r="DB135" s="618">
        <v>0</v>
      </c>
      <c r="DC135" s="618">
        <v>0</v>
      </c>
      <c r="DD135" s="618">
        <v>0</v>
      </c>
      <c r="DE135" s="618">
        <v>0</v>
      </c>
      <c r="DF135" s="618">
        <v>0</v>
      </c>
      <c r="DG135" s="618">
        <v>0</v>
      </c>
      <c r="DH135" s="618">
        <v>0</v>
      </c>
      <c r="DI135" s="618">
        <v>0</v>
      </c>
      <c r="DJ135" s="618">
        <v>0</v>
      </c>
      <c r="DK135" s="1034">
        <f t="shared" si="147"/>
        <v>7</v>
      </c>
      <c r="DL135" s="543">
        <f t="shared" si="148"/>
        <v>0.16500000000000001</v>
      </c>
      <c r="DM135" s="542">
        <f t="shared" si="149"/>
        <v>233.33333333333334</v>
      </c>
      <c r="DN135" s="594">
        <f t="shared" si="150"/>
        <v>100</v>
      </c>
      <c r="DO135" s="540">
        <f t="shared" si="151"/>
        <v>0.16500000000000001</v>
      </c>
      <c r="DP135" s="597">
        <f>+IF(((DN135*Q135)/100)&lt;Q135, ((DN135*Q135)/100),Q135)</f>
        <v>0.16500000000000001</v>
      </c>
      <c r="DQ135" s="538">
        <f t="shared" si="152"/>
        <v>0.16500000000000001</v>
      </c>
      <c r="DR135" s="617">
        <f t="shared" si="153"/>
        <v>1</v>
      </c>
      <c r="DS135" s="616">
        <f t="shared" si="154"/>
        <v>0</v>
      </c>
      <c r="DT135" s="259">
        <v>160</v>
      </c>
      <c r="DU135" s="260" t="s">
        <v>575</v>
      </c>
      <c r="DV135" s="259"/>
      <c r="DW135" s="260" t="s">
        <v>242</v>
      </c>
      <c r="DX135" s="259"/>
      <c r="DY135" s="259"/>
      <c r="DZ135" s="259"/>
      <c r="EA135" s="987"/>
      <c r="EB135" s="1041" t="s">
        <v>2477</v>
      </c>
      <c r="EC135" s="802">
        <v>20000000</v>
      </c>
      <c r="EE135" s="1047"/>
    </row>
    <row r="136" spans="4:135" s="534" customFormat="1" ht="51" hidden="1" x14ac:dyDescent="0.3">
      <c r="D136" s="783">
        <v>133</v>
      </c>
      <c r="E136" s="799">
        <v>169</v>
      </c>
      <c r="F136" s="787" t="s">
        <v>200</v>
      </c>
      <c r="G136" s="787" t="s">
        <v>239</v>
      </c>
      <c r="H136" s="788" t="s">
        <v>131</v>
      </c>
      <c r="I136" s="712" t="s">
        <v>346</v>
      </c>
      <c r="J136" s="573" t="s">
        <v>590</v>
      </c>
      <c r="K136" s="573" t="s">
        <v>591</v>
      </c>
      <c r="L136" s="701" t="s">
        <v>1593</v>
      </c>
      <c r="M136" s="570" t="s">
        <v>2032</v>
      </c>
      <c r="N136" s="570">
        <v>3</v>
      </c>
      <c r="O136" s="570">
        <f>+P136</f>
        <v>5</v>
      </c>
      <c r="P136" s="569">
        <v>5</v>
      </c>
      <c r="Q136" s="628">
        <v>0.16500000000000001</v>
      </c>
      <c r="R136" s="580">
        <f t="shared" si="118"/>
        <v>4.1250000000000002E-2</v>
      </c>
      <c r="S136" s="708">
        <v>5</v>
      </c>
      <c r="T136" s="625">
        <f t="shared" si="119"/>
        <v>0.25</v>
      </c>
      <c r="U136" s="992">
        <v>5</v>
      </c>
      <c r="V136" s="626">
        <f t="shared" si="120"/>
        <v>1.25</v>
      </c>
      <c r="W136" s="594">
        <f t="shared" si="121"/>
        <v>100</v>
      </c>
      <c r="X136" s="594">
        <f t="shared" si="122"/>
        <v>100</v>
      </c>
      <c r="Y136" s="594">
        <f t="shared" si="98"/>
        <v>4.1250000000000002E-2</v>
      </c>
      <c r="Z136" s="594">
        <f t="shared" si="123"/>
        <v>100</v>
      </c>
      <c r="AA136" s="546">
        <v>18000000</v>
      </c>
      <c r="AB136" s="546">
        <v>18000000</v>
      </c>
      <c r="AC136" s="546">
        <v>0</v>
      </c>
      <c r="AD136" s="546">
        <v>0</v>
      </c>
      <c r="AE136" s="546">
        <v>0</v>
      </c>
      <c r="AF136" s="546">
        <v>0</v>
      </c>
      <c r="AG136" s="546">
        <v>0</v>
      </c>
      <c r="AH136" s="546">
        <v>0</v>
      </c>
      <c r="AI136" s="546">
        <v>52500000</v>
      </c>
      <c r="AJ136" s="546">
        <v>52500000</v>
      </c>
      <c r="AK136" s="546">
        <v>0</v>
      </c>
      <c r="AL136" s="546">
        <v>0</v>
      </c>
      <c r="AM136" s="546">
        <v>0</v>
      </c>
      <c r="AN136" s="546">
        <v>0</v>
      </c>
      <c r="AO136" s="546">
        <v>0</v>
      </c>
      <c r="AP136" s="546">
        <v>0</v>
      </c>
      <c r="AQ136" s="546">
        <v>0</v>
      </c>
      <c r="AR136" s="546">
        <v>10850000</v>
      </c>
      <c r="AS136" s="546" t="s">
        <v>1593</v>
      </c>
      <c r="AT136" s="580">
        <f t="shared" si="124"/>
        <v>4.1250000000000002E-2</v>
      </c>
      <c r="AU136" s="570">
        <v>5</v>
      </c>
      <c r="AV136" s="625">
        <f t="shared" si="125"/>
        <v>0.25</v>
      </c>
      <c r="AW136" s="1003">
        <v>6</v>
      </c>
      <c r="AX136" s="604">
        <f t="shared" si="126"/>
        <v>1.5</v>
      </c>
      <c r="AY136" s="604">
        <f t="shared" si="127"/>
        <v>120</v>
      </c>
      <c r="AZ136" s="604">
        <f t="shared" si="128"/>
        <v>100</v>
      </c>
      <c r="BA136" s="592">
        <f t="shared" si="129"/>
        <v>4.1250000000000002E-2</v>
      </c>
      <c r="BB136" s="592">
        <f t="shared" si="130"/>
        <v>100</v>
      </c>
      <c r="BC136" s="591">
        <v>40000000</v>
      </c>
      <c r="BD136" s="591">
        <v>0</v>
      </c>
      <c r="BE136" s="591">
        <v>40000000</v>
      </c>
      <c r="BF136" s="591">
        <v>0</v>
      </c>
      <c r="BG136" s="591">
        <v>0</v>
      </c>
      <c r="BH136" s="591">
        <v>0</v>
      </c>
      <c r="BI136" s="591">
        <v>0</v>
      </c>
      <c r="BJ136" s="591">
        <v>0</v>
      </c>
      <c r="BK136" s="700">
        <v>62488000</v>
      </c>
      <c r="BL136" s="589">
        <v>62488000</v>
      </c>
      <c r="BM136" s="589">
        <v>0</v>
      </c>
      <c r="BN136" s="589">
        <v>0</v>
      </c>
      <c r="BO136" s="589">
        <v>0</v>
      </c>
      <c r="BP136" s="589">
        <v>0</v>
      </c>
      <c r="BQ136" s="589">
        <v>0</v>
      </c>
      <c r="BR136" s="589">
        <v>0</v>
      </c>
      <c r="BS136" s="589">
        <v>0</v>
      </c>
      <c r="BT136" s="589">
        <v>0</v>
      </c>
      <c r="BU136" s="589">
        <v>0</v>
      </c>
      <c r="BV136" s="588">
        <f t="shared" si="131"/>
        <v>4.1250000000000002E-2</v>
      </c>
      <c r="BW136" s="588">
        <v>5</v>
      </c>
      <c r="BX136" s="623">
        <f t="shared" si="132"/>
        <v>0.25</v>
      </c>
      <c r="BY136" s="607">
        <v>5</v>
      </c>
      <c r="BZ136" s="629">
        <v>5</v>
      </c>
      <c r="CA136" s="1017">
        <v>5</v>
      </c>
      <c r="CB136" s="557">
        <f t="shared" si="133"/>
        <v>1.25</v>
      </c>
      <c r="CC136" s="557">
        <f t="shared" si="134"/>
        <v>100</v>
      </c>
      <c r="CD136" s="622">
        <f t="shared" si="135"/>
        <v>100</v>
      </c>
      <c r="CE136" s="621">
        <f t="shared" si="136"/>
        <v>4.1250000000000002E-2</v>
      </c>
      <c r="CF136" s="605">
        <f t="shared" si="137"/>
        <v>100</v>
      </c>
      <c r="CG136" s="621">
        <f t="shared" si="138"/>
        <v>4.1250000000000002E-2</v>
      </c>
      <c r="CH136" s="553">
        <f t="shared" si="139"/>
        <v>4.1250000000000002E-2</v>
      </c>
      <c r="CI136" s="552">
        <v>5</v>
      </c>
      <c r="CJ136" s="551">
        <f t="shared" si="140"/>
        <v>0.25</v>
      </c>
      <c r="CK136" s="874">
        <v>0</v>
      </c>
      <c r="CL136" s="533">
        <f t="shared" si="141"/>
        <v>5</v>
      </c>
      <c r="CM136" s="619">
        <f t="shared" si="142"/>
        <v>0</v>
      </c>
      <c r="CN136" s="619">
        <f t="shared" si="143"/>
        <v>0</v>
      </c>
      <c r="CO136" s="619">
        <f t="shared" si="144"/>
        <v>0</v>
      </c>
      <c r="CP136" s="619">
        <f t="shared" si="145"/>
        <v>0</v>
      </c>
      <c r="CQ136" s="619">
        <f t="shared" si="146"/>
        <v>0</v>
      </c>
      <c r="CR136" s="546">
        <v>50000000</v>
      </c>
      <c r="CS136" s="546">
        <v>50000000</v>
      </c>
      <c r="CT136" s="546">
        <v>0</v>
      </c>
      <c r="CU136" s="546">
        <v>0</v>
      </c>
      <c r="CV136" s="546">
        <v>0</v>
      </c>
      <c r="CW136" s="546">
        <v>0</v>
      </c>
      <c r="CX136" s="546">
        <v>0</v>
      </c>
      <c r="CY136" s="546">
        <v>0</v>
      </c>
      <c r="CZ136" s="618">
        <v>0</v>
      </c>
      <c r="DA136" s="618">
        <v>0</v>
      </c>
      <c r="DB136" s="618">
        <v>0</v>
      </c>
      <c r="DC136" s="618">
        <v>0</v>
      </c>
      <c r="DD136" s="618">
        <v>0</v>
      </c>
      <c r="DE136" s="618">
        <v>0</v>
      </c>
      <c r="DF136" s="618">
        <v>0</v>
      </c>
      <c r="DG136" s="618">
        <v>0</v>
      </c>
      <c r="DH136" s="618">
        <v>0</v>
      </c>
      <c r="DI136" s="618">
        <v>0</v>
      </c>
      <c r="DJ136" s="618">
        <v>0</v>
      </c>
      <c r="DK136" s="1034">
        <f t="shared" si="147"/>
        <v>4</v>
      </c>
      <c r="DL136" s="543">
        <f t="shared" si="148"/>
        <v>0.16500000000000001</v>
      </c>
      <c r="DM136" s="542">
        <f t="shared" si="149"/>
        <v>80</v>
      </c>
      <c r="DN136" s="594">
        <f t="shared" si="150"/>
        <v>80</v>
      </c>
      <c r="DO136" s="540">
        <f t="shared" si="151"/>
        <v>0.13200000000000001</v>
      </c>
      <c r="DP136" s="597">
        <f>+IF(M136="M",DO136,0)</f>
        <v>0.13200000000000001</v>
      </c>
      <c r="DQ136" s="538">
        <f t="shared" si="152"/>
        <v>0.13200000000000001</v>
      </c>
      <c r="DR136" s="617">
        <f t="shared" si="153"/>
        <v>1</v>
      </c>
      <c r="DS136" s="616">
        <f t="shared" si="154"/>
        <v>0</v>
      </c>
      <c r="DT136" s="259">
        <v>160</v>
      </c>
      <c r="DU136" s="260" t="s">
        <v>575</v>
      </c>
      <c r="DV136" s="259"/>
      <c r="DW136" s="260" t="s">
        <v>242</v>
      </c>
      <c r="DX136" s="259"/>
      <c r="DY136" s="259"/>
      <c r="DZ136" s="259"/>
      <c r="EA136" s="987"/>
      <c r="EB136" s="1041" t="s">
        <v>2478</v>
      </c>
      <c r="EC136" s="802">
        <v>40000000</v>
      </c>
      <c r="EE136" s="1047"/>
    </row>
    <row r="137" spans="4:135" s="534" customFormat="1" ht="127.5" hidden="1" x14ac:dyDescent="0.3">
      <c r="D137" s="783">
        <v>134</v>
      </c>
      <c r="E137" s="799">
        <v>170</v>
      </c>
      <c r="F137" s="787" t="s">
        <v>200</v>
      </c>
      <c r="G137" s="787" t="s">
        <v>239</v>
      </c>
      <c r="H137" s="788" t="s">
        <v>131</v>
      </c>
      <c r="I137" s="712" t="s">
        <v>346</v>
      </c>
      <c r="J137" s="573" t="s">
        <v>592</v>
      </c>
      <c r="K137" s="573" t="s">
        <v>593</v>
      </c>
      <c r="L137" s="702" t="s">
        <v>2241</v>
      </c>
      <c r="M137" s="570" t="s">
        <v>2017</v>
      </c>
      <c r="N137" s="570">
        <v>92</v>
      </c>
      <c r="O137" s="570">
        <f>+N137+P137</f>
        <v>192</v>
      </c>
      <c r="P137" s="569">
        <v>100</v>
      </c>
      <c r="Q137" s="628">
        <v>0.16500000000000001</v>
      </c>
      <c r="R137" s="580">
        <f t="shared" si="118"/>
        <v>4.1250000000000002E-2</v>
      </c>
      <c r="S137" s="708">
        <v>25</v>
      </c>
      <c r="T137" s="625">
        <f t="shared" si="119"/>
        <v>0.25</v>
      </c>
      <c r="U137" s="992">
        <v>47</v>
      </c>
      <c r="V137" s="626">
        <f t="shared" si="120"/>
        <v>47</v>
      </c>
      <c r="W137" s="594">
        <f t="shared" si="121"/>
        <v>188</v>
      </c>
      <c r="X137" s="594">
        <f t="shared" si="122"/>
        <v>100</v>
      </c>
      <c r="Y137" s="594">
        <f t="shared" si="98"/>
        <v>4.1250000000000002E-2</v>
      </c>
      <c r="Z137" s="594">
        <f t="shared" si="123"/>
        <v>100</v>
      </c>
      <c r="AA137" s="546">
        <v>54000000</v>
      </c>
      <c r="AB137" s="546">
        <v>54000000</v>
      </c>
      <c r="AC137" s="546">
        <v>0</v>
      </c>
      <c r="AD137" s="546">
        <v>0</v>
      </c>
      <c r="AE137" s="546">
        <v>0</v>
      </c>
      <c r="AF137" s="546">
        <v>0</v>
      </c>
      <c r="AG137" s="546">
        <v>0</v>
      </c>
      <c r="AH137" s="546">
        <v>0</v>
      </c>
      <c r="AI137" s="546">
        <v>0</v>
      </c>
      <c r="AJ137" s="546">
        <v>0</v>
      </c>
      <c r="AK137" s="546">
        <v>0</v>
      </c>
      <c r="AL137" s="546">
        <v>0</v>
      </c>
      <c r="AM137" s="546">
        <v>0</v>
      </c>
      <c r="AN137" s="546">
        <v>0</v>
      </c>
      <c r="AO137" s="546">
        <v>0</v>
      </c>
      <c r="AP137" s="546">
        <v>0</v>
      </c>
      <c r="AQ137" s="546">
        <v>0</v>
      </c>
      <c r="AR137" s="546">
        <v>18182000</v>
      </c>
      <c r="AS137" s="546" t="s">
        <v>2240</v>
      </c>
      <c r="AT137" s="580">
        <f t="shared" si="124"/>
        <v>4.1250000000000002E-2</v>
      </c>
      <c r="AU137" s="570">
        <v>25</v>
      </c>
      <c r="AV137" s="625">
        <f t="shared" si="125"/>
        <v>0.25</v>
      </c>
      <c r="AW137" s="1003">
        <v>84</v>
      </c>
      <c r="AX137" s="604">
        <f t="shared" si="126"/>
        <v>84</v>
      </c>
      <c r="AY137" s="604">
        <f t="shared" si="127"/>
        <v>336</v>
      </c>
      <c r="AZ137" s="604">
        <f t="shared" si="128"/>
        <v>100</v>
      </c>
      <c r="BA137" s="592">
        <f t="shared" si="129"/>
        <v>4.1250000000000002E-2</v>
      </c>
      <c r="BB137" s="592">
        <f t="shared" si="130"/>
        <v>100</v>
      </c>
      <c r="BC137" s="591">
        <v>445000000</v>
      </c>
      <c r="BD137" s="591">
        <v>0</v>
      </c>
      <c r="BE137" s="591">
        <v>125000000</v>
      </c>
      <c r="BF137" s="591">
        <v>0</v>
      </c>
      <c r="BG137" s="591">
        <v>0</v>
      </c>
      <c r="BH137" s="591">
        <v>0</v>
      </c>
      <c r="BI137" s="591">
        <v>0</v>
      </c>
      <c r="BJ137" s="591">
        <v>320000000</v>
      </c>
      <c r="BK137" s="700">
        <v>40194250</v>
      </c>
      <c r="BL137" s="589">
        <v>40194250</v>
      </c>
      <c r="BM137" s="589">
        <v>0</v>
      </c>
      <c r="BN137" s="589">
        <v>0</v>
      </c>
      <c r="BO137" s="589">
        <v>0</v>
      </c>
      <c r="BP137" s="589">
        <v>0</v>
      </c>
      <c r="BQ137" s="589">
        <v>0</v>
      </c>
      <c r="BR137" s="589">
        <v>0</v>
      </c>
      <c r="BS137" s="589">
        <v>0</v>
      </c>
      <c r="BT137" s="589">
        <v>0</v>
      </c>
      <c r="BU137" s="589">
        <v>0</v>
      </c>
      <c r="BV137" s="588">
        <f t="shared" si="131"/>
        <v>4.1250000000000002E-2</v>
      </c>
      <c r="BW137" s="588">
        <v>25</v>
      </c>
      <c r="BX137" s="623">
        <f t="shared" si="132"/>
        <v>0.25</v>
      </c>
      <c r="BY137" s="607">
        <v>100</v>
      </c>
      <c r="BZ137" s="629">
        <v>215</v>
      </c>
      <c r="CA137" s="1017">
        <v>120</v>
      </c>
      <c r="CB137" s="557">
        <f t="shared" si="133"/>
        <v>120</v>
      </c>
      <c r="CC137" s="557">
        <f t="shared" si="134"/>
        <v>480</v>
      </c>
      <c r="CD137" s="622">
        <f t="shared" si="135"/>
        <v>100</v>
      </c>
      <c r="CE137" s="621">
        <f t="shared" si="136"/>
        <v>4.1250000000000002E-2</v>
      </c>
      <c r="CF137" s="605">
        <f t="shared" si="137"/>
        <v>100</v>
      </c>
      <c r="CG137" s="621">
        <f t="shared" si="138"/>
        <v>0.19800000000000001</v>
      </c>
      <c r="CH137" s="553">
        <f t="shared" si="139"/>
        <v>4.1250000000000002E-2</v>
      </c>
      <c r="CI137" s="552">
        <v>25</v>
      </c>
      <c r="CJ137" s="551">
        <f t="shared" si="140"/>
        <v>0.25</v>
      </c>
      <c r="CK137" s="874">
        <v>110</v>
      </c>
      <c r="CL137" s="533">
        <f t="shared" si="141"/>
        <v>-85</v>
      </c>
      <c r="CM137" s="619">
        <f t="shared" si="142"/>
        <v>110</v>
      </c>
      <c r="CN137" s="619">
        <f t="shared" si="143"/>
        <v>440</v>
      </c>
      <c r="CO137" s="549">
        <f t="shared" si="144"/>
        <v>100</v>
      </c>
      <c r="CP137" s="619">
        <f t="shared" si="145"/>
        <v>4.1250000000000002E-2</v>
      </c>
      <c r="CQ137" s="619">
        <f t="shared" si="146"/>
        <v>0.18150000000000002</v>
      </c>
      <c r="CR137" s="546">
        <v>445000000</v>
      </c>
      <c r="CS137" s="546">
        <v>125000000</v>
      </c>
      <c r="CT137" s="546">
        <v>0</v>
      </c>
      <c r="CU137" s="546">
        <v>0</v>
      </c>
      <c r="CV137" s="546">
        <v>0</v>
      </c>
      <c r="CW137" s="546">
        <v>0</v>
      </c>
      <c r="CX137" s="546">
        <v>0</v>
      </c>
      <c r="CY137" s="546">
        <v>320000000</v>
      </c>
      <c r="CZ137" s="618">
        <v>0</v>
      </c>
      <c r="DA137" s="618">
        <v>0</v>
      </c>
      <c r="DB137" s="618">
        <v>0</v>
      </c>
      <c r="DC137" s="618">
        <v>0</v>
      </c>
      <c r="DD137" s="618">
        <v>0</v>
      </c>
      <c r="DE137" s="618">
        <v>0</v>
      </c>
      <c r="DF137" s="618">
        <v>0</v>
      </c>
      <c r="DG137" s="618">
        <v>0</v>
      </c>
      <c r="DH137" s="618">
        <v>0</v>
      </c>
      <c r="DI137" s="618">
        <v>0</v>
      </c>
      <c r="DJ137" s="618">
        <v>0</v>
      </c>
      <c r="DK137" s="1034">
        <f t="shared" si="147"/>
        <v>361</v>
      </c>
      <c r="DL137" s="543">
        <f t="shared" si="148"/>
        <v>0.16500000000000001</v>
      </c>
      <c r="DM137" s="542">
        <f t="shared" si="149"/>
        <v>361</v>
      </c>
      <c r="DN137" s="594">
        <f t="shared" si="150"/>
        <v>100</v>
      </c>
      <c r="DO137" s="540">
        <f t="shared" si="151"/>
        <v>0.16500000000000001</v>
      </c>
      <c r="DP137" s="597">
        <f>+IF(((DN137*Q137)/100)&lt;Q137, ((DN137*Q137)/100),Q137)</f>
        <v>0.16500000000000001</v>
      </c>
      <c r="DQ137" s="538">
        <f t="shared" si="152"/>
        <v>0.16500000000000001</v>
      </c>
      <c r="DR137" s="617">
        <f t="shared" si="153"/>
        <v>1</v>
      </c>
      <c r="DS137" s="616">
        <f t="shared" si="154"/>
        <v>0</v>
      </c>
      <c r="DT137" s="259">
        <v>160</v>
      </c>
      <c r="DU137" s="260" t="s">
        <v>575</v>
      </c>
      <c r="DV137" s="259"/>
      <c r="DW137" s="260" t="s">
        <v>242</v>
      </c>
      <c r="DX137" s="259"/>
      <c r="DY137" s="259"/>
      <c r="DZ137" s="259"/>
      <c r="EA137" s="987"/>
      <c r="EB137" s="1041" t="s">
        <v>2392</v>
      </c>
      <c r="EC137" s="802">
        <v>445000000</v>
      </c>
      <c r="EE137" s="1047"/>
    </row>
    <row r="138" spans="4:135" s="534" customFormat="1" ht="63.75" hidden="1" x14ac:dyDescent="0.3">
      <c r="D138" s="783">
        <v>135</v>
      </c>
      <c r="E138" s="799">
        <v>171</v>
      </c>
      <c r="F138" s="574" t="s">
        <v>200</v>
      </c>
      <c r="G138" s="574" t="s">
        <v>7</v>
      </c>
      <c r="H138" s="574" t="s">
        <v>131</v>
      </c>
      <c r="I138" s="574" t="s">
        <v>366</v>
      </c>
      <c r="J138" s="573" t="s">
        <v>1432</v>
      </c>
      <c r="K138" s="573" t="s">
        <v>594</v>
      </c>
      <c r="L138" s="701" t="s">
        <v>2201</v>
      </c>
      <c r="M138" s="570" t="s">
        <v>2032</v>
      </c>
      <c r="N138" s="570">
        <v>0</v>
      </c>
      <c r="O138" s="570">
        <f>+P138</f>
        <v>100</v>
      </c>
      <c r="P138" s="569">
        <v>100</v>
      </c>
      <c r="Q138" s="631">
        <v>8.8999999999999996E-2</v>
      </c>
      <c r="R138" s="580">
        <f t="shared" si="118"/>
        <v>2.2249999999999999E-2</v>
      </c>
      <c r="S138" s="708">
        <v>100</v>
      </c>
      <c r="T138" s="625">
        <f t="shared" si="119"/>
        <v>0.25</v>
      </c>
      <c r="U138" s="992">
        <v>100</v>
      </c>
      <c r="V138" s="626">
        <f t="shared" si="120"/>
        <v>25</v>
      </c>
      <c r="W138" s="594">
        <f t="shared" si="121"/>
        <v>100</v>
      </c>
      <c r="X138" s="594">
        <f t="shared" si="122"/>
        <v>100</v>
      </c>
      <c r="Y138" s="594">
        <f t="shared" si="98"/>
        <v>2.2250000000000002E-2</v>
      </c>
      <c r="Z138" s="594">
        <f t="shared" si="123"/>
        <v>100</v>
      </c>
      <c r="AA138" s="546">
        <v>0</v>
      </c>
      <c r="AB138" s="546">
        <v>0</v>
      </c>
      <c r="AC138" s="546">
        <v>0</v>
      </c>
      <c r="AD138" s="546">
        <v>0</v>
      </c>
      <c r="AE138" s="546">
        <v>0</v>
      </c>
      <c r="AF138" s="546">
        <v>0</v>
      </c>
      <c r="AG138" s="546">
        <v>0</v>
      </c>
      <c r="AH138" s="546">
        <v>0</v>
      </c>
      <c r="AI138" s="546">
        <v>0</v>
      </c>
      <c r="AJ138" s="546">
        <v>0</v>
      </c>
      <c r="AK138" s="546">
        <v>0</v>
      </c>
      <c r="AL138" s="546">
        <v>0</v>
      </c>
      <c r="AM138" s="546">
        <v>0</v>
      </c>
      <c r="AN138" s="546">
        <v>0</v>
      </c>
      <c r="AO138" s="546">
        <v>0</v>
      </c>
      <c r="AP138" s="546">
        <v>0</v>
      </c>
      <c r="AQ138" s="546">
        <v>0</v>
      </c>
      <c r="AR138" s="546">
        <v>0</v>
      </c>
      <c r="AS138" s="546">
        <v>0</v>
      </c>
      <c r="AT138" s="630">
        <f t="shared" si="124"/>
        <v>2.2249999999999999E-2</v>
      </c>
      <c r="AU138" s="570">
        <v>100</v>
      </c>
      <c r="AV138" s="625">
        <f t="shared" si="125"/>
        <v>0.25</v>
      </c>
      <c r="AW138" s="1003">
        <v>100</v>
      </c>
      <c r="AX138" s="604">
        <f t="shared" si="126"/>
        <v>25</v>
      </c>
      <c r="AY138" s="604">
        <f t="shared" si="127"/>
        <v>100</v>
      </c>
      <c r="AZ138" s="604">
        <f t="shared" si="128"/>
        <v>100</v>
      </c>
      <c r="BA138" s="592">
        <f t="shared" si="129"/>
        <v>2.2250000000000002E-2</v>
      </c>
      <c r="BB138" s="592">
        <f t="shared" si="130"/>
        <v>100</v>
      </c>
      <c r="BC138" s="591">
        <v>3000000</v>
      </c>
      <c r="BD138" s="591">
        <v>0</v>
      </c>
      <c r="BE138" s="591">
        <v>3000000</v>
      </c>
      <c r="BF138" s="591">
        <v>0</v>
      </c>
      <c r="BG138" s="591">
        <v>0</v>
      </c>
      <c r="BH138" s="591">
        <v>0</v>
      </c>
      <c r="BI138" s="591">
        <v>0</v>
      </c>
      <c r="BJ138" s="591">
        <v>0</v>
      </c>
      <c r="BK138" s="700">
        <v>0</v>
      </c>
      <c r="BL138" s="589">
        <v>0</v>
      </c>
      <c r="BM138" s="589">
        <v>0</v>
      </c>
      <c r="BN138" s="589">
        <v>0</v>
      </c>
      <c r="BO138" s="589">
        <v>0</v>
      </c>
      <c r="BP138" s="589">
        <v>0</v>
      </c>
      <c r="BQ138" s="589">
        <v>0</v>
      </c>
      <c r="BR138" s="589">
        <v>0</v>
      </c>
      <c r="BS138" s="589">
        <v>0</v>
      </c>
      <c r="BT138" s="589">
        <v>0</v>
      </c>
      <c r="BU138" s="589">
        <v>0</v>
      </c>
      <c r="BV138" s="588">
        <f t="shared" si="131"/>
        <v>2.2249999999999999E-2</v>
      </c>
      <c r="BW138" s="588">
        <v>100</v>
      </c>
      <c r="BX138" s="623">
        <f t="shared" si="132"/>
        <v>0.25</v>
      </c>
      <c r="BY138" s="639">
        <v>0</v>
      </c>
      <c r="BZ138" s="638">
        <v>0</v>
      </c>
      <c r="CA138" s="1018">
        <v>100</v>
      </c>
      <c r="CB138" s="557">
        <f t="shared" si="133"/>
        <v>25</v>
      </c>
      <c r="CC138" s="557">
        <f t="shared" si="134"/>
        <v>100</v>
      </c>
      <c r="CD138" s="622">
        <f t="shared" si="135"/>
        <v>100</v>
      </c>
      <c r="CE138" s="621">
        <f t="shared" si="136"/>
        <v>2.2250000000000002E-2</v>
      </c>
      <c r="CF138" s="605">
        <f t="shared" si="137"/>
        <v>100</v>
      </c>
      <c r="CG138" s="621">
        <f t="shared" si="138"/>
        <v>2.2250000000000002E-2</v>
      </c>
      <c r="CH138" s="553">
        <f t="shared" si="139"/>
        <v>2.2249999999999999E-2</v>
      </c>
      <c r="CI138" s="552">
        <v>100</v>
      </c>
      <c r="CJ138" s="551">
        <f t="shared" si="140"/>
        <v>0.25</v>
      </c>
      <c r="CK138" s="874">
        <v>0</v>
      </c>
      <c r="CL138" s="533">
        <f t="shared" si="141"/>
        <v>100</v>
      </c>
      <c r="CM138" s="619">
        <f t="shared" si="142"/>
        <v>0</v>
      </c>
      <c r="CN138" s="619">
        <f t="shared" si="143"/>
        <v>0</v>
      </c>
      <c r="CO138" s="619">
        <f t="shared" si="144"/>
        <v>0</v>
      </c>
      <c r="CP138" s="619">
        <f t="shared" si="145"/>
        <v>0</v>
      </c>
      <c r="CQ138" s="619">
        <f t="shared" si="146"/>
        <v>0</v>
      </c>
      <c r="CR138" s="546">
        <v>6000000</v>
      </c>
      <c r="CS138" s="546">
        <v>6000000</v>
      </c>
      <c r="CT138" s="546">
        <v>0</v>
      </c>
      <c r="CU138" s="546">
        <v>0</v>
      </c>
      <c r="CV138" s="546">
        <v>0</v>
      </c>
      <c r="CW138" s="546">
        <v>0</v>
      </c>
      <c r="CX138" s="546">
        <v>0</v>
      </c>
      <c r="CY138" s="546">
        <v>0</v>
      </c>
      <c r="CZ138" s="618">
        <v>0</v>
      </c>
      <c r="DA138" s="618">
        <v>0</v>
      </c>
      <c r="DB138" s="618">
        <v>0</v>
      </c>
      <c r="DC138" s="618">
        <v>0</v>
      </c>
      <c r="DD138" s="618">
        <v>0</v>
      </c>
      <c r="DE138" s="618">
        <v>0</v>
      </c>
      <c r="DF138" s="618">
        <v>0</v>
      </c>
      <c r="DG138" s="618">
        <v>0</v>
      </c>
      <c r="DH138" s="618">
        <v>0</v>
      </c>
      <c r="DI138" s="618">
        <v>0</v>
      </c>
      <c r="DJ138" s="618">
        <v>0</v>
      </c>
      <c r="DK138" s="1034">
        <f t="shared" si="147"/>
        <v>75</v>
      </c>
      <c r="DL138" s="543">
        <f t="shared" si="148"/>
        <v>8.8999999999999996E-2</v>
      </c>
      <c r="DM138" s="542">
        <f t="shared" si="149"/>
        <v>75</v>
      </c>
      <c r="DN138" s="594">
        <f t="shared" si="150"/>
        <v>75</v>
      </c>
      <c r="DO138" s="540">
        <f t="shared" si="151"/>
        <v>6.6750000000000004E-2</v>
      </c>
      <c r="DP138" s="597">
        <f>+IF(M138="M",DO138,0)</f>
        <v>6.6750000000000004E-2</v>
      </c>
      <c r="DQ138" s="538">
        <f t="shared" si="152"/>
        <v>6.6750000000000004E-2</v>
      </c>
      <c r="DR138" s="617">
        <f t="shared" si="153"/>
        <v>1</v>
      </c>
      <c r="DS138" s="616">
        <f t="shared" si="154"/>
        <v>0</v>
      </c>
      <c r="DT138" s="259">
        <v>160</v>
      </c>
      <c r="DU138" s="260" t="s">
        <v>575</v>
      </c>
      <c r="DV138" s="259"/>
      <c r="DW138" s="260" t="s">
        <v>242</v>
      </c>
      <c r="DX138" s="259"/>
      <c r="DY138" s="259"/>
      <c r="DZ138" s="259"/>
      <c r="EA138" s="987"/>
      <c r="EB138" s="1041" t="s">
        <v>2479</v>
      </c>
      <c r="EC138" s="802">
        <v>6000000</v>
      </c>
      <c r="EE138" s="1047"/>
    </row>
    <row r="139" spans="4:135" s="534" customFormat="1" ht="51" hidden="1" x14ac:dyDescent="0.3">
      <c r="D139" s="783">
        <v>136</v>
      </c>
      <c r="E139" s="799">
        <v>172</v>
      </c>
      <c r="F139" s="574" t="s">
        <v>200</v>
      </c>
      <c r="G139" s="574" t="s">
        <v>7</v>
      </c>
      <c r="H139" s="574" t="s">
        <v>131</v>
      </c>
      <c r="I139" s="574" t="s">
        <v>366</v>
      </c>
      <c r="J139" s="573" t="s">
        <v>1433</v>
      </c>
      <c r="K139" s="573" t="s">
        <v>1486</v>
      </c>
      <c r="L139" s="702" t="s">
        <v>1682</v>
      </c>
      <c r="M139" s="715" t="s">
        <v>2032</v>
      </c>
      <c r="N139" s="570">
        <v>0</v>
      </c>
      <c r="O139" s="570">
        <f>+P139</f>
        <v>100</v>
      </c>
      <c r="P139" s="714">
        <v>100</v>
      </c>
      <c r="Q139" s="631">
        <v>8.8999999999999996E-2</v>
      </c>
      <c r="R139" s="580">
        <f t="shared" si="118"/>
        <v>2.2249999999999999E-2</v>
      </c>
      <c r="S139" s="708">
        <v>100</v>
      </c>
      <c r="T139" s="625">
        <f t="shared" si="119"/>
        <v>0.25</v>
      </c>
      <c r="U139" s="992">
        <v>800</v>
      </c>
      <c r="V139" s="626">
        <f t="shared" si="120"/>
        <v>200</v>
      </c>
      <c r="W139" s="594">
        <f t="shared" si="121"/>
        <v>800</v>
      </c>
      <c r="X139" s="594">
        <f t="shared" si="122"/>
        <v>100</v>
      </c>
      <c r="Y139" s="594">
        <f t="shared" si="98"/>
        <v>2.2250000000000002E-2</v>
      </c>
      <c r="Z139" s="594">
        <f t="shared" si="123"/>
        <v>100</v>
      </c>
      <c r="AA139" s="546">
        <v>0</v>
      </c>
      <c r="AB139" s="546">
        <v>0</v>
      </c>
      <c r="AC139" s="546">
        <v>0</v>
      </c>
      <c r="AD139" s="546">
        <v>0</v>
      </c>
      <c r="AE139" s="546">
        <v>0</v>
      </c>
      <c r="AF139" s="546">
        <v>0</v>
      </c>
      <c r="AG139" s="546">
        <v>0</v>
      </c>
      <c r="AH139" s="546">
        <v>0</v>
      </c>
      <c r="AI139" s="546">
        <v>0</v>
      </c>
      <c r="AJ139" s="546">
        <v>0</v>
      </c>
      <c r="AK139" s="546">
        <v>0</v>
      </c>
      <c r="AL139" s="546">
        <v>0</v>
      </c>
      <c r="AM139" s="546">
        <v>0</v>
      </c>
      <c r="AN139" s="546">
        <v>0</v>
      </c>
      <c r="AO139" s="546">
        <v>0</v>
      </c>
      <c r="AP139" s="546">
        <v>0</v>
      </c>
      <c r="AQ139" s="546">
        <v>0</v>
      </c>
      <c r="AR139" s="546">
        <v>0</v>
      </c>
      <c r="AS139" s="546">
        <v>0</v>
      </c>
      <c r="AT139" s="630">
        <f t="shared" si="124"/>
        <v>2.2249999999999999E-2</v>
      </c>
      <c r="AU139" s="570">
        <v>100</v>
      </c>
      <c r="AV139" s="625">
        <f t="shared" si="125"/>
        <v>0.25</v>
      </c>
      <c r="AW139" s="1003">
        <v>0</v>
      </c>
      <c r="AX139" s="604">
        <f t="shared" si="126"/>
        <v>0</v>
      </c>
      <c r="AY139" s="604">
        <f t="shared" si="127"/>
        <v>0</v>
      </c>
      <c r="AZ139" s="604">
        <f t="shared" si="128"/>
        <v>0</v>
      </c>
      <c r="BA139" s="592">
        <f t="shared" si="129"/>
        <v>0</v>
      </c>
      <c r="BB139" s="592">
        <f t="shared" si="130"/>
        <v>0</v>
      </c>
      <c r="BC139" s="591">
        <v>3000000</v>
      </c>
      <c r="BD139" s="591">
        <v>0</v>
      </c>
      <c r="BE139" s="591">
        <v>3000000</v>
      </c>
      <c r="BF139" s="591">
        <v>0</v>
      </c>
      <c r="BG139" s="591">
        <v>0</v>
      </c>
      <c r="BH139" s="591">
        <v>0</v>
      </c>
      <c r="BI139" s="591">
        <v>0</v>
      </c>
      <c r="BJ139" s="591">
        <v>0</v>
      </c>
      <c r="BK139" s="700">
        <v>0</v>
      </c>
      <c r="BL139" s="589">
        <v>0</v>
      </c>
      <c r="BM139" s="589">
        <v>0</v>
      </c>
      <c r="BN139" s="589">
        <v>0</v>
      </c>
      <c r="BO139" s="589">
        <v>0</v>
      </c>
      <c r="BP139" s="589">
        <v>0</v>
      </c>
      <c r="BQ139" s="589">
        <v>0</v>
      </c>
      <c r="BR139" s="589">
        <v>0</v>
      </c>
      <c r="BS139" s="589">
        <v>0</v>
      </c>
      <c r="BT139" s="589">
        <v>0</v>
      </c>
      <c r="BU139" s="589">
        <v>0</v>
      </c>
      <c r="BV139" s="588">
        <f t="shared" si="131"/>
        <v>2.2249999999999999E-2</v>
      </c>
      <c r="BW139" s="588">
        <v>100</v>
      </c>
      <c r="BX139" s="623">
        <f t="shared" si="132"/>
        <v>0.25</v>
      </c>
      <c r="BY139" s="639">
        <v>0</v>
      </c>
      <c r="BZ139" s="638">
        <v>0</v>
      </c>
      <c r="CA139" s="1018">
        <v>100</v>
      </c>
      <c r="CB139" s="557">
        <f t="shared" si="133"/>
        <v>25</v>
      </c>
      <c r="CC139" s="557">
        <f t="shared" si="134"/>
        <v>100</v>
      </c>
      <c r="CD139" s="622">
        <f t="shared" si="135"/>
        <v>100</v>
      </c>
      <c r="CE139" s="621">
        <f t="shared" si="136"/>
        <v>2.2250000000000002E-2</v>
      </c>
      <c r="CF139" s="605">
        <f t="shared" si="137"/>
        <v>100</v>
      </c>
      <c r="CG139" s="621">
        <f t="shared" si="138"/>
        <v>2.2250000000000002E-2</v>
      </c>
      <c r="CH139" s="553">
        <f t="shared" si="139"/>
        <v>2.2249999999999999E-2</v>
      </c>
      <c r="CI139" s="552">
        <v>100</v>
      </c>
      <c r="CJ139" s="551">
        <f t="shared" si="140"/>
        <v>0.25</v>
      </c>
      <c r="CK139" s="874">
        <v>0</v>
      </c>
      <c r="CL139" s="533">
        <f t="shared" si="141"/>
        <v>100</v>
      </c>
      <c r="CM139" s="619">
        <f t="shared" si="142"/>
        <v>0</v>
      </c>
      <c r="CN139" s="619">
        <f t="shared" si="143"/>
        <v>0</v>
      </c>
      <c r="CO139" s="619">
        <f t="shared" si="144"/>
        <v>0</v>
      </c>
      <c r="CP139" s="619">
        <f t="shared" si="145"/>
        <v>0</v>
      </c>
      <c r="CQ139" s="619">
        <f t="shared" si="146"/>
        <v>0</v>
      </c>
      <c r="CR139" s="546">
        <v>6000000</v>
      </c>
      <c r="CS139" s="546">
        <v>6000000</v>
      </c>
      <c r="CT139" s="546">
        <v>0</v>
      </c>
      <c r="CU139" s="546">
        <v>0</v>
      </c>
      <c r="CV139" s="546">
        <v>0</v>
      </c>
      <c r="CW139" s="546">
        <v>0</v>
      </c>
      <c r="CX139" s="546">
        <v>0</v>
      </c>
      <c r="CY139" s="546">
        <v>0</v>
      </c>
      <c r="CZ139" s="618">
        <v>0</v>
      </c>
      <c r="DA139" s="618">
        <v>0</v>
      </c>
      <c r="DB139" s="618">
        <v>0</v>
      </c>
      <c r="DC139" s="618">
        <v>0</v>
      </c>
      <c r="DD139" s="618">
        <v>0</v>
      </c>
      <c r="DE139" s="618">
        <v>0</v>
      </c>
      <c r="DF139" s="618">
        <v>0</v>
      </c>
      <c r="DG139" s="618">
        <v>0</v>
      </c>
      <c r="DH139" s="618">
        <v>0</v>
      </c>
      <c r="DI139" s="618">
        <v>0</v>
      </c>
      <c r="DJ139" s="618">
        <v>0</v>
      </c>
      <c r="DK139" s="1034">
        <f t="shared" si="147"/>
        <v>225</v>
      </c>
      <c r="DL139" s="543">
        <f t="shared" si="148"/>
        <v>8.8999999999999996E-2</v>
      </c>
      <c r="DM139" s="542">
        <f t="shared" si="149"/>
        <v>225</v>
      </c>
      <c r="DN139" s="594">
        <f t="shared" si="150"/>
        <v>100</v>
      </c>
      <c r="DO139" s="540">
        <f t="shared" si="151"/>
        <v>8.900000000000001E-2</v>
      </c>
      <c r="DP139" s="597">
        <f>+IF(M139="M",DO139,0)</f>
        <v>8.900000000000001E-2</v>
      </c>
      <c r="DQ139" s="538">
        <f t="shared" si="152"/>
        <v>8.900000000000001E-2</v>
      </c>
      <c r="DR139" s="617">
        <f t="shared" si="153"/>
        <v>1</v>
      </c>
      <c r="DS139" s="616">
        <f t="shared" si="154"/>
        <v>0</v>
      </c>
      <c r="DT139" s="259">
        <v>160</v>
      </c>
      <c r="DU139" s="260" t="s">
        <v>575</v>
      </c>
      <c r="DV139" s="259"/>
      <c r="DW139" s="260" t="s">
        <v>242</v>
      </c>
      <c r="DX139" s="259"/>
      <c r="DY139" s="259"/>
      <c r="DZ139" s="259"/>
      <c r="EA139" s="987"/>
      <c r="EB139" s="1041" t="s">
        <v>2461</v>
      </c>
      <c r="EC139" s="802">
        <v>6000000</v>
      </c>
      <c r="EE139" s="1047"/>
    </row>
    <row r="140" spans="4:135" s="534" customFormat="1" ht="96" hidden="1" x14ac:dyDescent="0.3">
      <c r="D140" s="783">
        <v>137</v>
      </c>
      <c r="E140" s="799">
        <v>173</v>
      </c>
      <c r="F140" s="787" t="s">
        <v>200</v>
      </c>
      <c r="G140" s="787" t="s">
        <v>12</v>
      </c>
      <c r="H140" s="788" t="s">
        <v>131</v>
      </c>
      <c r="I140" s="712" t="s">
        <v>366</v>
      </c>
      <c r="J140" s="573" t="s">
        <v>595</v>
      </c>
      <c r="K140" s="573" t="s">
        <v>596</v>
      </c>
      <c r="L140" s="702" t="s">
        <v>1682</v>
      </c>
      <c r="M140" s="570" t="s">
        <v>2017</v>
      </c>
      <c r="N140" s="570">
        <v>5650</v>
      </c>
      <c r="O140" s="570">
        <f>+N140+P140</f>
        <v>12150</v>
      </c>
      <c r="P140" s="569">
        <v>6500</v>
      </c>
      <c r="Q140" s="628">
        <v>0.16500000000000001</v>
      </c>
      <c r="R140" s="580">
        <f t="shared" si="118"/>
        <v>2.5384615384615387E-2</v>
      </c>
      <c r="S140" s="708">
        <v>1000</v>
      </c>
      <c r="T140" s="625">
        <f t="shared" si="119"/>
        <v>0.15384615384615385</v>
      </c>
      <c r="U140" s="992">
        <v>5220</v>
      </c>
      <c r="V140" s="626">
        <f t="shared" si="120"/>
        <v>5220</v>
      </c>
      <c r="W140" s="594">
        <f t="shared" si="121"/>
        <v>522</v>
      </c>
      <c r="X140" s="594">
        <f t="shared" si="122"/>
        <v>100</v>
      </c>
      <c r="Y140" s="594">
        <f t="shared" si="98"/>
        <v>2.5384615384615387E-2</v>
      </c>
      <c r="Z140" s="594">
        <f t="shared" si="123"/>
        <v>100</v>
      </c>
      <c r="AA140" s="546">
        <v>50000000</v>
      </c>
      <c r="AB140" s="546">
        <v>50000000</v>
      </c>
      <c r="AC140" s="546">
        <v>0</v>
      </c>
      <c r="AD140" s="546">
        <v>0</v>
      </c>
      <c r="AE140" s="546">
        <v>0</v>
      </c>
      <c r="AF140" s="546">
        <v>0</v>
      </c>
      <c r="AG140" s="546">
        <v>0</v>
      </c>
      <c r="AH140" s="546">
        <v>0</v>
      </c>
      <c r="AI140" s="546">
        <v>77282000</v>
      </c>
      <c r="AJ140" s="546">
        <v>77282000</v>
      </c>
      <c r="AK140" s="546">
        <v>0</v>
      </c>
      <c r="AL140" s="546">
        <v>0</v>
      </c>
      <c r="AM140" s="546">
        <v>0</v>
      </c>
      <c r="AN140" s="546">
        <v>0</v>
      </c>
      <c r="AO140" s="546">
        <v>0</v>
      </c>
      <c r="AP140" s="546">
        <v>0</v>
      </c>
      <c r="AQ140" s="546">
        <v>0</v>
      </c>
      <c r="AR140" s="546">
        <v>0</v>
      </c>
      <c r="AS140" s="546">
        <v>0</v>
      </c>
      <c r="AT140" s="580">
        <f t="shared" si="124"/>
        <v>6.3461538461538472E-2</v>
      </c>
      <c r="AU140" s="570">
        <v>2500</v>
      </c>
      <c r="AV140" s="625">
        <f t="shared" si="125"/>
        <v>0.38461538461538464</v>
      </c>
      <c r="AW140" s="1003">
        <v>2713</v>
      </c>
      <c r="AX140" s="604">
        <f t="shared" si="126"/>
        <v>2713</v>
      </c>
      <c r="AY140" s="604">
        <f t="shared" si="127"/>
        <v>108.52</v>
      </c>
      <c r="AZ140" s="604">
        <f t="shared" si="128"/>
        <v>100</v>
      </c>
      <c r="BA140" s="592">
        <f t="shared" si="129"/>
        <v>6.3461538461538472E-2</v>
      </c>
      <c r="BB140" s="592">
        <f t="shared" si="130"/>
        <v>100</v>
      </c>
      <c r="BC140" s="591">
        <v>70000000</v>
      </c>
      <c r="BD140" s="591">
        <v>0</v>
      </c>
      <c r="BE140" s="591">
        <v>30000000</v>
      </c>
      <c r="BF140" s="591">
        <v>0</v>
      </c>
      <c r="BG140" s="591">
        <v>0</v>
      </c>
      <c r="BH140" s="591">
        <v>0</v>
      </c>
      <c r="BI140" s="591">
        <v>0</v>
      </c>
      <c r="BJ140" s="591">
        <v>40000000</v>
      </c>
      <c r="BK140" s="700">
        <v>0</v>
      </c>
      <c r="BL140" s="589">
        <v>0</v>
      </c>
      <c r="BM140" s="589">
        <v>0</v>
      </c>
      <c r="BN140" s="589">
        <v>0</v>
      </c>
      <c r="BO140" s="589">
        <v>0</v>
      </c>
      <c r="BP140" s="589">
        <v>0</v>
      </c>
      <c r="BQ140" s="589">
        <v>0</v>
      </c>
      <c r="BR140" s="589">
        <v>0</v>
      </c>
      <c r="BS140" s="589">
        <v>0</v>
      </c>
      <c r="BT140" s="589">
        <v>0</v>
      </c>
      <c r="BU140" s="589">
        <v>0</v>
      </c>
      <c r="BV140" s="588">
        <f t="shared" si="131"/>
        <v>6.3461538461538472E-2</v>
      </c>
      <c r="BW140" s="588">
        <v>2500</v>
      </c>
      <c r="BX140" s="623">
        <f t="shared" si="132"/>
        <v>0.38461538461538464</v>
      </c>
      <c r="BY140" s="607">
        <v>1544</v>
      </c>
      <c r="BZ140" s="629">
        <v>1652</v>
      </c>
      <c r="CA140" s="1017">
        <v>2257</v>
      </c>
      <c r="CB140" s="557">
        <f t="shared" si="133"/>
        <v>2257</v>
      </c>
      <c r="CC140" s="557">
        <f t="shared" si="134"/>
        <v>90.28</v>
      </c>
      <c r="CD140" s="622">
        <f t="shared" si="135"/>
        <v>90.28</v>
      </c>
      <c r="CE140" s="621">
        <f t="shared" si="136"/>
        <v>5.7293076923076933E-2</v>
      </c>
      <c r="CF140" s="605">
        <f t="shared" si="137"/>
        <v>90.28</v>
      </c>
      <c r="CG140" s="621">
        <f t="shared" si="138"/>
        <v>5.7293076923076933E-2</v>
      </c>
      <c r="CH140" s="553">
        <f t="shared" si="139"/>
        <v>1.2692307692307694E-2</v>
      </c>
      <c r="CI140" s="552">
        <v>500</v>
      </c>
      <c r="CJ140" s="551">
        <f t="shared" si="140"/>
        <v>7.6923076923076927E-2</v>
      </c>
      <c r="CK140" s="874">
        <v>1165</v>
      </c>
      <c r="CL140" s="533">
        <f t="shared" si="141"/>
        <v>-665</v>
      </c>
      <c r="CM140" s="619">
        <f t="shared" si="142"/>
        <v>1165</v>
      </c>
      <c r="CN140" s="619">
        <f t="shared" si="143"/>
        <v>233</v>
      </c>
      <c r="CO140" s="549">
        <f t="shared" si="144"/>
        <v>100</v>
      </c>
      <c r="CP140" s="619">
        <f t="shared" si="145"/>
        <v>1.2692307692307694E-2</v>
      </c>
      <c r="CQ140" s="619">
        <f t="shared" si="146"/>
        <v>2.9573076923076928E-2</v>
      </c>
      <c r="CR140" s="546">
        <v>0</v>
      </c>
      <c r="CS140" s="546">
        <v>0</v>
      </c>
      <c r="CT140" s="546">
        <v>0</v>
      </c>
      <c r="CU140" s="546">
        <v>0</v>
      </c>
      <c r="CV140" s="546">
        <v>0</v>
      </c>
      <c r="CW140" s="546">
        <v>0</v>
      </c>
      <c r="CX140" s="546">
        <v>0</v>
      </c>
      <c r="CY140" s="546">
        <v>0</v>
      </c>
      <c r="CZ140" s="618">
        <v>0</v>
      </c>
      <c r="DA140" s="618">
        <v>0</v>
      </c>
      <c r="DB140" s="618">
        <v>0</v>
      </c>
      <c r="DC140" s="618">
        <v>0</v>
      </c>
      <c r="DD140" s="618">
        <v>0</v>
      </c>
      <c r="DE140" s="618">
        <v>0</v>
      </c>
      <c r="DF140" s="618">
        <v>0</v>
      </c>
      <c r="DG140" s="618">
        <v>0</v>
      </c>
      <c r="DH140" s="618">
        <v>0</v>
      </c>
      <c r="DI140" s="618">
        <v>0</v>
      </c>
      <c r="DJ140" s="618">
        <v>0</v>
      </c>
      <c r="DK140" s="1034">
        <f t="shared" si="147"/>
        <v>11355</v>
      </c>
      <c r="DL140" s="543">
        <f t="shared" si="148"/>
        <v>0.16500000000000001</v>
      </c>
      <c r="DM140" s="542">
        <f t="shared" si="149"/>
        <v>174.69230769230768</v>
      </c>
      <c r="DN140" s="594">
        <f t="shared" si="150"/>
        <v>100</v>
      </c>
      <c r="DO140" s="540">
        <f t="shared" si="151"/>
        <v>0.16500000000000001</v>
      </c>
      <c r="DP140" s="597">
        <f>+IF(((DN140*Q140)/100)&lt;Q140, ((DN140*Q140)/100),Q140)</f>
        <v>0.16500000000000001</v>
      </c>
      <c r="DQ140" s="538">
        <f t="shared" si="152"/>
        <v>0.16500000000000001</v>
      </c>
      <c r="DR140" s="617">
        <f t="shared" si="153"/>
        <v>1</v>
      </c>
      <c r="DS140" s="616">
        <f t="shared" si="154"/>
        <v>-2.4286128663675299E-17</v>
      </c>
      <c r="DT140" s="259">
        <v>619</v>
      </c>
      <c r="DU140" s="260" t="s">
        <v>431</v>
      </c>
      <c r="DV140" s="259"/>
      <c r="DW140" s="260" t="s">
        <v>242</v>
      </c>
      <c r="DX140" s="259"/>
      <c r="DY140" s="259"/>
      <c r="DZ140" s="259"/>
      <c r="EA140" s="987"/>
      <c r="EB140" s="1041" t="s">
        <v>2480</v>
      </c>
      <c r="EC140" s="802">
        <v>140000000</v>
      </c>
      <c r="EE140" s="1047"/>
    </row>
    <row r="141" spans="4:135" s="534" customFormat="1" ht="63.75" hidden="1" x14ac:dyDescent="0.3">
      <c r="D141" s="783">
        <v>138</v>
      </c>
      <c r="E141" s="799">
        <v>174</v>
      </c>
      <c r="F141" s="787" t="s">
        <v>200</v>
      </c>
      <c r="G141" s="787" t="s">
        <v>9</v>
      </c>
      <c r="H141" s="788" t="s">
        <v>131</v>
      </c>
      <c r="I141" s="713" t="s">
        <v>369</v>
      </c>
      <c r="J141" s="573" t="s">
        <v>597</v>
      </c>
      <c r="K141" s="573" t="s">
        <v>598</v>
      </c>
      <c r="L141" s="701" t="s">
        <v>2201</v>
      </c>
      <c r="M141" s="570" t="s">
        <v>2032</v>
      </c>
      <c r="N141" s="570">
        <v>0</v>
      </c>
      <c r="O141" s="570">
        <f>+P141</f>
        <v>100</v>
      </c>
      <c r="P141" s="569">
        <v>100</v>
      </c>
      <c r="Q141" s="628">
        <v>0.16500000000000001</v>
      </c>
      <c r="R141" s="580">
        <f t="shared" si="118"/>
        <v>4.1250000000000002E-2</v>
      </c>
      <c r="S141" s="708">
        <v>100</v>
      </c>
      <c r="T141" s="625">
        <f t="shared" si="119"/>
        <v>0.25</v>
      </c>
      <c r="U141" s="992">
        <v>100</v>
      </c>
      <c r="V141" s="626">
        <f t="shared" si="120"/>
        <v>25</v>
      </c>
      <c r="W141" s="594">
        <f t="shared" si="121"/>
        <v>100</v>
      </c>
      <c r="X141" s="594">
        <f t="shared" si="122"/>
        <v>100</v>
      </c>
      <c r="Y141" s="594">
        <f t="shared" si="98"/>
        <v>4.1250000000000002E-2</v>
      </c>
      <c r="Z141" s="594">
        <f t="shared" si="123"/>
        <v>100</v>
      </c>
      <c r="AA141" s="546">
        <v>0</v>
      </c>
      <c r="AB141" s="546">
        <v>0</v>
      </c>
      <c r="AC141" s="546">
        <v>0</v>
      </c>
      <c r="AD141" s="546">
        <v>0</v>
      </c>
      <c r="AE141" s="546">
        <v>0</v>
      </c>
      <c r="AF141" s="546">
        <v>0</v>
      </c>
      <c r="AG141" s="546">
        <v>0</v>
      </c>
      <c r="AH141" s="546">
        <v>0</v>
      </c>
      <c r="AI141" s="546">
        <v>0</v>
      </c>
      <c r="AJ141" s="546">
        <v>0</v>
      </c>
      <c r="AK141" s="546">
        <v>0</v>
      </c>
      <c r="AL141" s="546">
        <v>0</v>
      </c>
      <c r="AM141" s="546">
        <v>0</v>
      </c>
      <c r="AN141" s="546">
        <v>0</v>
      </c>
      <c r="AO141" s="546">
        <v>0</v>
      </c>
      <c r="AP141" s="546">
        <v>0</v>
      </c>
      <c r="AQ141" s="546">
        <v>0</v>
      </c>
      <c r="AR141" s="546">
        <v>0</v>
      </c>
      <c r="AS141" s="546" t="s">
        <v>2045</v>
      </c>
      <c r="AT141" s="580">
        <f t="shared" si="124"/>
        <v>4.1250000000000002E-2</v>
      </c>
      <c r="AU141" s="570">
        <v>100</v>
      </c>
      <c r="AV141" s="625">
        <f t="shared" si="125"/>
        <v>0.25</v>
      </c>
      <c r="AW141" s="1003">
        <v>100</v>
      </c>
      <c r="AX141" s="604">
        <f t="shared" si="126"/>
        <v>25</v>
      </c>
      <c r="AY141" s="604">
        <f t="shared" si="127"/>
        <v>100</v>
      </c>
      <c r="AZ141" s="604">
        <f t="shared" si="128"/>
        <v>100</v>
      </c>
      <c r="BA141" s="592">
        <f t="shared" si="129"/>
        <v>4.1250000000000002E-2</v>
      </c>
      <c r="BB141" s="592">
        <f t="shared" si="130"/>
        <v>100</v>
      </c>
      <c r="BC141" s="591">
        <v>0</v>
      </c>
      <c r="BD141" s="591">
        <v>0</v>
      </c>
      <c r="BE141" s="591">
        <v>0</v>
      </c>
      <c r="BF141" s="591">
        <v>0</v>
      </c>
      <c r="BG141" s="591">
        <v>0</v>
      </c>
      <c r="BH141" s="591">
        <v>0</v>
      </c>
      <c r="BI141" s="591">
        <v>0</v>
      </c>
      <c r="BJ141" s="591">
        <v>0</v>
      </c>
      <c r="BK141" s="700">
        <v>0</v>
      </c>
      <c r="BL141" s="589">
        <v>0</v>
      </c>
      <c r="BM141" s="589">
        <v>0</v>
      </c>
      <c r="BN141" s="589">
        <v>0</v>
      </c>
      <c r="BO141" s="589">
        <v>0</v>
      </c>
      <c r="BP141" s="589">
        <v>0</v>
      </c>
      <c r="BQ141" s="589">
        <v>0</v>
      </c>
      <c r="BR141" s="589">
        <v>0</v>
      </c>
      <c r="BS141" s="589">
        <v>0</v>
      </c>
      <c r="BT141" s="589">
        <v>0</v>
      </c>
      <c r="BU141" s="589">
        <v>0</v>
      </c>
      <c r="BV141" s="588">
        <f t="shared" si="131"/>
        <v>4.1250000000000002E-2</v>
      </c>
      <c r="BW141" s="588">
        <v>100</v>
      </c>
      <c r="BX141" s="623">
        <f t="shared" si="132"/>
        <v>0.25</v>
      </c>
      <c r="BY141" s="607">
        <v>116</v>
      </c>
      <c r="BZ141" s="629">
        <v>100</v>
      </c>
      <c r="CA141" s="1017">
        <v>100</v>
      </c>
      <c r="CB141" s="557">
        <f t="shared" si="133"/>
        <v>25</v>
      </c>
      <c r="CC141" s="557">
        <f t="shared" si="134"/>
        <v>100</v>
      </c>
      <c r="CD141" s="622">
        <f t="shared" si="135"/>
        <v>100</v>
      </c>
      <c r="CE141" s="621">
        <f t="shared" si="136"/>
        <v>4.1250000000000002E-2</v>
      </c>
      <c r="CF141" s="605">
        <f t="shared" si="137"/>
        <v>100</v>
      </c>
      <c r="CG141" s="621">
        <f t="shared" si="138"/>
        <v>4.1250000000000002E-2</v>
      </c>
      <c r="CH141" s="553">
        <f t="shared" si="139"/>
        <v>4.1250000000000002E-2</v>
      </c>
      <c r="CI141" s="552">
        <v>100</v>
      </c>
      <c r="CJ141" s="551">
        <f t="shared" si="140"/>
        <v>0.25</v>
      </c>
      <c r="CK141" s="871">
        <v>0</v>
      </c>
      <c r="CL141" s="533">
        <f t="shared" si="141"/>
        <v>100</v>
      </c>
      <c r="CM141" s="619">
        <f t="shared" si="142"/>
        <v>0</v>
      </c>
      <c r="CN141" s="619">
        <f t="shared" si="143"/>
        <v>0</v>
      </c>
      <c r="CO141" s="619">
        <f t="shared" si="144"/>
        <v>0</v>
      </c>
      <c r="CP141" s="619">
        <f t="shared" si="145"/>
        <v>0</v>
      </c>
      <c r="CQ141" s="619">
        <f t="shared" si="146"/>
        <v>0</v>
      </c>
      <c r="CR141" s="546">
        <v>0</v>
      </c>
      <c r="CS141" s="546">
        <v>0</v>
      </c>
      <c r="CT141" s="546">
        <v>0</v>
      </c>
      <c r="CU141" s="546">
        <v>0</v>
      </c>
      <c r="CV141" s="546">
        <v>0</v>
      </c>
      <c r="CW141" s="546">
        <v>0</v>
      </c>
      <c r="CX141" s="546">
        <v>0</v>
      </c>
      <c r="CY141" s="546">
        <v>0</v>
      </c>
      <c r="CZ141" s="618">
        <v>0</v>
      </c>
      <c r="DA141" s="618">
        <v>0</v>
      </c>
      <c r="DB141" s="618">
        <v>0</v>
      </c>
      <c r="DC141" s="618">
        <v>0</v>
      </c>
      <c r="DD141" s="618">
        <v>0</v>
      </c>
      <c r="DE141" s="618">
        <v>0</v>
      </c>
      <c r="DF141" s="618">
        <v>0</v>
      </c>
      <c r="DG141" s="618">
        <v>0</v>
      </c>
      <c r="DH141" s="618">
        <v>0</v>
      </c>
      <c r="DI141" s="618">
        <v>0</v>
      </c>
      <c r="DJ141" s="618">
        <v>0</v>
      </c>
      <c r="DK141" s="1034">
        <f t="shared" si="147"/>
        <v>75</v>
      </c>
      <c r="DL141" s="543">
        <f t="shared" si="148"/>
        <v>0.16500000000000001</v>
      </c>
      <c r="DM141" s="542">
        <f t="shared" si="149"/>
        <v>75</v>
      </c>
      <c r="DN141" s="594">
        <f t="shared" si="150"/>
        <v>75</v>
      </c>
      <c r="DO141" s="540">
        <f t="shared" si="151"/>
        <v>0.12375</v>
      </c>
      <c r="DP141" s="597">
        <f>+IF(M141="M",DO141,0)</f>
        <v>0.12375</v>
      </c>
      <c r="DQ141" s="538">
        <f t="shared" si="152"/>
        <v>0.12375</v>
      </c>
      <c r="DR141" s="617">
        <f t="shared" si="153"/>
        <v>1</v>
      </c>
      <c r="DS141" s="616">
        <f t="shared" si="154"/>
        <v>0</v>
      </c>
      <c r="DT141" s="259">
        <v>158</v>
      </c>
      <c r="DU141" s="260" t="s">
        <v>599</v>
      </c>
      <c r="DV141" s="259"/>
      <c r="DW141" s="260" t="s">
        <v>242</v>
      </c>
      <c r="DX141" s="259"/>
      <c r="DY141" s="259"/>
      <c r="DZ141" s="259"/>
      <c r="EA141" s="987"/>
      <c r="EB141" s="1041" t="s">
        <v>2481</v>
      </c>
      <c r="EC141" s="802">
        <v>0</v>
      </c>
      <c r="EE141" s="1047"/>
    </row>
    <row r="142" spans="4:135" s="534" customFormat="1" ht="63.75" hidden="1" x14ac:dyDescent="0.3">
      <c r="D142" s="783">
        <v>139</v>
      </c>
      <c r="E142" s="799">
        <v>175</v>
      </c>
      <c r="F142" s="787" t="s">
        <v>200</v>
      </c>
      <c r="G142" s="787" t="s">
        <v>9</v>
      </c>
      <c r="H142" s="788" t="s">
        <v>131</v>
      </c>
      <c r="I142" s="712" t="s">
        <v>369</v>
      </c>
      <c r="J142" s="573" t="s">
        <v>600</v>
      </c>
      <c r="K142" s="573" t="s">
        <v>572</v>
      </c>
      <c r="L142" s="702" t="s">
        <v>1593</v>
      </c>
      <c r="M142" s="570" t="s">
        <v>2017</v>
      </c>
      <c r="N142" s="570">
        <v>0</v>
      </c>
      <c r="O142" s="570">
        <f>+N142+P142</f>
        <v>116</v>
      </c>
      <c r="P142" s="569">
        <v>116</v>
      </c>
      <c r="Q142" s="628">
        <v>0.16500000000000001</v>
      </c>
      <c r="R142" s="580">
        <f t="shared" si="118"/>
        <v>0</v>
      </c>
      <c r="S142" s="708">
        <v>0</v>
      </c>
      <c r="T142" s="625">
        <f t="shared" si="119"/>
        <v>0</v>
      </c>
      <c r="U142" s="992">
        <v>0</v>
      </c>
      <c r="V142" s="626">
        <f t="shared" si="120"/>
        <v>0</v>
      </c>
      <c r="W142" s="594">
        <f t="shared" si="121"/>
        <v>0</v>
      </c>
      <c r="X142" s="594">
        <f t="shared" si="122"/>
        <v>0</v>
      </c>
      <c r="Y142" s="594">
        <f t="shared" si="98"/>
        <v>0</v>
      </c>
      <c r="Z142" s="594">
        <f t="shared" si="123"/>
        <v>0</v>
      </c>
      <c r="AA142" s="546">
        <v>0</v>
      </c>
      <c r="AB142" s="546">
        <v>0</v>
      </c>
      <c r="AC142" s="546">
        <v>0</v>
      </c>
      <c r="AD142" s="546">
        <v>0</v>
      </c>
      <c r="AE142" s="546">
        <v>0</v>
      </c>
      <c r="AF142" s="546">
        <v>0</v>
      </c>
      <c r="AG142" s="546">
        <v>0</v>
      </c>
      <c r="AH142" s="546">
        <v>0</v>
      </c>
      <c r="AI142" s="546">
        <v>0</v>
      </c>
      <c r="AJ142" s="546">
        <v>0</v>
      </c>
      <c r="AK142" s="546">
        <v>0</v>
      </c>
      <c r="AL142" s="546">
        <v>0</v>
      </c>
      <c r="AM142" s="546">
        <v>0</v>
      </c>
      <c r="AN142" s="546">
        <v>0</v>
      </c>
      <c r="AO142" s="546">
        <v>0</v>
      </c>
      <c r="AP142" s="546">
        <v>0</v>
      </c>
      <c r="AQ142" s="546">
        <v>0</v>
      </c>
      <c r="AR142" s="546">
        <v>0</v>
      </c>
      <c r="AS142" s="546" t="s">
        <v>2045</v>
      </c>
      <c r="AT142" s="580">
        <f t="shared" si="124"/>
        <v>0.16500000000000001</v>
      </c>
      <c r="AU142" s="570">
        <v>116</v>
      </c>
      <c r="AV142" s="625">
        <f t="shared" si="125"/>
        <v>1</v>
      </c>
      <c r="AW142" s="1003">
        <v>116</v>
      </c>
      <c r="AX142" s="604">
        <f t="shared" si="126"/>
        <v>116</v>
      </c>
      <c r="AY142" s="604">
        <f t="shared" si="127"/>
        <v>100</v>
      </c>
      <c r="AZ142" s="604">
        <f t="shared" si="128"/>
        <v>100</v>
      </c>
      <c r="BA142" s="592">
        <f t="shared" si="129"/>
        <v>0.16500000000000001</v>
      </c>
      <c r="BB142" s="592">
        <f t="shared" si="130"/>
        <v>100</v>
      </c>
      <c r="BC142" s="591">
        <v>50000000</v>
      </c>
      <c r="BD142" s="591">
        <v>0</v>
      </c>
      <c r="BE142" s="591">
        <v>50000000</v>
      </c>
      <c r="BF142" s="591">
        <v>0</v>
      </c>
      <c r="BG142" s="591">
        <v>0</v>
      </c>
      <c r="BH142" s="591">
        <v>0</v>
      </c>
      <c r="BI142" s="591">
        <v>0</v>
      </c>
      <c r="BJ142" s="591">
        <v>0</v>
      </c>
      <c r="BK142" s="700">
        <v>0</v>
      </c>
      <c r="BL142" s="589">
        <v>0</v>
      </c>
      <c r="BM142" s="589">
        <v>0</v>
      </c>
      <c r="BN142" s="589">
        <v>0</v>
      </c>
      <c r="BO142" s="589">
        <v>0</v>
      </c>
      <c r="BP142" s="589">
        <v>0</v>
      </c>
      <c r="BQ142" s="589">
        <v>0</v>
      </c>
      <c r="BR142" s="589">
        <v>0</v>
      </c>
      <c r="BS142" s="589">
        <v>0</v>
      </c>
      <c r="BT142" s="589">
        <v>0</v>
      </c>
      <c r="BU142" s="589">
        <v>0</v>
      </c>
      <c r="BV142" s="588">
        <f t="shared" si="131"/>
        <v>0</v>
      </c>
      <c r="BW142" s="588">
        <v>0</v>
      </c>
      <c r="BX142" s="623">
        <f t="shared" si="132"/>
        <v>0</v>
      </c>
      <c r="BY142" s="607">
        <v>116</v>
      </c>
      <c r="BZ142" s="629">
        <v>0</v>
      </c>
      <c r="CA142" s="1017">
        <v>0</v>
      </c>
      <c r="CB142" s="557">
        <f t="shared" si="133"/>
        <v>0</v>
      </c>
      <c r="CC142" s="557">
        <f t="shared" si="134"/>
        <v>0</v>
      </c>
      <c r="CD142" s="622">
        <f t="shared" si="135"/>
        <v>0</v>
      </c>
      <c r="CE142" s="621">
        <f t="shared" si="136"/>
        <v>0</v>
      </c>
      <c r="CF142" s="605">
        <f t="shared" si="137"/>
        <v>0</v>
      </c>
      <c r="CG142" s="621">
        <f t="shared" si="138"/>
        <v>0</v>
      </c>
      <c r="CH142" s="553">
        <f t="shared" si="139"/>
        <v>0</v>
      </c>
      <c r="CI142" s="552">
        <v>0</v>
      </c>
      <c r="CJ142" s="551">
        <f t="shared" si="140"/>
        <v>0</v>
      </c>
      <c r="CK142" s="871">
        <v>0</v>
      </c>
      <c r="CL142" s="533">
        <f t="shared" si="141"/>
        <v>0</v>
      </c>
      <c r="CM142" s="619">
        <f t="shared" si="142"/>
        <v>0</v>
      </c>
      <c r="CN142" s="619">
        <f t="shared" si="143"/>
        <v>0</v>
      </c>
      <c r="CO142" s="549">
        <f t="shared" si="144"/>
        <v>0</v>
      </c>
      <c r="CP142" s="619">
        <f t="shared" si="145"/>
        <v>0</v>
      </c>
      <c r="CQ142" s="619">
        <f t="shared" si="146"/>
        <v>0</v>
      </c>
      <c r="CR142" s="546">
        <v>0</v>
      </c>
      <c r="CS142" s="546">
        <v>0</v>
      </c>
      <c r="CT142" s="546">
        <v>0</v>
      </c>
      <c r="CU142" s="546">
        <v>0</v>
      </c>
      <c r="CV142" s="546">
        <v>0</v>
      </c>
      <c r="CW142" s="546">
        <v>0</v>
      </c>
      <c r="CX142" s="546">
        <v>0</v>
      </c>
      <c r="CY142" s="546">
        <v>0</v>
      </c>
      <c r="CZ142" s="618">
        <v>0</v>
      </c>
      <c r="DA142" s="618">
        <v>0</v>
      </c>
      <c r="DB142" s="618">
        <v>0</v>
      </c>
      <c r="DC142" s="618">
        <v>0</v>
      </c>
      <c r="DD142" s="618">
        <v>0</v>
      </c>
      <c r="DE142" s="618">
        <v>0</v>
      </c>
      <c r="DF142" s="618">
        <v>0</v>
      </c>
      <c r="DG142" s="618">
        <v>0</v>
      </c>
      <c r="DH142" s="618">
        <v>0</v>
      </c>
      <c r="DI142" s="618">
        <v>0</v>
      </c>
      <c r="DJ142" s="618">
        <v>0</v>
      </c>
      <c r="DK142" s="1034">
        <f t="shared" si="147"/>
        <v>116</v>
      </c>
      <c r="DL142" s="543">
        <f t="shared" si="148"/>
        <v>0.16500000000000001</v>
      </c>
      <c r="DM142" s="542">
        <f t="shared" si="149"/>
        <v>100</v>
      </c>
      <c r="DN142" s="594">
        <f t="shared" si="150"/>
        <v>100</v>
      </c>
      <c r="DO142" s="540">
        <f t="shared" si="151"/>
        <v>0.16500000000000001</v>
      </c>
      <c r="DP142" s="597">
        <f>+IF(((DN142*Q142)/100)&lt;Q142, ((DN142*Q142)/100),Q142)</f>
        <v>0.16500000000000001</v>
      </c>
      <c r="DQ142" s="538">
        <f t="shared" si="152"/>
        <v>0.16500000000000001</v>
      </c>
      <c r="DR142" s="617">
        <f t="shared" si="153"/>
        <v>1</v>
      </c>
      <c r="DS142" s="616">
        <f t="shared" si="154"/>
        <v>0</v>
      </c>
      <c r="DT142" s="259">
        <v>158</v>
      </c>
      <c r="DU142" s="260" t="s">
        <v>599</v>
      </c>
      <c r="DV142" s="259"/>
      <c r="DW142" s="260" t="s">
        <v>242</v>
      </c>
      <c r="DX142" s="259"/>
      <c r="DY142" s="259"/>
      <c r="DZ142" s="259"/>
      <c r="EA142" s="987"/>
      <c r="EB142" s="1041" t="s">
        <v>2482</v>
      </c>
      <c r="EC142" s="802">
        <v>0</v>
      </c>
      <c r="EE142" s="1047"/>
    </row>
    <row r="143" spans="4:135" s="534" customFormat="1" ht="76.5" hidden="1" x14ac:dyDescent="0.3">
      <c r="D143" s="783">
        <v>140</v>
      </c>
      <c r="E143" s="799">
        <v>176</v>
      </c>
      <c r="F143" s="787" t="s">
        <v>200</v>
      </c>
      <c r="G143" s="787" t="s">
        <v>7</v>
      </c>
      <c r="H143" s="788" t="s">
        <v>131</v>
      </c>
      <c r="I143" s="712" t="s">
        <v>369</v>
      </c>
      <c r="J143" s="573" t="s">
        <v>601</v>
      </c>
      <c r="K143" s="573" t="s">
        <v>602</v>
      </c>
      <c r="L143" s="702" t="s">
        <v>2246</v>
      </c>
      <c r="M143" s="570" t="s">
        <v>2017</v>
      </c>
      <c r="N143" s="570">
        <v>0</v>
      </c>
      <c r="O143" s="570">
        <f>+N143+P143</f>
        <v>3</v>
      </c>
      <c r="P143" s="569">
        <v>3</v>
      </c>
      <c r="Q143" s="628">
        <v>0.16500000000000001</v>
      </c>
      <c r="R143" s="580">
        <f t="shared" si="118"/>
        <v>5.5E-2</v>
      </c>
      <c r="S143" s="708">
        <v>1</v>
      </c>
      <c r="T143" s="625">
        <f t="shared" si="119"/>
        <v>0.33333333333333331</v>
      </c>
      <c r="U143" s="992">
        <v>1</v>
      </c>
      <c r="V143" s="626">
        <f t="shared" si="120"/>
        <v>1</v>
      </c>
      <c r="W143" s="594">
        <f t="shared" si="121"/>
        <v>100</v>
      </c>
      <c r="X143" s="594">
        <f t="shared" si="122"/>
        <v>100</v>
      </c>
      <c r="Y143" s="594">
        <f t="shared" si="98"/>
        <v>5.5E-2</v>
      </c>
      <c r="Z143" s="594">
        <f t="shared" si="123"/>
        <v>100</v>
      </c>
      <c r="AA143" s="546">
        <v>0</v>
      </c>
      <c r="AB143" s="546">
        <v>0</v>
      </c>
      <c r="AC143" s="546">
        <v>0</v>
      </c>
      <c r="AD143" s="546">
        <v>0</v>
      </c>
      <c r="AE143" s="546">
        <v>0</v>
      </c>
      <c r="AF143" s="546">
        <v>0</v>
      </c>
      <c r="AG143" s="546">
        <v>0</v>
      </c>
      <c r="AH143" s="546">
        <v>0</v>
      </c>
      <c r="AI143" s="546">
        <v>12500000</v>
      </c>
      <c r="AJ143" s="546">
        <v>12500000</v>
      </c>
      <c r="AK143" s="546">
        <v>0</v>
      </c>
      <c r="AL143" s="546">
        <v>0</v>
      </c>
      <c r="AM143" s="546">
        <v>0</v>
      </c>
      <c r="AN143" s="546">
        <v>0</v>
      </c>
      <c r="AO143" s="546">
        <v>0</v>
      </c>
      <c r="AP143" s="546">
        <v>0</v>
      </c>
      <c r="AQ143" s="546">
        <v>0</v>
      </c>
      <c r="AR143" s="546">
        <v>0</v>
      </c>
      <c r="AS143" s="546" t="s">
        <v>2045</v>
      </c>
      <c r="AT143" s="580">
        <f t="shared" si="124"/>
        <v>5.5E-2</v>
      </c>
      <c r="AU143" s="570">
        <v>1</v>
      </c>
      <c r="AV143" s="625">
        <f t="shared" si="125"/>
        <v>0.33333333333333331</v>
      </c>
      <c r="AW143" s="1003">
        <v>0</v>
      </c>
      <c r="AX143" s="604">
        <f t="shared" si="126"/>
        <v>0</v>
      </c>
      <c r="AY143" s="604">
        <f t="shared" si="127"/>
        <v>0</v>
      </c>
      <c r="AZ143" s="604">
        <f t="shared" si="128"/>
        <v>0</v>
      </c>
      <c r="BA143" s="592">
        <f t="shared" si="129"/>
        <v>0</v>
      </c>
      <c r="BB143" s="592">
        <f t="shared" si="130"/>
        <v>0</v>
      </c>
      <c r="BC143" s="591">
        <v>0</v>
      </c>
      <c r="BD143" s="591">
        <v>0</v>
      </c>
      <c r="BE143" s="591">
        <v>0</v>
      </c>
      <c r="BF143" s="591">
        <v>0</v>
      </c>
      <c r="BG143" s="591">
        <v>0</v>
      </c>
      <c r="BH143" s="591">
        <v>0</v>
      </c>
      <c r="BI143" s="591">
        <v>0</v>
      </c>
      <c r="BJ143" s="591">
        <v>0</v>
      </c>
      <c r="BK143" s="700">
        <v>0</v>
      </c>
      <c r="BL143" s="589">
        <v>0</v>
      </c>
      <c r="BM143" s="589">
        <v>0</v>
      </c>
      <c r="BN143" s="589">
        <v>0</v>
      </c>
      <c r="BO143" s="589">
        <v>0</v>
      </c>
      <c r="BP143" s="589">
        <v>0</v>
      </c>
      <c r="BQ143" s="589">
        <v>0</v>
      </c>
      <c r="BR143" s="589">
        <v>0</v>
      </c>
      <c r="BS143" s="589">
        <v>0</v>
      </c>
      <c r="BT143" s="589">
        <v>0</v>
      </c>
      <c r="BU143" s="589">
        <v>0</v>
      </c>
      <c r="BV143" s="588">
        <f t="shared" si="131"/>
        <v>5.5E-2</v>
      </c>
      <c r="BW143" s="588">
        <v>1</v>
      </c>
      <c r="BX143" s="623">
        <f t="shared" si="132"/>
        <v>0.33333333333333331</v>
      </c>
      <c r="BY143" s="639">
        <v>0</v>
      </c>
      <c r="BZ143" s="638">
        <v>0</v>
      </c>
      <c r="CA143" s="1018">
        <v>1</v>
      </c>
      <c r="CB143" s="557">
        <f t="shared" si="133"/>
        <v>1</v>
      </c>
      <c r="CC143" s="557">
        <f t="shared" si="134"/>
        <v>100</v>
      </c>
      <c r="CD143" s="622">
        <f t="shared" si="135"/>
        <v>100</v>
      </c>
      <c r="CE143" s="621">
        <f t="shared" si="136"/>
        <v>5.5E-2</v>
      </c>
      <c r="CF143" s="605">
        <f t="shared" si="137"/>
        <v>100</v>
      </c>
      <c r="CG143" s="621">
        <f t="shared" si="138"/>
        <v>5.5E-2</v>
      </c>
      <c r="CH143" s="553">
        <f t="shared" si="139"/>
        <v>0</v>
      </c>
      <c r="CI143" s="552">
        <v>0</v>
      </c>
      <c r="CJ143" s="551">
        <f t="shared" si="140"/>
        <v>0</v>
      </c>
      <c r="CK143" s="871">
        <v>0</v>
      </c>
      <c r="CL143" s="533">
        <f t="shared" si="141"/>
        <v>0</v>
      </c>
      <c r="CM143" s="619">
        <f t="shared" si="142"/>
        <v>0</v>
      </c>
      <c r="CN143" s="619">
        <f t="shared" si="143"/>
        <v>0</v>
      </c>
      <c r="CO143" s="549">
        <f t="shared" si="144"/>
        <v>0</v>
      </c>
      <c r="CP143" s="619">
        <f t="shared" si="145"/>
        <v>0</v>
      </c>
      <c r="CQ143" s="619">
        <f t="shared" si="146"/>
        <v>0</v>
      </c>
      <c r="CR143" s="546">
        <v>0</v>
      </c>
      <c r="CS143" s="546">
        <v>0</v>
      </c>
      <c r="CT143" s="546">
        <v>0</v>
      </c>
      <c r="CU143" s="546">
        <v>0</v>
      </c>
      <c r="CV143" s="546">
        <v>0</v>
      </c>
      <c r="CW143" s="546">
        <v>0</v>
      </c>
      <c r="CX143" s="546">
        <v>0</v>
      </c>
      <c r="CY143" s="546">
        <v>0</v>
      </c>
      <c r="CZ143" s="618">
        <v>0</v>
      </c>
      <c r="DA143" s="618">
        <v>0</v>
      </c>
      <c r="DB143" s="618">
        <v>0</v>
      </c>
      <c r="DC143" s="618">
        <v>0</v>
      </c>
      <c r="DD143" s="618">
        <v>0</v>
      </c>
      <c r="DE143" s="618">
        <v>0</v>
      </c>
      <c r="DF143" s="618">
        <v>0</v>
      </c>
      <c r="DG143" s="618">
        <v>0</v>
      </c>
      <c r="DH143" s="618">
        <v>0</v>
      </c>
      <c r="DI143" s="618">
        <v>0</v>
      </c>
      <c r="DJ143" s="618">
        <v>0</v>
      </c>
      <c r="DK143" s="1034">
        <f t="shared" si="147"/>
        <v>2</v>
      </c>
      <c r="DL143" s="543">
        <f t="shared" si="148"/>
        <v>0.16500000000000001</v>
      </c>
      <c r="DM143" s="542">
        <f t="shared" si="149"/>
        <v>66.666666666666671</v>
      </c>
      <c r="DN143" s="594">
        <f t="shared" si="150"/>
        <v>66.666666666666671</v>
      </c>
      <c r="DO143" s="540">
        <f t="shared" si="151"/>
        <v>0.11000000000000001</v>
      </c>
      <c r="DP143" s="597">
        <f>+IF(((DN143*Q143)/100)&lt;Q143, ((DN143*Q143)/100),Q143)</f>
        <v>0.11000000000000001</v>
      </c>
      <c r="DQ143" s="538">
        <f t="shared" si="152"/>
        <v>0.11000000000000001</v>
      </c>
      <c r="DR143" s="617">
        <f t="shared" si="153"/>
        <v>1</v>
      </c>
      <c r="DS143" s="616">
        <f t="shared" si="154"/>
        <v>1.3877787807814457E-17</v>
      </c>
      <c r="DT143" s="259">
        <v>158</v>
      </c>
      <c r="DU143" s="260" t="s">
        <v>599</v>
      </c>
      <c r="DV143" s="259"/>
      <c r="DW143" s="260" t="s">
        <v>242</v>
      </c>
      <c r="DX143" s="259"/>
      <c r="DY143" s="259"/>
      <c r="DZ143" s="259"/>
      <c r="EA143" s="987"/>
      <c r="EB143" s="1041" t="s">
        <v>2483</v>
      </c>
      <c r="EC143" s="802">
        <v>0</v>
      </c>
      <c r="EE143" s="1047"/>
    </row>
    <row r="144" spans="4:135" s="534" customFormat="1" ht="102" hidden="1" x14ac:dyDescent="0.3">
      <c r="D144" s="783">
        <v>141</v>
      </c>
      <c r="E144" s="799">
        <v>180</v>
      </c>
      <c r="F144" s="787" t="s">
        <v>200</v>
      </c>
      <c r="G144" s="787" t="s">
        <v>10</v>
      </c>
      <c r="H144" s="788" t="s">
        <v>138</v>
      </c>
      <c r="I144" s="712" t="s">
        <v>330</v>
      </c>
      <c r="J144" s="573" t="s">
        <v>603</v>
      </c>
      <c r="K144" s="573" t="s">
        <v>604</v>
      </c>
      <c r="L144" s="702" t="s">
        <v>2079</v>
      </c>
      <c r="M144" s="570" t="s">
        <v>2017</v>
      </c>
      <c r="N144" s="570">
        <v>0</v>
      </c>
      <c r="O144" s="570">
        <f>+N144+P144</f>
        <v>100</v>
      </c>
      <c r="P144" s="569">
        <v>100</v>
      </c>
      <c r="Q144" s="628">
        <v>0.25</v>
      </c>
      <c r="R144" s="580">
        <f t="shared" si="118"/>
        <v>2.2499999999999999E-2</v>
      </c>
      <c r="S144" s="708">
        <v>9</v>
      </c>
      <c r="T144" s="625">
        <f t="shared" si="119"/>
        <v>0.09</v>
      </c>
      <c r="U144" s="992">
        <v>9</v>
      </c>
      <c r="V144" s="626">
        <f t="shared" si="120"/>
        <v>9</v>
      </c>
      <c r="W144" s="594">
        <f t="shared" si="121"/>
        <v>100</v>
      </c>
      <c r="X144" s="594">
        <f t="shared" si="122"/>
        <v>100</v>
      </c>
      <c r="Y144" s="594">
        <f t="shared" si="98"/>
        <v>2.2499999999999999E-2</v>
      </c>
      <c r="Z144" s="594">
        <f t="shared" si="123"/>
        <v>100</v>
      </c>
      <c r="AA144" s="546">
        <v>230262000</v>
      </c>
      <c r="AB144" s="546">
        <v>190262000</v>
      </c>
      <c r="AC144" s="546">
        <v>0</v>
      </c>
      <c r="AD144" s="546">
        <v>40000000</v>
      </c>
      <c r="AE144" s="546">
        <v>0</v>
      </c>
      <c r="AF144" s="546">
        <v>0</v>
      </c>
      <c r="AG144" s="546">
        <v>0</v>
      </c>
      <c r="AH144" s="546">
        <v>0</v>
      </c>
      <c r="AI144" s="546">
        <v>49500000</v>
      </c>
      <c r="AJ144" s="546">
        <v>49500000</v>
      </c>
      <c r="AK144" s="546">
        <v>0</v>
      </c>
      <c r="AL144" s="546">
        <v>0</v>
      </c>
      <c r="AM144" s="546">
        <v>0</v>
      </c>
      <c r="AN144" s="546">
        <v>0</v>
      </c>
      <c r="AO144" s="546">
        <v>0</v>
      </c>
      <c r="AP144" s="546">
        <v>0</v>
      </c>
      <c r="AQ144" s="546">
        <v>0</v>
      </c>
      <c r="AR144" s="546">
        <v>0</v>
      </c>
      <c r="AS144" s="546">
        <v>0</v>
      </c>
      <c r="AT144" s="570">
        <f t="shared" si="124"/>
        <v>2.2499999999999999E-2</v>
      </c>
      <c r="AU144" s="570">
        <v>9</v>
      </c>
      <c r="AV144" s="570">
        <f t="shared" si="125"/>
        <v>0.09</v>
      </c>
      <c r="AW144" s="1010">
        <v>9</v>
      </c>
      <c r="AX144" s="604">
        <f t="shared" si="126"/>
        <v>9</v>
      </c>
      <c r="AY144" s="604">
        <f t="shared" si="127"/>
        <v>100</v>
      </c>
      <c r="AZ144" s="604">
        <f t="shared" si="128"/>
        <v>100</v>
      </c>
      <c r="BA144" s="592">
        <f t="shared" si="129"/>
        <v>2.2499999999999999E-2</v>
      </c>
      <c r="BB144" s="592">
        <f t="shared" si="130"/>
        <v>100</v>
      </c>
      <c r="BC144" s="591">
        <v>0</v>
      </c>
      <c r="BD144" s="591">
        <v>0</v>
      </c>
      <c r="BE144" s="591">
        <v>0</v>
      </c>
      <c r="BF144" s="591">
        <v>0</v>
      </c>
      <c r="BG144" s="591">
        <v>0</v>
      </c>
      <c r="BH144" s="591">
        <v>0</v>
      </c>
      <c r="BI144" s="591">
        <v>0</v>
      </c>
      <c r="BJ144" s="591">
        <v>0</v>
      </c>
      <c r="BK144" s="700">
        <v>409568843</v>
      </c>
      <c r="BL144" s="589">
        <v>314149358</v>
      </c>
      <c r="BM144" s="589">
        <v>55420000</v>
      </c>
      <c r="BN144" s="589">
        <v>39999485</v>
      </c>
      <c r="BO144" s="589">
        <v>0</v>
      </c>
      <c r="BP144" s="589">
        <v>0</v>
      </c>
      <c r="BQ144" s="589">
        <v>0</v>
      </c>
      <c r="BR144" s="589">
        <v>0</v>
      </c>
      <c r="BS144" s="589">
        <v>0</v>
      </c>
      <c r="BT144" s="589">
        <v>0</v>
      </c>
      <c r="BU144" s="589">
        <v>0</v>
      </c>
      <c r="BV144" s="588">
        <f t="shared" si="131"/>
        <v>0.10249999999999999</v>
      </c>
      <c r="BW144" s="588">
        <v>41</v>
      </c>
      <c r="BX144" s="623">
        <f t="shared" si="132"/>
        <v>0.41</v>
      </c>
      <c r="BY144" s="607">
        <v>22</v>
      </c>
      <c r="BZ144" s="629">
        <v>31.399999618530273</v>
      </c>
      <c r="CA144" s="1017">
        <v>47</v>
      </c>
      <c r="CB144" s="557">
        <f t="shared" si="133"/>
        <v>47</v>
      </c>
      <c r="CC144" s="557">
        <f t="shared" si="134"/>
        <v>114.63414634146342</v>
      </c>
      <c r="CD144" s="622">
        <f t="shared" si="135"/>
        <v>100</v>
      </c>
      <c r="CE144" s="621">
        <f t="shared" si="136"/>
        <v>0.10249999999999999</v>
      </c>
      <c r="CF144" s="605">
        <f t="shared" si="137"/>
        <v>100</v>
      </c>
      <c r="CG144" s="621">
        <f t="shared" si="138"/>
        <v>0.11749999999999999</v>
      </c>
      <c r="CH144" s="553">
        <f t="shared" si="139"/>
        <v>0.10249999999999999</v>
      </c>
      <c r="CI144" s="552">
        <v>41</v>
      </c>
      <c r="CJ144" s="551">
        <f t="shared" si="140"/>
        <v>0.41</v>
      </c>
      <c r="CK144" s="871">
        <v>7.3400001525878906</v>
      </c>
      <c r="CL144" s="533">
        <f t="shared" si="141"/>
        <v>33.659999847412109</v>
      </c>
      <c r="CM144" s="619">
        <f t="shared" si="142"/>
        <v>7.3400001525878906</v>
      </c>
      <c r="CN144" s="619">
        <f t="shared" si="143"/>
        <v>17.902439396555831</v>
      </c>
      <c r="CO144" s="549">
        <f t="shared" si="144"/>
        <v>17.902439396555831</v>
      </c>
      <c r="CP144" s="619">
        <f t="shared" si="145"/>
        <v>1.8350000381469726E-2</v>
      </c>
      <c r="CQ144" s="619">
        <f t="shared" si="146"/>
        <v>1.8350000381469726E-2</v>
      </c>
      <c r="CR144" s="546">
        <v>0</v>
      </c>
      <c r="CS144" s="546">
        <v>0</v>
      </c>
      <c r="CT144" s="546">
        <v>0</v>
      </c>
      <c r="CU144" s="546">
        <v>0</v>
      </c>
      <c r="CV144" s="546">
        <v>0</v>
      </c>
      <c r="CW144" s="546">
        <v>0</v>
      </c>
      <c r="CX144" s="546">
        <v>0</v>
      </c>
      <c r="CY144" s="546">
        <v>0</v>
      </c>
      <c r="CZ144" s="618">
        <v>0</v>
      </c>
      <c r="DA144" s="618">
        <v>0</v>
      </c>
      <c r="DB144" s="618">
        <v>0</v>
      </c>
      <c r="DC144" s="618">
        <v>0</v>
      </c>
      <c r="DD144" s="618">
        <v>0</v>
      </c>
      <c r="DE144" s="618">
        <v>0</v>
      </c>
      <c r="DF144" s="618">
        <v>0</v>
      </c>
      <c r="DG144" s="618">
        <v>0</v>
      </c>
      <c r="DH144" s="618">
        <v>0</v>
      </c>
      <c r="DI144" s="618">
        <v>0</v>
      </c>
      <c r="DJ144" s="618">
        <v>0</v>
      </c>
      <c r="DK144" s="1034">
        <f t="shared" si="147"/>
        <v>72.340000152587891</v>
      </c>
      <c r="DL144" s="543">
        <f t="shared" si="148"/>
        <v>0.25</v>
      </c>
      <c r="DM144" s="542">
        <f t="shared" si="149"/>
        <v>72.340000152587891</v>
      </c>
      <c r="DN144" s="594">
        <f t="shared" si="150"/>
        <v>72.340000152587891</v>
      </c>
      <c r="DO144" s="540">
        <f t="shared" si="151"/>
        <v>0.18085000038146973</v>
      </c>
      <c r="DP144" s="597">
        <f>+IF(((DN144*Q144)/100)&lt;Q144, ((DN144*Q144)/100),Q144)</f>
        <v>0.18085000038146973</v>
      </c>
      <c r="DQ144" s="538">
        <f t="shared" si="152"/>
        <v>0.18085000038146973</v>
      </c>
      <c r="DR144" s="617">
        <f t="shared" si="153"/>
        <v>1</v>
      </c>
      <c r="DS144" s="616">
        <f t="shared" si="154"/>
        <v>0</v>
      </c>
      <c r="DT144" s="259">
        <v>179</v>
      </c>
      <c r="DU144" s="260" t="s">
        <v>605</v>
      </c>
      <c r="DV144" s="259"/>
      <c r="DW144" s="260" t="s">
        <v>242</v>
      </c>
      <c r="DX144" s="259"/>
      <c r="DY144" s="259"/>
      <c r="DZ144" s="259"/>
      <c r="EA144" s="987"/>
      <c r="EB144" s="1041" t="s">
        <v>2484</v>
      </c>
      <c r="EC144" s="802">
        <v>0</v>
      </c>
      <c r="EE144" s="1047"/>
    </row>
    <row r="145" spans="4:135" s="534" customFormat="1" ht="38.25" hidden="1" x14ac:dyDescent="0.3">
      <c r="D145" s="783">
        <v>142</v>
      </c>
      <c r="E145" s="799">
        <v>181</v>
      </c>
      <c r="F145" s="787" t="s">
        <v>200</v>
      </c>
      <c r="G145" s="739" t="s">
        <v>10</v>
      </c>
      <c r="H145" s="788" t="s">
        <v>138</v>
      </c>
      <c r="I145" s="712" t="s">
        <v>330</v>
      </c>
      <c r="J145" s="573" t="s">
        <v>606</v>
      </c>
      <c r="K145" s="573" t="s">
        <v>607</v>
      </c>
      <c r="L145" s="702" t="s">
        <v>2245</v>
      </c>
      <c r="M145" s="571" t="s">
        <v>2017</v>
      </c>
      <c r="N145" s="571">
        <v>0</v>
      </c>
      <c r="O145" s="570">
        <f>+N145+P145</f>
        <v>40000</v>
      </c>
      <c r="P145" s="569">
        <v>40000</v>
      </c>
      <c r="Q145" s="628">
        <v>0.16500000000000001</v>
      </c>
      <c r="R145" s="580">
        <f t="shared" si="118"/>
        <v>0</v>
      </c>
      <c r="S145" s="627">
        <v>0</v>
      </c>
      <c r="T145" s="625">
        <f t="shared" si="119"/>
        <v>0</v>
      </c>
      <c r="U145" s="992">
        <v>0</v>
      </c>
      <c r="V145" s="626">
        <f t="shared" si="120"/>
        <v>0</v>
      </c>
      <c r="W145" s="594">
        <f t="shared" si="121"/>
        <v>0</v>
      </c>
      <c r="X145" s="594">
        <f t="shared" si="122"/>
        <v>0</v>
      </c>
      <c r="Y145" s="594">
        <f t="shared" si="98"/>
        <v>0</v>
      </c>
      <c r="Z145" s="594">
        <f t="shared" si="123"/>
        <v>0</v>
      </c>
      <c r="AA145" s="593">
        <v>0</v>
      </c>
      <c r="AB145" s="593">
        <v>0</v>
      </c>
      <c r="AC145" s="593">
        <v>0</v>
      </c>
      <c r="AD145" s="593">
        <v>0</v>
      </c>
      <c r="AE145" s="593">
        <v>0</v>
      </c>
      <c r="AF145" s="593">
        <v>0</v>
      </c>
      <c r="AG145" s="593">
        <v>0</v>
      </c>
      <c r="AH145" s="593">
        <v>0</v>
      </c>
      <c r="AI145" s="593">
        <v>0</v>
      </c>
      <c r="AJ145" s="593">
        <v>0</v>
      </c>
      <c r="AK145" s="593">
        <v>0</v>
      </c>
      <c r="AL145" s="593">
        <v>0</v>
      </c>
      <c r="AM145" s="593">
        <v>0</v>
      </c>
      <c r="AN145" s="593">
        <v>0</v>
      </c>
      <c r="AO145" s="593">
        <v>0</v>
      </c>
      <c r="AP145" s="593">
        <v>0</v>
      </c>
      <c r="AQ145" s="593">
        <v>0</v>
      </c>
      <c r="AR145" s="593">
        <v>0</v>
      </c>
      <c r="AS145" s="593">
        <v>0</v>
      </c>
      <c r="AT145" s="570">
        <f t="shared" si="124"/>
        <v>5.7749999999999996E-2</v>
      </c>
      <c r="AU145" s="570">
        <v>14000</v>
      </c>
      <c r="AV145" s="570">
        <f t="shared" si="125"/>
        <v>0.35</v>
      </c>
      <c r="AW145" s="1003">
        <v>12300</v>
      </c>
      <c r="AX145" s="604">
        <f t="shared" si="126"/>
        <v>12300</v>
      </c>
      <c r="AY145" s="604">
        <f t="shared" si="127"/>
        <v>87.857142857142861</v>
      </c>
      <c r="AZ145" s="604">
        <f t="shared" si="128"/>
        <v>87.857142857142861</v>
      </c>
      <c r="BA145" s="592">
        <f t="shared" si="129"/>
        <v>5.0737499999999998E-2</v>
      </c>
      <c r="BB145" s="592">
        <f t="shared" si="130"/>
        <v>87.857142857142861</v>
      </c>
      <c r="BC145" s="591">
        <v>341000000</v>
      </c>
      <c r="BD145" s="591">
        <v>0</v>
      </c>
      <c r="BE145" s="591">
        <v>341000000</v>
      </c>
      <c r="BF145" s="591">
        <v>0</v>
      </c>
      <c r="BG145" s="591">
        <v>0</v>
      </c>
      <c r="BH145" s="591">
        <v>0</v>
      </c>
      <c r="BI145" s="591">
        <v>0</v>
      </c>
      <c r="BJ145" s="591">
        <v>0</v>
      </c>
      <c r="BK145" s="700">
        <v>10500000</v>
      </c>
      <c r="BL145" s="589">
        <v>10000000</v>
      </c>
      <c r="BM145" s="589">
        <v>500000</v>
      </c>
      <c r="BN145" s="589">
        <v>0</v>
      </c>
      <c r="BO145" s="589">
        <v>0</v>
      </c>
      <c r="BP145" s="589">
        <v>0</v>
      </c>
      <c r="BQ145" s="589">
        <v>0</v>
      </c>
      <c r="BR145" s="589">
        <v>0</v>
      </c>
      <c r="BS145" s="589">
        <v>0</v>
      </c>
      <c r="BT145" s="589">
        <v>0</v>
      </c>
      <c r="BU145" s="589">
        <v>0</v>
      </c>
      <c r="BV145" s="588">
        <f t="shared" si="131"/>
        <v>5.3625000000000006E-2</v>
      </c>
      <c r="BW145" s="588">
        <v>13000</v>
      </c>
      <c r="BX145" s="623">
        <f t="shared" si="132"/>
        <v>0.32500000000000001</v>
      </c>
      <c r="BY145" s="607">
        <v>12335</v>
      </c>
      <c r="BZ145" s="629">
        <v>10138</v>
      </c>
      <c r="CA145" s="1017">
        <v>67509</v>
      </c>
      <c r="CB145" s="557">
        <f t="shared" si="133"/>
        <v>67509</v>
      </c>
      <c r="CC145" s="557">
        <f t="shared" si="134"/>
        <v>519.29999999999995</v>
      </c>
      <c r="CD145" s="622">
        <f t="shared" si="135"/>
        <v>100</v>
      </c>
      <c r="CE145" s="621">
        <f t="shared" si="136"/>
        <v>5.3625000000000006E-2</v>
      </c>
      <c r="CF145" s="605">
        <f t="shared" si="137"/>
        <v>100</v>
      </c>
      <c r="CG145" s="621">
        <f t="shared" si="138"/>
        <v>0.27847462500000003</v>
      </c>
      <c r="CH145" s="553">
        <f t="shared" si="139"/>
        <v>5.3625000000000006E-2</v>
      </c>
      <c r="CI145" s="552">
        <v>13000</v>
      </c>
      <c r="CJ145" s="551">
        <f t="shared" si="140"/>
        <v>0.32500000000000001</v>
      </c>
      <c r="CK145" s="874">
        <v>44105</v>
      </c>
      <c r="CL145" s="533">
        <f t="shared" si="141"/>
        <v>-31105</v>
      </c>
      <c r="CM145" s="619">
        <f t="shared" si="142"/>
        <v>44105</v>
      </c>
      <c r="CN145" s="619">
        <f t="shared" si="143"/>
        <v>339.26923076923077</v>
      </c>
      <c r="CO145" s="549">
        <f t="shared" si="144"/>
        <v>100</v>
      </c>
      <c r="CP145" s="619">
        <f t="shared" si="145"/>
        <v>5.3625000000000006E-2</v>
      </c>
      <c r="CQ145" s="619">
        <f t="shared" si="146"/>
        <v>0.181933125</v>
      </c>
      <c r="CR145" s="546">
        <v>330000000</v>
      </c>
      <c r="CS145" s="546">
        <v>330000000</v>
      </c>
      <c r="CT145" s="546">
        <v>0</v>
      </c>
      <c r="CU145" s="546">
        <v>0</v>
      </c>
      <c r="CV145" s="546">
        <v>0</v>
      </c>
      <c r="CW145" s="546">
        <v>0</v>
      </c>
      <c r="CX145" s="546">
        <v>0</v>
      </c>
      <c r="CY145" s="546">
        <v>0</v>
      </c>
      <c r="CZ145" s="618">
        <v>0</v>
      </c>
      <c r="DA145" s="618">
        <v>0</v>
      </c>
      <c r="DB145" s="618">
        <v>0</v>
      </c>
      <c r="DC145" s="618">
        <v>0</v>
      </c>
      <c r="DD145" s="618">
        <v>0</v>
      </c>
      <c r="DE145" s="618">
        <v>0</v>
      </c>
      <c r="DF145" s="618">
        <v>0</v>
      </c>
      <c r="DG145" s="618">
        <v>0</v>
      </c>
      <c r="DH145" s="618">
        <v>0</v>
      </c>
      <c r="DI145" s="618">
        <v>0</v>
      </c>
      <c r="DJ145" s="618">
        <v>0</v>
      </c>
      <c r="DK145" s="1034">
        <f t="shared" si="147"/>
        <v>123914</v>
      </c>
      <c r="DL145" s="543">
        <f t="shared" si="148"/>
        <v>0.16500000000000001</v>
      </c>
      <c r="DM145" s="542">
        <f t="shared" si="149"/>
        <v>309.78500000000003</v>
      </c>
      <c r="DN145" s="594">
        <f t="shared" si="150"/>
        <v>100</v>
      </c>
      <c r="DO145" s="540">
        <f t="shared" si="151"/>
        <v>0.16500000000000001</v>
      </c>
      <c r="DP145" s="597">
        <f>+IF(((DN145*Q145)/100)&lt;Q145, ((DN145*Q145)/100),Q145)</f>
        <v>0.16500000000000001</v>
      </c>
      <c r="DQ145" s="538">
        <f t="shared" si="152"/>
        <v>0.16500000000000001</v>
      </c>
      <c r="DR145" s="617">
        <f t="shared" si="153"/>
        <v>1</v>
      </c>
      <c r="DS145" s="616">
        <f t="shared" si="154"/>
        <v>0</v>
      </c>
      <c r="DT145" s="259">
        <v>202</v>
      </c>
      <c r="DU145" s="260" t="s">
        <v>279</v>
      </c>
      <c r="DV145" s="259"/>
      <c r="DW145" s="260" t="s">
        <v>242</v>
      </c>
      <c r="DX145" s="259"/>
      <c r="DY145" s="259"/>
      <c r="DZ145" s="259"/>
      <c r="EA145" s="987"/>
      <c r="EB145" s="1041" t="s">
        <v>2485</v>
      </c>
      <c r="EC145" s="802">
        <v>330000000</v>
      </c>
      <c r="EE145" s="1047"/>
    </row>
    <row r="146" spans="4:135" s="534" customFormat="1" ht="72" hidden="1" x14ac:dyDescent="0.3">
      <c r="D146" s="783">
        <v>143</v>
      </c>
      <c r="E146" s="799">
        <v>182</v>
      </c>
      <c r="F146" s="787" t="s">
        <v>200</v>
      </c>
      <c r="G146" s="787" t="s">
        <v>7</v>
      </c>
      <c r="H146" s="788" t="s">
        <v>138</v>
      </c>
      <c r="I146" s="712" t="s">
        <v>330</v>
      </c>
      <c r="J146" s="573" t="s">
        <v>608</v>
      </c>
      <c r="K146" s="573" t="s">
        <v>609</v>
      </c>
      <c r="L146" s="701" t="s">
        <v>1682</v>
      </c>
      <c r="M146" s="570" t="s">
        <v>2032</v>
      </c>
      <c r="N146" s="570">
        <v>0</v>
      </c>
      <c r="O146" s="570">
        <f>+P146</f>
        <v>400</v>
      </c>
      <c r="P146" s="569">
        <v>400</v>
      </c>
      <c r="Q146" s="628">
        <v>0.16500000000000001</v>
      </c>
      <c r="R146" s="580">
        <f t="shared" si="118"/>
        <v>4.1250000000000002E-2</v>
      </c>
      <c r="S146" s="708">
        <v>400</v>
      </c>
      <c r="T146" s="625">
        <f t="shared" si="119"/>
        <v>0.25</v>
      </c>
      <c r="U146" s="992">
        <v>0</v>
      </c>
      <c r="V146" s="626">
        <f t="shared" si="120"/>
        <v>0</v>
      </c>
      <c r="W146" s="594">
        <f t="shared" si="121"/>
        <v>0</v>
      </c>
      <c r="X146" s="594">
        <f t="shared" si="122"/>
        <v>0</v>
      </c>
      <c r="Y146" s="594">
        <f t="shared" ref="Y146:Y209" si="155">+(X146*R146)/100</f>
        <v>0</v>
      </c>
      <c r="Z146" s="594">
        <f t="shared" si="123"/>
        <v>0</v>
      </c>
      <c r="AA146" s="546">
        <v>182000000</v>
      </c>
      <c r="AB146" s="546">
        <v>182000000</v>
      </c>
      <c r="AC146" s="546">
        <v>0</v>
      </c>
      <c r="AD146" s="546">
        <v>0</v>
      </c>
      <c r="AE146" s="546">
        <v>0</v>
      </c>
      <c r="AF146" s="546">
        <v>0</v>
      </c>
      <c r="AG146" s="546">
        <v>0</v>
      </c>
      <c r="AH146" s="546">
        <v>0</v>
      </c>
      <c r="AI146" s="546">
        <v>6000000</v>
      </c>
      <c r="AJ146" s="546">
        <v>6000000</v>
      </c>
      <c r="AK146" s="546">
        <v>0</v>
      </c>
      <c r="AL146" s="546">
        <v>0</v>
      </c>
      <c r="AM146" s="546">
        <v>0</v>
      </c>
      <c r="AN146" s="546">
        <v>0</v>
      </c>
      <c r="AO146" s="546">
        <v>0</v>
      </c>
      <c r="AP146" s="546">
        <v>0</v>
      </c>
      <c r="AQ146" s="546">
        <v>0</v>
      </c>
      <c r="AR146" s="546">
        <v>0</v>
      </c>
      <c r="AS146" s="546">
        <v>0</v>
      </c>
      <c r="AT146" s="570">
        <f t="shared" si="124"/>
        <v>4.1250000000000002E-2</v>
      </c>
      <c r="AU146" s="570">
        <v>400</v>
      </c>
      <c r="AV146" s="570">
        <f t="shared" si="125"/>
        <v>0.25</v>
      </c>
      <c r="AW146" s="1003">
        <v>400</v>
      </c>
      <c r="AX146" s="604">
        <f t="shared" si="126"/>
        <v>100</v>
      </c>
      <c r="AY146" s="604">
        <f t="shared" si="127"/>
        <v>100</v>
      </c>
      <c r="AZ146" s="604">
        <f t="shared" si="128"/>
        <v>100</v>
      </c>
      <c r="BA146" s="592">
        <f t="shared" si="129"/>
        <v>4.1250000000000002E-2</v>
      </c>
      <c r="BB146" s="592">
        <f t="shared" si="130"/>
        <v>100</v>
      </c>
      <c r="BC146" s="591">
        <v>0</v>
      </c>
      <c r="BD146" s="591">
        <v>0</v>
      </c>
      <c r="BE146" s="591">
        <v>0</v>
      </c>
      <c r="BF146" s="591">
        <v>0</v>
      </c>
      <c r="BG146" s="591">
        <v>0</v>
      </c>
      <c r="BH146" s="591">
        <v>0</v>
      </c>
      <c r="BI146" s="591">
        <v>0</v>
      </c>
      <c r="BJ146" s="591">
        <v>0</v>
      </c>
      <c r="BK146" s="700">
        <v>398100148</v>
      </c>
      <c r="BL146" s="589">
        <v>398100148</v>
      </c>
      <c r="BM146" s="589">
        <v>0</v>
      </c>
      <c r="BN146" s="589">
        <v>0</v>
      </c>
      <c r="BO146" s="589">
        <v>0</v>
      </c>
      <c r="BP146" s="589">
        <v>0</v>
      </c>
      <c r="BQ146" s="589">
        <v>0</v>
      </c>
      <c r="BR146" s="589">
        <v>0</v>
      </c>
      <c r="BS146" s="589">
        <v>0</v>
      </c>
      <c r="BT146" s="589">
        <v>0</v>
      </c>
      <c r="BU146" s="589">
        <v>0</v>
      </c>
      <c r="BV146" s="588">
        <f t="shared" si="131"/>
        <v>4.1250000000000002E-2</v>
      </c>
      <c r="BW146" s="588">
        <v>400</v>
      </c>
      <c r="BX146" s="623">
        <f t="shared" si="132"/>
        <v>0.25</v>
      </c>
      <c r="BY146" s="639">
        <v>0</v>
      </c>
      <c r="BZ146" s="638">
        <v>0</v>
      </c>
      <c r="CA146" s="1018">
        <v>400</v>
      </c>
      <c r="CB146" s="557">
        <f t="shared" si="133"/>
        <v>100</v>
      </c>
      <c r="CC146" s="557">
        <f t="shared" si="134"/>
        <v>100</v>
      </c>
      <c r="CD146" s="622">
        <f t="shared" si="135"/>
        <v>100</v>
      </c>
      <c r="CE146" s="621">
        <f t="shared" si="136"/>
        <v>4.1250000000000002E-2</v>
      </c>
      <c r="CF146" s="605">
        <f t="shared" si="137"/>
        <v>100</v>
      </c>
      <c r="CG146" s="621">
        <f t="shared" si="138"/>
        <v>4.1250000000000002E-2</v>
      </c>
      <c r="CH146" s="553">
        <f t="shared" si="139"/>
        <v>4.1250000000000002E-2</v>
      </c>
      <c r="CI146" s="552">
        <v>400</v>
      </c>
      <c r="CJ146" s="551">
        <f t="shared" si="140"/>
        <v>0.25</v>
      </c>
      <c r="CK146" s="874">
        <v>0</v>
      </c>
      <c r="CL146" s="533">
        <f t="shared" si="141"/>
        <v>400</v>
      </c>
      <c r="CM146" s="619">
        <f t="shared" si="142"/>
        <v>0</v>
      </c>
      <c r="CN146" s="619">
        <f t="shared" si="143"/>
        <v>0</v>
      </c>
      <c r="CO146" s="619">
        <f t="shared" si="144"/>
        <v>0</v>
      </c>
      <c r="CP146" s="619">
        <f t="shared" si="145"/>
        <v>0</v>
      </c>
      <c r="CQ146" s="619">
        <f t="shared" si="146"/>
        <v>0</v>
      </c>
      <c r="CR146" s="546">
        <v>0</v>
      </c>
      <c r="CS146" s="546">
        <v>0</v>
      </c>
      <c r="CT146" s="546">
        <v>0</v>
      </c>
      <c r="CU146" s="546">
        <v>0</v>
      </c>
      <c r="CV146" s="546">
        <v>0</v>
      </c>
      <c r="CW146" s="546">
        <v>0</v>
      </c>
      <c r="CX146" s="546">
        <v>0</v>
      </c>
      <c r="CY146" s="546">
        <v>0</v>
      </c>
      <c r="CZ146" s="618">
        <v>0</v>
      </c>
      <c r="DA146" s="618">
        <v>0</v>
      </c>
      <c r="DB146" s="618">
        <v>0</v>
      </c>
      <c r="DC146" s="618">
        <v>0</v>
      </c>
      <c r="DD146" s="618">
        <v>0</v>
      </c>
      <c r="DE146" s="618">
        <v>0</v>
      </c>
      <c r="DF146" s="618">
        <v>0</v>
      </c>
      <c r="DG146" s="618">
        <v>0</v>
      </c>
      <c r="DH146" s="618">
        <v>0</v>
      </c>
      <c r="DI146" s="618">
        <v>0</v>
      </c>
      <c r="DJ146" s="618">
        <v>0</v>
      </c>
      <c r="DK146" s="1034">
        <f t="shared" si="147"/>
        <v>200</v>
      </c>
      <c r="DL146" s="543">
        <f t="shared" si="148"/>
        <v>0.16500000000000001</v>
      </c>
      <c r="DM146" s="542">
        <f t="shared" si="149"/>
        <v>50</v>
      </c>
      <c r="DN146" s="594">
        <f t="shared" si="150"/>
        <v>50</v>
      </c>
      <c r="DO146" s="540">
        <f t="shared" si="151"/>
        <v>8.2500000000000004E-2</v>
      </c>
      <c r="DP146" s="597">
        <f>+IF(M146="M",DO146,0)</f>
        <v>8.2500000000000004E-2</v>
      </c>
      <c r="DQ146" s="538">
        <f t="shared" si="152"/>
        <v>8.2500000000000004E-2</v>
      </c>
      <c r="DR146" s="617">
        <f t="shared" si="153"/>
        <v>1</v>
      </c>
      <c r="DS146" s="616">
        <f t="shared" si="154"/>
        <v>0</v>
      </c>
      <c r="DT146" s="259">
        <v>179</v>
      </c>
      <c r="DU146" s="260" t="s">
        <v>605</v>
      </c>
      <c r="DV146" s="259"/>
      <c r="DW146" s="260" t="s">
        <v>242</v>
      </c>
      <c r="DX146" s="259"/>
      <c r="DY146" s="259"/>
      <c r="DZ146" s="259"/>
      <c r="EA146" s="987"/>
      <c r="EB146" s="1041" t="s">
        <v>2486</v>
      </c>
      <c r="EC146" s="802">
        <v>0</v>
      </c>
      <c r="EE146" s="1047"/>
    </row>
    <row r="147" spans="4:135" s="534" customFormat="1" ht="120" hidden="1" x14ac:dyDescent="0.3">
      <c r="D147" s="783">
        <v>144</v>
      </c>
      <c r="E147" s="799">
        <v>183</v>
      </c>
      <c r="F147" s="787" t="s">
        <v>200</v>
      </c>
      <c r="G147" s="787" t="s">
        <v>8</v>
      </c>
      <c r="H147" s="788" t="s">
        <v>138</v>
      </c>
      <c r="I147" s="712" t="s">
        <v>346</v>
      </c>
      <c r="J147" s="573" t="s">
        <v>610</v>
      </c>
      <c r="K147" s="573" t="s">
        <v>611</v>
      </c>
      <c r="L147" s="702" t="s">
        <v>2244</v>
      </c>
      <c r="M147" s="570" t="s">
        <v>2017</v>
      </c>
      <c r="N147" s="570">
        <v>1643</v>
      </c>
      <c r="O147" s="570">
        <f t="shared" ref="O147:O154" si="156">+N147+P147</f>
        <v>5460</v>
      </c>
      <c r="P147" s="569">
        <v>3817</v>
      </c>
      <c r="Q147" s="628">
        <v>0.16500000000000001</v>
      </c>
      <c r="R147" s="580">
        <f t="shared" si="118"/>
        <v>2.5288184438040349E-2</v>
      </c>
      <c r="S147" s="708">
        <v>585</v>
      </c>
      <c r="T147" s="625">
        <f t="shared" si="119"/>
        <v>0.1532617238669112</v>
      </c>
      <c r="U147" s="992">
        <v>585</v>
      </c>
      <c r="V147" s="626">
        <f t="shared" si="120"/>
        <v>585</v>
      </c>
      <c r="W147" s="594">
        <f t="shared" si="121"/>
        <v>100</v>
      </c>
      <c r="X147" s="594">
        <f t="shared" si="122"/>
        <v>100</v>
      </c>
      <c r="Y147" s="594">
        <f t="shared" si="155"/>
        <v>2.5288184438040352E-2</v>
      </c>
      <c r="Z147" s="594">
        <f t="shared" si="123"/>
        <v>100</v>
      </c>
      <c r="AA147" s="546">
        <v>64000000</v>
      </c>
      <c r="AB147" s="546">
        <v>64000000</v>
      </c>
      <c r="AC147" s="546">
        <v>0</v>
      </c>
      <c r="AD147" s="546">
        <v>0</v>
      </c>
      <c r="AE147" s="546">
        <v>0</v>
      </c>
      <c r="AF147" s="546">
        <v>0</v>
      </c>
      <c r="AG147" s="546">
        <v>0</v>
      </c>
      <c r="AH147" s="546">
        <v>0</v>
      </c>
      <c r="AI147" s="546">
        <v>63814000</v>
      </c>
      <c r="AJ147" s="546">
        <v>63814000</v>
      </c>
      <c r="AK147" s="546">
        <v>0</v>
      </c>
      <c r="AL147" s="546">
        <v>0</v>
      </c>
      <c r="AM147" s="546">
        <v>0</v>
      </c>
      <c r="AN147" s="546">
        <v>0</v>
      </c>
      <c r="AO147" s="546">
        <v>0</v>
      </c>
      <c r="AP147" s="546">
        <v>0</v>
      </c>
      <c r="AQ147" s="546">
        <v>0</v>
      </c>
      <c r="AR147" s="546">
        <v>0</v>
      </c>
      <c r="AS147" s="546">
        <v>0</v>
      </c>
      <c r="AT147" s="580">
        <f t="shared" si="124"/>
        <v>3.3242074927953891E-2</v>
      </c>
      <c r="AU147" s="580">
        <v>769</v>
      </c>
      <c r="AV147" s="580">
        <f t="shared" si="125"/>
        <v>0.20146712077547813</v>
      </c>
      <c r="AW147" s="1003">
        <v>769</v>
      </c>
      <c r="AX147" s="604">
        <f t="shared" si="126"/>
        <v>769</v>
      </c>
      <c r="AY147" s="604">
        <f t="shared" si="127"/>
        <v>100</v>
      </c>
      <c r="AZ147" s="604">
        <f t="shared" si="128"/>
        <v>100</v>
      </c>
      <c r="BA147" s="592">
        <f t="shared" si="129"/>
        <v>3.3242074927953891E-2</v>
      </c>
      <c r="BB147" s="592">
        <f t="shared" si="130"/>
        <v>100</v>
      </c>
      <c r="BC147" s="591">
        <v>0</v>
      </c>
      <c r="BD147" s="591">
        <v>0</v>
      </c>
      <c r="BE147" s="591">
        <v>0</v>
      </c>
      <c r="BF147" s="591">
        <v>0</v>
      </c>
      <c r="BG147" s="591">
        <v>0</v>
      </c>
      <c r="BH147" s="591">
        <v>0</v>
      </c>
      <c r="BI147" s="591">
        <v>0</v>
      </c>
      <c r="BJ147" s="591">
        <v>0</v>
      </c>
      <c r="BK147" s="700">
        <v>104000000</v>
      </c>
      <c r="BL147" s="589">
        <v>104000000</v>
      </c>
      <c r="BM147" s="589">
        <v>0</v>
      </c>
      <c r="BN147" s="589">
        <v>0</v>
      </c>
      <c r="BO147" s="589">
        <v>0</v>
      </c>
      <c r="BP147" s="589">
        <v>0</v>
      </c>
      <c r="BQ147" s="589">
        <v>0</v>
      </c>
      <c r="BR147" s="589">
        <v>0</v>
      </c>
      <c r="BS147" s="589">
        <v>0</v>
      </c>
      <c r="BT147" s="589">
        <v>0</v>
      </c>
      <c r="BU147" s="589">
        <v>0</v>
      </c>
      <c r="BV147" s="588">
        <f t="shared" si="131"/>
        <v>4.4481268011527381E-2</v>
      </c>
      <c r="BW147" s="588">
        <v>1029</v>
      </c>
      <c r="BX147" s="623">
        <f t="shared" si="132"/>
        <v>0.26958344249410532</v>
      </c>
      <c r="BY147" s="607">
        <v>0</v>
      </c>
      <c r="BZ147" s="629">
        <v>0</v>
      </c>
      <c r="CA147" s="1017">
        <v>918</v>
      </c>
      <c r="CB147" s="557">
        <f t="shared" si="133"/>
        <v>918</v>
      </c>
      <c r="CC147" s="557">
        <f t="shared" si="134"/>
        <v>89.212827988338191</v>
      </c>
      <c r="CD147" s="622">
        <f t="shared" si="135"/>
        <v>89.212827988338191</v>
      </c>
      <c r="CE147" s="621">
        <f t="shared" si="136"/>
        <v>3.9682997118155622E-2</v>
      </c>
      <c r="CF147" s="605">
        <f t="shared" si="137"/>
        <v>89.212827988338191</v>
      </c>
      <c r="CG147" s="621">
        <f t="shared" si="138"/>
        <v>3.9682997118155622E-2</v>
      </c>
      <c r="CH147" s="553">
        <f t="shared" si="139"/>
        <v>6.1988472622478391E-2</v>
      </c>
      <c r="CI147" s="552">
        <v>1434</v>
      </c>
      <c r="CJ147" s="551">
        <f t="shared" si="140"/>
        <v>0.37568771286350539</v>
      </c>
      <c r="CK147" s="874">
        <v>0</v>
      </c>
      <c r="CL147" s="533">
        <f t="shared" si="141"/>
        <v>1434</v>
      </c>
      <c r="CM147" s="619">
        <f t="shared" si="142"/>
        <v>0</v>
      </c>
      <c r="CN147" s="619">
        <f t="shared" si="143"/>
        <v>0</v>
      </c>
      <c r="CO147" s="549">
        <f t="shared" si="144"/>
        <v>0</v>
      </c>
      <c r="CP147" s="619">
        <f t="shared" si="145"/>
        <v>0</v>
      </c>
      <c r="CQ147" s="619">
        <f t="shared" si="146"/>
        <v>0</v>
      </c>
      <c r="CR147" s="546">
        <v>0</v>
      </c>
      <c r="CS147" s="546">
        <v>0</v>
      </c>
      <c r="CT147" s="546">
        <v>0</v>
      </c>
      <c r="CU147" s="546">
        <v>0</v>
      </c>
      <c r="CV147" s="546">
        <v>0</v>
      </c>
      <c r="CW147" s="546">
        <v>0</v>
      </c>
      <c r="CX147" s="546">
        <v>0</v>
      </c>
      <c r="CY147" s="546">
        <v>0</v>
      </c>
      <c r="CZ147" s="618">
        <v>0</v>
      </c>
      <c r="DA147" s="618">
        <v>0</v>
      </c>
      <c r="DB147" s="618">
        <v>0</v>
      </c>
      <c r="DC147" s="618">
        <v>0</v>
      </c>
      <c r="DD147" s="618">
        <v>0</v>
      </c>
      <c r="DE147" s="618">
        <v>0</v>
      </c>
      <c r="DF147" s="618">
        <v>0</v>
      </c>
      <c r="DG147" s="618">
        <v>0</v>
      </c>
      <c r="DH147" s="618">
        <v>0</v>
      </c>
      <c r="DI147" s="618">
        <v>0</v>
      </c>
      <c r="DJ147" s="618">
        <v>0</v>
      </c>
      <c r="DK147" s="1034">
        <f t="shared" si="147"/>
        <v>2272</v>
      </c>
      <c r="DL147" s="543">
        <f t="shared" si="148"/>
        <v>0.16500000000000001</v>
      </c>
      <c r="DM147" s="542">
        <f t="shared" si="149"/>
        <v>59.523185747969613</v>
      </c>
      <c r="DN147" s="594">
        <f t="shared" si="150"/>
        <v>59.523185747969613</v>
      </c>
      <c r="DO147" s="540">
        <f t="shared" si="151"/>
        <v>9.8213256484149872E-2</v>
      </c>
      <c r="DP147" s="597">
        <f t="shared" ref="DP147:DP154" si="157">+IF(((DN147*Q147)/100)&lt;Q147, ((DN147*Q147)/100),Q147)</f>
        <v>9.8213256484149872E-2</v>
      </c>
      <c r="DQ147" s="538">
        <f t="shared" si="152"/>
        <v>9.8213256484149872E-2</v>
      </c>
      <c r="DR147" s="617">
        <f t="shared" si="153"/>
        <v>1</v>
      </c>
      <c r="DS147" s="616">
        <f t="shared" si="154"/>
        <v>0</v>
      </c>
      <c r="DT147" s="259">
        <v>36</v>
      </c>
      <c r="DU147" s="260" t="s">
        <v>294</v>
      </c>
      <c r="DV147" s="259">
        <v>78</v>
      </c>
      <c r="DW147" s="260" t="s">
        <v>287</v>
      </c>
      <c r="DX147" s="259"/>
      <c r="DY147" s="259"/>
      <c r="DZ147" s="259"/>
      <c r="EA147" s="987"/>
      <c r="EB147" s="1041" t="s">
        <v>2487</v>
      </c>
      <c r="EC147" s="802">
        <v>240000</v>
      </c>
      <c r="EE147" s="1047"/>
    </row>
    <row r="148" spans="4:135" s="534" customFormat="1" ht="72" hidden="1" x14ac:dyDescent="0.3">
      <c r="D148" s="783">
        <v>145</v>
      </c>
      <c r="E148" s="799">
        <v>184</v>
      </c>
      <c r="F148" s="574" t="s">
        <v>200</v>
      </c>
      <c r="G148" s="574" t="s">
        <v>7</v>
      </c>
      <c r="H148" s="574" t="s">
        <v>138</v>
      </c>
      <c r="I148" s="574" t="s">
        <v>346</v>
      </c>
      <c r="J148" s="573" t="s">
        <v>1434</v>
      </c>
      <c r="K148" s="573" t="s">
        <v>612</v>
      </c>
      <c r="L148" s="702" t="s">
        <v>1690</v>
      </c>
      <c r="M148" s="570" t="s">
        <v>2017</v>
      </c>
      <c r="N148" s="570">
        <v>0</v>
      </c>
      <c r="O148" s="570">
        <f t="shared" si="156"/>
        <v>100</v>
      </c>
      <c r="P148" s="569">
        <v>100</v>
      </c>
      <c r="Q148" s="631">
        <v>0.16500000000000001</v>
      </c>
      <c r="R148" s="580">
        <f t="shared" si="118"/>
        <v>6.6000000000000003E-2</v>
      </c>
      <c r="S148" s="708">
        <v>40</v>
      </c>
      <c r="T148" s="625">
        <f t="shared" si="119"/>
        <v>0.4</v>
      </c>
      <c r="U148" s="992">
        <v>40</v>
      </c>
      <c r="V148" s="626">
        <f t="shared" si="120"/>
        <v>40</v>
      </c>
      <c r="W148" s="594">
        <f t="shared" si="121"/>
        <v>100</v>
      </c>
      <c r="X148" s="594">
        <f t="shared" si="122"/>
        <v>100</v>
      </c>
      <c r="Y148" s="594">
        <f t="shared" si="155"/>
        <v>6.6000000000000003E-2</v>
      </c>
      <c r="Z148" s="594">
        <f t="shared" si="123"/>
        <v>100</v>
      </c>
      <c r="AA148" s="546">
        <v>50000000</v>
      </c>
      <c r="AB148" s="546">
        <v>50000000</v>
      </c>
      <c r="AC148" s="546">
        <v>0</v>
      </c>
      <c r="AD148" s="546">
        <v>0</v>
      </c>
      <c r="AE148" s="546">
        <v>0</v>
      </c>
      <c r="AF148" s="546">
        <v>0</v>
      </c>
      <c r="AG148" s="546">
        <v>0</v>
      </c>
      <c r="AH148" s="546">
        <v>0</v>
      </c>
      <c r="AI148" s="546">
        <v>50000000</v>
      </c>
      <c r="AJ148" s="546">
        <v>50000000</v>
      </c>
      <c r="AK148" s="546">
        <v>0</v>
      </c>
      <c r="AL148" s="546">
        <v>0</v>
      </c>
      <c r="AM148" s="546">
        <v>0</v>
      </c>
      <c r="AN148" s="546">
        <v>0</v>
      </c>
      <c r="AO148" s="546">
        <v>0</v>
      </c>
      <c r="AP148" s="546">
        <v>0</v>
      </c>
      <c r="AQ148" s="546">
        <v>0</v>
      </c>
      <c r="AR148" s="546">
        <v>0</v>
      </c>
      <c r="AS148" s="546">
        <v>0</v>
      </c>
      <c r="AT148" s="630">
        <f t="shared" si="124"/>
        <v>0</v>
      </c>
      <c r="AU148" s="570">
        <v>0</v>
      </c>
      <c r="AV148" s="625">
        <f t="shared" si="125"/>
        <v>0</v>
      </c>
      <c r="AW148" s="1003">
        <v>40</v>
      </c>
      <c r="AX148" s="604">
        <f t="shared" si="126"/>
        <v>40</v>
      </c>
      <c r="AY148" s="604">
        <f t="shared" si="127"/>
        <v>0</v>
      </c>
      <c r="AZ148" s="604">
        <f t="shared" si="128"/>
        <v>0</v>
      </c>
      <c r="BA148" s="592">
        <f t="shared" si="129"/>
        <v>0</v>
      </c>
      <c r="BB148" s="592">
        <f t="shared" si="130"/>
        <v>100</v>
      </c>
      <c r="BC148" s="591">
        <v>0</v>
      </c>
      <c r="BD148" s="591">
        <v>0</v>
      </c>
      <c r="BE148" s="591">
        <v>0</v>
      </c>
      <c r="BF148" s="591">
        <v>0</v>
      </c>
      <c r="BG148" s="591">
        <v>0</v>
      </c>
      <c r="BH148" s="591">
        <v>0</v>
      </c>
      <c r="BI148" s="591">
        <v>0</v>
      </c>
      <c r="BJ148" s="591">
        <v>0</v>
      </c>
      <c r="BK148" s="700">
        <v>0</v>
      </c>
      <c r="BL148" s="589">
        <v>0</v>
      </c>
      <c r="BM148" s="589">
        <v>0</v>
      </c>
      <c r="BN148" s="589">
        <v>0</v>
      </c>
      <c r="BO148" s="589">
        <v>0</v>
      </c>
      <c r="BP148" s="589">
        <v>0</v>
      </c>
      <c r="BQ148" s="589">
        <v>0</v>
      </c>
      <c r="BR148" s="589">
        <v>0</v>
      </c>
      <c r="BS148" s="589">
        <v>0</v>
      </c>
      <c r="BT148" s="589">
        <v>0</v>
      </c>
      <c r="BU148" s="589">
        <v>0</v>
      </c>
      <c r="BV148" s="588">
        <f t="shared" si="131"/>
        <v>0</v>
      </c>
      <c r="BW148" s="588">
        <v>0</v>
      </c>
      <c r="BX148" s="623">
        <f t="shared" si="132"/>
        <v>0</v>
      </c>
      <c r="BY148" s="639">
        <v>0</v>
      </c>
      <c r="BZ148" s="638">
        <v>0</v>
      </c>
      <c r="CA148" s="1018">
        <v>40</v>
      </c>
      <c r="CB148" s="557">
        <f t="shared" si="133"/>
        <v>40</v>
      </c>
      <c r="CC148" s="557">
        <f t="shared" si="134"/>
        <v>0</v>
      </c>
      <c r="CD148" s="622">
        <f t="shared" si="135"/>
        <v>0</v>
      </c>
      <c r="CE148" s="621">
        <f t="shared" si="136"/>
        <v>0</v>
      </c>
      <c r="CF148" s="605">
        <f t="shared" si="137"/>
        <v>0</v>
      </c>
      <c r="CG148" s="621">
        <f t="shared" si="138"/>
        <v>0</v>
      </c>
      <c r="CH148" s="553">
        <f t="shared" si="139"/>
        <v>9.9000000000000005E-2</v>
      </c>
      <c r="CI148" s="552">
        <v>60</v>
      </c>
      <c r="CJ148" s="551">
        <f t="shared" si="140"/>
        <v>0.6</v>
      </c>
      <c r="CK148" s="874">
        <v>0</v>
      </c>
      <c r="CL148" s="533">
        <f t="shared" si="141"/>
        <v>60</v>
      </c>
      <c r="CM148" s="619">
        <f t="shared" si="142"/>
        <v>0</v>
      </c>
      <c r="CN148" s="619">
        <f t="shared" si="143"/>
        <v>0</v>
      </c>
      <c r="CO148" s="549">
        <f t="shared" si="144"/>
        <v>0</v>
      </c>
      <c r="CP148" s="619">
        <f t="shared" si="145"/>
        <v>0</v>
      </c>
      <c r="CQ148" s="619">
        <f t="shared" si="146"/>
        <v>0</v>
      </c>
      <c r="CR148" s="546">
        <v>0</v>
      </c>
      <c r="CS148" s="546">
        <v>0</v>
      </c>
      <c r="CT148" s="546">
        <v>0</v>
      </c>
      <c r="CU148" s="546">
        <v>0</v>
      </c>
      <c r="CV148" s="546">
        <v>0</v>
      </c>
      <c r="CW148" s="546">
        <v>0</v>
      </c>
      <c r="CX148" s="546">
        <v>0</v>
      </c>
      <c r="CY148" s="546">
        <v>0</v>
      </c>
      <c r="CZ148" s="618">
        <v>0</v>
      </c>
      <c r="DA148" s="618">
        <v>0</v>
      </c>
      <c r="DB148" s="618">
        <v>0</v>
      </c>
      <c r="DC148" s="618">
        <v>0</v>
      </c>
      <c r="DD148" s="618">
        <v>0</v>
      </c>
      <c r="DE148" s="618">
        <v>0</v>
      </c>
      <c r="DF148" s="618">
        <v>0</v>
      </c>
      <c r="DG148" s="618">
        <v>0</v>
      </c>
      <c r="DH148" s="618">
        <v>0</v>
      </c>
      <c r="DI148" s="618">
        <v>0</v>
      </c>
      <c r="DJ148" s="618">
        <v>0</v>
      </c>
      <c r="DK148" s="1034">
        <f t="shared" si="147"/>
        <v>120</v>
      </c>
      <c r="DL148" s="543">
        <f t="shared" si="148"/>
        <v>0.16500000000000001</v>
      </c>
      <c r="DM148" s="542">
        <f t="shared" si="149"/>
        <v>120</v>
      </c>
      <c r="DN148" s="594">
        <f t="shared" si="150"/>
        <v>100</v>
      </c>
      <c r="DO148" s="540">
        <f t="shared" si="151"/>
        <v>0.16500000000000001</v>
      </c>
      <c r="DP148" s="597">
        <f t="shared" si="157"/>
        <v>0.16500000000000001</v>
      </c>
      <c r="DQ148" s="538">
        <f t="shared" si="152"/>
        <v>0.16500000000000001</v>
      </c>
      <c r="DR148" s="617">
        <f t="shared" si="153"/>
        <v>1</v>
      </c>
      <c r="DS148" s="616">
        <f t="shared" si="154"/>
        <v>0</v>
      </c>
      <c r="DT148" s="259">
        <v>179</v>
      </c>
      <c r="DU148" s="260" t="s">
        <v>605</v>
      </c>
      <c r="DV148" s="259"/>
      <c r="DW148" s="260" t="s">
        <v>242</v>
      </c>
      <c r="DX148" s="259"/>
      <c r="DY148" s="259"/>
      <c r="DZ148" s="259"/>
      <c r="EA148" s="987"/>
      <c r="EB148" s="1041" t="s">
        <v>2488</v>
      </c>
      <c r="EC148" s="802">
        <v>0</v>
      </c>
      <c r="EE148" s="1047"/>
    </row>
    <row r="149" spans="4:135" s="534" customFormat="1" ht="72" hidden="1" x14ac:dyDescent="0.3">
      <c r="D149" s="783">
        <v>146</v>
      </c>
      <c r="E149" s="799">
        <v>185</v>
      </c>
      <c r="F149" s="787" t="s">
        <v>200</v>
      </c>
      <c r="G149" s="787" t="s">
        <v>7</v>
      </c>
      <c r="H149" s="788" t="s">
        <v>138</v>
      </c>
      <c r="I149" s="712" t="s">
        <v>346</v>
      </c>
      <c r="J149" s="573" t="s">
        <v>613</v>
      </c>
      <c r="K149" s="573" t="s">
        <v>614</v>
      </c>
      <c r="L149" s="702" t="s">
        <v>2243</v>
      </c>
      <c r="M149" s="570" t="s">
        <v>2017</v>
      </c>
      <c r="N149" s="570">
        <v>0</v>
      </c>
      <c r="O149" s="570">
        <f t="shared" si="156"/>
        <v>1</v>
      </c>
      <c r="P149" s="569">
        <v>1</v>
      </c>
      <c r="Q149" s="628">
        <v>0.16500000000000001</v>
      </c>
      <c r="R149" s="580">
        <f t="shared" si="118"/>
        <v>0</v>
      </c>
      <c r="S149" s="708">
        <v>0</v>
      </c>
      <c r="T149" s="625">
        <f t="shared" si="119"/>
        <v>0</v>
      </c>
      <c r="U149" s="992">
        <v>0</v>
      </c>
      <c r="V149" s="626">
        <f t="shared" si="120"/>
        <v>0</v>
      </c>
      <c r="W149" s="594">
        <f t="shared" si="121"/>
        <v>0</v>
      </c>
      <c r="X149" s="594">
        <f t="shared" si="122"/>
        <v>0</v>
      </c>
      <c r="Y149" s="594">
        <f t="shared" si="155"/>
        <v>0</v>
      </c>
      <c r="Z149" s="594">
        <f t="shared" si="123"/>
        <v>0</v>
      </c>
      <c r="AA149" s="546">
        <v>0</v>
      </c>
      <c r="AB149" s="546">
        <v>0</v>
      </c>
      <c r="AC149" s="546">
        <v>0</v>
      </c>
      <c r="AD149" s="546">
        <v>0</v>
      </c>
      <c r="AE149" s="546">
        <v>0</v>
      </c>
      <c r="AF149" s="546">
        <v>0</v>
      </c>
      <c r="AG149" s="546">
        <v>0</v>
      </c>
      <c r="AH149" s="546">
        <v>0</v>
      </c>
      <c r="AI149" s="546">
        <v>0</v>
      </c>
      <c r="AJ149" s="546">
        <v>0</v>
      </c>
      <c r="AK149" s="546">
        <v>0</v>
      </c>
      <c r="AL149" s="546">
        <v>0</v>
      </c>
      <c r="AM149" s="546">
        <v>0</v>
      </c>
      <c r="AN149" s="546">
        <v>0</v>
      </c>
      <c r="AO149" s="546">
        <v>0</v>
      </c>
      <c r="AP149" s="546">
        <v>0</v>
      </c>
      <c r="AQ149" s="546">
        <v>0</v>
      </c>
      <c r="AR149" s="546">
        <v>0</v>
      </c>
      <c r="AS149" s="546">
        <v>0</v>
      </c>
      <c r="AT149" s="570">
        <f t="shared" si="124"/>
        <v>0</v>
      </c>
      <c r="AU149" s="570">
        <v>0</v>
      </c>
      <c r="AV149" s="625">
        <f t="shared" si="125"/>
        <v>0</v>
      </c>
      <c r="AW149" s="1003">
        <v>0</v>
      </c>
      <c r="AX149" s="604">
        <f t="shared" si="126"/>
        <v>0</v>
      </c>
      <c r="AY149" s="604">
        <f t="shared" si="127"/>
        <v>0</v>
      </c>
      <c r="AZ149" s="604">
        <f t="shared" si="128"/>
        <v>0</v>
      </c>
      <c r="BA149" s="592">
        <f t="shared" si="129"/>
        <v>0</v>
      </c>
      <c r="BB149" s="592">
        <f t="shared" si="130"/>
        <v>0</v>
      </c>
      <c r="BC149" s="591">
        <v>0</v>
      </c>
      <c r="BD149" s="591">
        <v>0</v>
      </c>
      <c r="BE149" s="591">
        <v>0</v>
      </c>
      <c r="BF149" s="591">
        <v>0</v>
      </c>
      <c r="BG149" s="591">
        <v>0</v>
      </c>
      <c r="BH149" s="591">
        <v>0</v>
      </c>
      <c r="BI149" s="591">
        <v>0</v>
      </c>
      <c r="BJ149" s="591">
        <v>0</v>
      </c>
      <c r="BK149" s="700">
        <v>46200000</v>
      </c>
      <c r="BL149" s="589">
        <v>46200000</v>
      </c>
      <c r="BM149" s="589">
        <v>0</v>
      </c>
      <c r="BN149" s="589">
        <v>0</v>
      </c>
      <c r="BO149" s="589">
        <v>0</v>
      </c>
      <c r="BP149" s="589">
        <v>0</v>
      </c>
      <c r="BQ149" s="589">
        <v>0</v>
      </c>
      <c r="BR149" s="589">
        <v>0</v>
      </c>
      <c r="BS149" s="589">
        <v>0</v>
      </c>
      <c r="BT149" s="589">
        <v>0</v>
      </c>
      <c r="BU149" s="589">
        <v>0</v>
      </c>
      <c r="BV149" s="588">
        <f t="shared" si="131"/>
        <v>0.16500000000000001</v>
      </c>
      <c r="BW149" s="588">
        <v>1</v>
      </c>
      <c r="BX149" s="623">
        <f t="shared" si="132"/>
        <v>1</v>
      </c>
      <c r="BY149" s="639">
        <v>1</v>
      </c>
      <c r="BZ149" s="638">
        <v>1</v>
      </c>
      <c r="CA149" s="1018">
        <v>1</v>
      </c>
      <c r="CB149" s="557">
        <f t="shared" si="133"/>
        <v>1</v>
      </c>
      <c r="CC149" s="557">
        <f t="shared" si="134"/>
        <v>100</v>
      </c>
      <c r="CD149" s="622">
        <f t="shared" si="135"/>
        <v>100</v>
      </c>
      <c r="CE149" s="621">
        <f t="shared" si="136"/>
        <v>0.16500000000000001</v>
      </c>
      <c r="CF149" s="605">
        <f t="shared" si="137"/>
        <v>100</v>
      </c>
      <c r="CG149" s="621">
        <f t="shared" si="138"/>
        <v>0.16500000000000001</v>
      </c>
      <c r="CH149" s="553">
        <f t="shared" si="139"/>
        <v>0</v>
      </c>
      <c r="CI149" s="552">
        <v>0</v>
      </c>
      <c r="CJ149" s="551">
        <f t="shared" si="140"/>
        <v>0</v>
      </c>
      <c r="CK149" s="871">
        <v>0</v>
      </c>
      <c r="CL149" s="533">
        <f t="shared" si="141"/>
        <v>0</v>
      </c>
      <c r="CM149" s="619">
        <f t="shared" si="142"/>
        <v>0</v>
      </c>
      <c r="CN149" s="619">
        <f t="shared" si="143"/>
        <v>0</v>
      </c>
      <c r="CO149" s="549">
        <f t="shared" si="144"/>
        <v>0</v>
      </c>
      <c r="CP149" s="619">
        <f t="shared" si="145"/>
        <v>0</v>
      </c>
      <c r="CQ149" s="619">
        <f t="shared" si="146"/>
        <v>0</v>
      </c>
      <c r="CR149" s="546">
        <v>0</v>
      </c>
      <c r="CS149" s="546">
        <v>0</v>
      </c>
      <c r="CT149" s="546">
        <v>0</v>
      </c>
      <c r="CU149" s="546">
        <v>0</v>
      </c>
      <c r="CV149" s="546">
        <v>0</v>
      </c>
      <c r="CW149" s="546">
        <v>0</v>
      </c>
      <c r="CX149" s="546">
        <v>0</v>
      </c>
      <c r="CY149" s="546">
        <v>0</v>
      </c>
      <c r="CZ149" s="618">
        <v>0</v>
      </c>
      <c r="DA149" s="618">
        <v>0</v>
      </c>
      <c r="DB149" s="618">
        <v>0</v>
      </c>
      <c r="DC149" s="618">
        <v>0</v>
      </c>
      <c r="DD149" s="618">
        <v>0</v>
      </c>
      <c r="DE149" s="618">
        <v>0</v>
      </c>
      <c r="DF149" s="618">
        <v>0</v>
      </c>
      <c r="DG149" s="618">
        <v>0</v>
      </c>
      <c r="DH149" s="618">
        <v>0</v>
      </c>
      <c r="DI149" s="618">
        <v>0</v>
      </c>
      <c r="DJ149" s="618">
        <v>0</v>
      </c>
      <c r="DK149" s="1034">
        <f t="shared" si="147"/>
        <v>1</v>
      </c>
      <c r="DL149" s="543">
        <f t="shared" si="148"/>
        <v>0.16500000000000001</v>
      </c>
      <c r="DM149" s="542">
        <f t="shared" si="149"/>
        <v>100</v>
      </c>
      <c r="DN149" s="594">
        <f t="shared" si="150"/>
        <v>100</v>
      </c>
      <c r="DO149" s="540">
        <f t="shared" si="151"/>
        <v>0.16500000000000001</v>
      </c>
      <c r="DP149" s="597">
        <f t="shared" si="157"/>
        <v>0.16500000000000001</v>
      </c>
      <c r="DQ149" s="538">
        <f t="shared" si="152"/>
        <v>0.16500000000000001</v>
      </c>
      <c r="DR149" s="617">
        <f t="shared" si="153"/>
        <v>1</v>
      </c>
      <c r="DS149" s="616">
        <f t="shared" si="154"/>
        <v>0</v>
      </c>
      <c r="DT149" s="259">
        <v>179</v>
      </c>
      <c r="DU149" s="260" t="s">
        <v>605</v>
      </c>
      <c r="DV149" s="259"/>
      <c r="DW149" s="260" t="s">
        <v>242</v>
      </c>
      <c r="DX149" s="259"/>
      <c r="DY149" s="259"/>
      <c r="DZ149" s="259"/>
      <c r="EA149" s="987"/>
      <c r="EB149" s="1041" t="s">
        <v>2489</v>
      </c>
      <c r="EC149" s="802">
        <v>0</v>
      </c>
      <c r="EE149" s="1047"/>
    </row>
    <row r="150" spans="4:135" s="534" customFormat="1" ht="72" hidden="1" x14ac:dyDescent="0.3">
      <c r="D150" s="783">
        <v>147</v>
      </c>
      <c r="E150" s="799">
        <v>186</v>
      </c>
      <c r="F150" s="787" t="s">
        <v>200</v>
      </c>
      <c r="G150" s="787" t="s">
        <v>7</v>
      </c>
      <c r="H150" s="788" t="s">
        <v>138</v>
      </c>
      <c r="I150" s="712" t="s">
        <v>346</v>
      </c>
      <c r="J150" s="573" t="s">
        <v>615</v>
      </c>
      <c r="K150" s="573" t="s">
        <v>616</v>
      </c>
      <c r="L150" s="702" t="s">
        <v>2205</v>
      </c>
      <c r="M150" s="570" t="s">
        <v>2017</v>
      </c>
      <c r="N150" s="570">
        <v>0</v>
      </c>
      <c r="O150" s="570">
        <f t="shared" si="156"/>
        <v>6</v>
      </c>
      <c r="P150" s="569">
        <v>6</v>
      </c>
      <c r="Q150" s="628">
        <v>8.8999999999999996E-2</v>
      </c>
      <c r="R150" s="580">
        <f t="shared" si="118"/>
        <v>0</v>
      </c>
      <c r="S150" s="708">
        <v>0</v>
      </c>
      <c r="T150" s="625">
        <f t="shared" si="119"/>
        <v>0</v>
      </c>
      <c r="U150" s="992">
        <v>0</v>
      </c>
      <c r="V150" s="626">
        <f t="shared" si="120"/>
        <v>0</v>
      </c>
      <c r="W150" s="594">
        <f t="shared" si="121"/>
        <v>0</v>
      </c>
      <c r="X150" s="594">
        <f t="shared" si="122"/>
        <v>0</v>
      </c>
      <c r="Y150" s="594">
        <f t="shared" si="155"/>
        <v>0</v>
      </c>
      <c r="Z150" s="594">
        <f t="shared" si="123"/>
        <v>0</v>
      </c>
      <c r="AA150" s="546">
        <v>0</v>
      </c>
      <c r="AB150" s="546">
        <v>0</v>
      </c>
      <c r="AC150" s="546">
        <v>0</v>
      </c>
      <c r="AD150" s="546">
        <v>0</v>
      </c>
      <c r="AE150" s="546">
        <v>0</v>
      </c>
      <c r="AF150" s="546">
        <v>0</v>
      </c>
      <c r="AG150" s="546">
        <v>0</v>
      </c>
      <c r="AH150" s="546">
        <v>0</v>
      </c>
      <c r="AI150" s="546">
        <v>0</v>
      </c>
      <c r="AJ150" s="546">
        <v>0</v>
      </c>
      <c r="AK150" s="546">
        <v>0</v>
      </c>
      <c r="AL150" s="546">
        <v>0</v>
      </c>
      <c r="AM150" s="546">
        <v>0</v>
      </c>
      <c r="AN150" s="546">
        <v>0</v>
      </c>
      <c r="AO150" s="546">
        <v>0</v>
      </c>
      <c r="AP150" s="546">
        <v>0</v>
      </c>
      <c r="AQ150" s="546">
        <v>0</v>
      </c>
      <c r="AR150" s="546">
        <v>0</v>
      </c>
      <c r="AS150" s="546">
        <v>0</v>
      </c>
      <c r="AT150" s="570">
        <f t="shared" si="124"/>
        <v>0</v>
      </c>
      <c r="AU150" s="570">
        <v>0</v>
      </c>
      <c r="AV150" s="625">
        <f t="shared" si="125"/>
        <v>0</v>
      </c>
      <c r="AW150" s="1003">
        <v>0</v>
      </c>
      <c r="AX150" s="604">
        <f t="shared" si="126"/>
        <v>0</v>
      </c>
      <c r="AY150" s="604">
        <f t="shared" si="127"/>
        <v>0</v>
      </c>
      <c r="AZ150" s="604">
        <f t="shared" si="128"/>
        <v>0</v>
      </c>
      <c r="BA150" s="592">
        <f t="shared" si="129"/>
        <v>0</v>
      </c>
      <c r="BB150" s="592">
        <f t="shared" si="130"/>
        <v>0</v>
      </c>
      <c r="BC150" s="591">
        <v>0</v>
      </c>
      <c r="BD150" s="591">
        <v>0</v>
      </c>
      <c r="BE150" s="591">
        <v>0</v>
      </c>
      <c r="BF150" s="591">
        <v>0</v>
      </c>
      <c r="BG150" s="591">
        <v>0</v>
      </c>
      <c r="BH150" s="591">
        <v>0</v>
      </c>
      <c r="BI150" s="591">
        <v>0</v>
      </c>
      <c r="BJ150" s="591">
        <v>0</v>
      </c>
      <c r="BK150" s="700">
        <v>0</v>
      </c>
      <c r="BL150" s="589">
        <v>0</v>
      </c>
      <c r="BM150" s="589">
        <v>0</v>
      </c>
      <c r="BN150" s="589">
        <v>0</v>
      </c>
      <c r="BO150" s="589">
        <v>0</v>
      </c>
      <c r="BP150" s="589">
        <v>0</v>
      </c>
      <c r="BQ150" s="589">
        <v>0</v>
      </c>
      <c r="BR150" s="589">
        <v>0</v>
      </c>
      <c r="BS150" s="589">
        <v>0</v>
      </c>
      <c r="BT150" s="589">
        <v>0</v>
      </c>
      <c r="BU150" s="589">
        <v>0</v>
      </c>
      <c r="BV150" s="588">
        <f t="shared" si="131"/>
        <v>4.4499999999999998E-2</v>
      </c>
      <c r="BW150" s="588">
        <v>3</v>
      </c>
      <c r="BX150" s="623">
        <f t="shared" si="132"/>
        <v>0.5</v>
      </c>
      <c r="BY150" s="639">
        <v>2</v>
      </c>
      <c r="BZ150" s="638">
        <v>2</v>
      </c>
      <c r="CA150" s="1018">
        <v>3</v>
      </c>
      <c r="CB150" s="557">
        <f t="shared" si="133"/>
        <v>3</v>
      </c>
      <c r="CC150" s="557">
        <f t="shared" si="134"/>
        <v>100</v>
      </c>
      <c r="CD150" s="622">
        <f t="shared" si="135"/>
        <v>100</v>
      </c>
      <c r="CE150" s="621">
        <f t="shared" si="136"/>
        <v>4.4500000000000005E-2</v>
      </c>
      <c r="CF150" s="605">
        <f t="shared" si="137"/>
        <v>100</v>
      </c>
      <c r="CG150" s="621">
        <f t="shared" si="138"/>
        <v>4.4500000000000005E-2</v>
      </c>
      <c r="CH150" s="553">
        <f t="shared" si="139"/>
        <v>4.4499999999999998E-2</v>
      </c>
      <c r="CI150" s="552">
        <v>3</v>
      </c>
      <c r="CJ150" s="551">
        <f t="shared" si="140"/>
        <v>0.5</v>
      </c>
      <c r="CK150" s="874">
        <v>0</v>
      </c>
      <c r="CL150" s="533">
        <f t="shared" si="141"/>
        <v>3</v>
      </c>
      <c r="CM150" s="619">
        <f t="shared" si="142"/>
        <v>0</v>
      </c>
      <c r="CN150" s="619">
        <f t="shared" si="143"/>
        <v>0</v>
      </c>
      <c r="CO150" s="549">
        <f t="shared" si="144"/>
        <v>0</v>
      </c>
      <c r="CP150" s="619">
        <f t="shared" si="145"/>
        <v>0</v>
      </c>
      <c r="CQ150" s="619">
        <f t="shared" si="146"/>
        <v>0</v>
      </c>
      <c r="CR150" s="546">
        <v>0</v>
      </c>
      <c r="CS150" s="546">
        <v>0</v>
      </c>
      <c r="CT150" s="546">
        <v>0</v>
      </c>
      <c r="CU150" s="546">
        <v>0</v>
      </c>
      <c r="CV150" s="546">
        <v>0</v>
      </c>
      <c r="CW150" s="546">
        <v>0</v>
      </c>
      <c r="CX150" s="546">
        <v>0</v>
      </c>
      <c r="CY150" s="546">
        <v>0</v>
      </c>
      <c r="CZ150" s="618">
        <v>0</v>
      </c>
      <c r="DA150" s="618">
        <v>0</v>
      </c>
      <c r="DB150" s="618">
        <v>0</v>
      </c>
      <c r="DC150" s="618">
        <v>0</v>
      </c>
      <c r="DD150" s="618">
        <v>0</v>
      </c>
      <c r="DE150" s="618">
        <v>0</v>
      </c>
      <c r="DF150" s="618">
        <v>0</v>
      </c>
      <c r="DG150" s="618">
        <v>0</v>
      </c>
      <c r="DH150" s="618">
        <v>0</v>
      </c>
      <c r="DI150" s="618">
        <v>0</v>
      </c>
      <c r="DJ150" s="618">
        <v>0</v>
      </c>
      <c r="DK150" s="1034">
        <f t="shared" si="147"/>
        <v>3</v>
      </c>
      <c r="DL150" s="543">
        <f t="shared" si="148"/>
        <v>8.8999999999999996E-2</v>
      </c>
      <c r="DM150" s="542">
        <f t="shared" si="149"/>
        <v>50</v>
      </c>
      <c r="DN150" s="594">
        <f t="shared" si="150"/>
        <v>50</v>
      </c>
      <c r="DO150" s="540">
        <f t="shared" si="151"/>
        <v>4.4500000000000005E-2</v>
      </c>
      <c r="DP150" s="597">
        <f t="shared" si="157"/>
        <v>4.4500000000000005E-2</v>
      </c>
      <c r="DQ150" s="538">
        <f t="shared" si="152"/>
        <v>4.4500000000000005E-2</v>
      </c>
      <c r="DR150" s="617">
        <f t="shared" si="153"/>
        <v>1</v>
      </c>
      <c r="DS150" s="616">
        <f t="shared" si="154"/>
        <v>0</v>
      </c>
      <c r="DT150" s="259">
        <v>179</v>
      </c>
      <c r="DU150" s="260" t="s">
        <v>605</v>
      </c>
      <c r="DV150" s="259"/>
      <c r="DW150" s="260" t="s">
        <v>242</v>
      </c>
      <c r="DX150" s="259"/>
      <c r="DY150" s="259"/>
      <c r="DZ150" s="259"/>
      <c r="EA150" s="987"/>
      <c r="EB150" s="1041" t="s">
        <v>2490</v>
      </c>
      <c r="EC150" s="802">
        <v>0</v>
      </c>
      <c r="EE150" s="1047"/>
    </row>
    <row r="151" spans="4:135" s="534" customFormat="1" ht="72" hidden="1" x14ac:dyDescent="0.3">
      <c r="D151" s="783">
        <v>148</v>
      </c>
      <c r="E151" s="799">
        <v>187</v>
      </c>
      <c r="F151" s="787" t="s">
        <v>200</v>
      </c>
      <c r="G151" s="787" t="s">
        <v>7</v>
      </c>
      <c r="H151" s="788" t="s">
        <v>138</v>
      </c>
      <c r="I151" s="712" t="s">
        <v>346</v>
      </c>
      <c r="J151" s="573" t="s">
        <v>617</v>
      </c>
      <c r="K151" s="573" t="s">
        <v>618</v>
      </c>
      <c r="L151" s="702" t="s">
        <v>2242</v>
      </c>
      <c r="M151" s="570" t="s">
        <v>2017</v>
      </c>
      <c r="N151" s="570">
        <v>0</v>
      </c>
      <c r="O151" s="570">
        <f t="shared" si="156"/>
        <v>160</v>
      </c>
      <c r="P151" s="569">
        <v>160</v>
      </c>
      <c r="Q151" s="628">
        <v>0.16500000000000001</v>
      </c>
      <c r="R151" s="580">
        <f t="shared" si="118"/>
        <v>0</v>
      </c>
      <c r="S151" s="708">
        <v>0</v>
      </c>
      <c r="T151" s="625">
        <f t="shared" si="119"/>
        <v>0</v>
      </c>
      <c r="U151" s="992">
        <v>0</v>
      </c>
      <c r="V151" s="626">
        <f t="shared" si="120"/>
        <v>0</v>
      </c>
      <c r="W151" s="594">
        <f t="shared" si="121"/>
        <v>0</v>
      </c>
      <c r="X151" s="594">
        <f t="shared" si="122"/>
        <v>0</v>
      </c>
      <c r="Y151" s="594">
        <f t="shared" si="155"/>
        <v>0</v>
      </c>
      <c r="Z151" s="594">
        <f t="shared" si="123"/>
        <v>0</v>
      </c>
      <c r="AA151" s="546">
        <v>200000000</v>
      </c>
      <c r="AB151" s="546">
        <v>100000000</v>
      </c>
      <c r="AC151" s="546">
        <v>0</v>
      </c>
      <c r="AD151" s="546">
        <v>0</v>
      </c>
      <c r="AE151" s="546">
        <v>0</v>
      </c>
      <c r="AF151" s="546">
        <v>0</v>
      </c>
      <c r="AG151" s="546">
        <v>0</v>
      </c>
      <c r="AH151" s="546">
        <v>100000000</v>
      </c>
      <c r="AI151" s="546">
        <v>0</v>
      </c>
      <c r="AJ151" s="546">
        <v>0</v>
      </c>
      <c r="AK151" s="546">
        <v>0</v>
      </c>
      <c r="AL151" s="546">
        <v>0</v>
      </c>
      <c r="AM151" s="546">
        <v>0</v>
      </c>
      <c r="AN151" s="546">
        <v>0</v>
      </c>
      <c r="AO151" s="546">
        <v>0</v>
      </c>
      <c r="AP151" s="546">
        <v>0</v>
      </c>
      <c r="AQ151" s="546">
        <v>0</v>
      </c>
      <c r="AR151" s="546">
        <v>0</v>
      </c>
      <c r="AS151" s="546">
        <v>0</v>
      </c>
      <c r="AT151" s="570">
        <f t="shared" si="124"/>
        <v>5.3625000000000006E-2</v>
      </c>
      <c r="AU151" s="570">
        <v>52</v>
      </c>
      <c r="AV151" s="625">
        <f t="shared" si="125"/>
        <v>0.32500000000000001</v>
      </c>
      <c r="AW151" s="1003">
        <v>70</v>
      </c>
      <c r="AX151" s="604">
        <f t="shared" si="126"/>
        <v>70</v>
      </c>
      <c r="AY151" s="604">
        <f t="shared" si="127"/>
        <v>134.61538461538461</v>
      </c>
      <c r="AZ151" s="604">
        <f t="shared" si="128"/>
        <v>100</v>
      </c>
      <c r="BA151" s="592">
        <f t="shared" si="129"/>
        <v>5.3625000000000006E-2</v>
      </c>
      <c r="BB151" s="592">
        <f t="shared" si="130"/>
        <v>100</v>
      </c>
      <c r="BC151" s="591">
        <v>0</v>
      </c>
      <c r="BD151" s="591">
        <v>0</v>
      </c>
      <c r="BE151" s="591">
        <v>0</v>
      </c>
      <c r="BF151" s="591">
        <v>0</v>
      </c>
      <c r="BG151" s="591">
        <v>0</v>
      </c>
      <c r="BH151" s="591">
        <v>0</v>
      </c>
      <c r="BI151" s="591">
        <v>0</v>
      </c>
      <c r="BJ151" s="591">
        <v>0</v>
      </c>
      <c r="BK151" s="700">
        <v>0</v>
      </c>
      <c r="BL151" s="589">
        <v>0</v>
      </c>
      <c r="BM151" s="589">
        <v>0</v>
      </c>
      <c r="BN151" s="589">
        <v>0</v>
      </c>
      <c r="BO151" s="589">
        <v>0</v>
      </c>
      <c r="BP151" s="589">
        <v>0</v>
      </c>
      <c r="BQ151" s="589">
        <v>0</v>
      </c>
      <c r="BR151" s="589">
        <v>0</v>
      </c>
      <c r="BS151" s="589">
        <v>0</v>
      </c>
      <c r="BT151" s="589">
        <v>0</v>
      </c>
      <c r="BU151" s="589">
        <v>0</v>
      </c>
      <c r="BV151" s="588">
        <f t="shared" si="131"/>
        <v>5.8781250000000007E-2</v>
      </c>
      <c r="BW151" s="588">
        <v>57</v>
      </c>
      <c r="BX151" s="623">
        <f t="shared" si="132"/>
        <v>0.35625000000000001</v>
      </c>
      <c r="BY151" s="639">
        <v>0</v>
      </c>
      <c r="BZ151" s="638">
        <v>0</v>
      </c>
      <c r="CA151" s="1018">
        <v>0</v>
      </c>
      <c r="CB151" s="557">
        <f t="shared" si="133"/>
        <v>0</v>
      </c>
      <c r="CC151" s="557">
        <f t="shared" si="134"/>
        <v>0</v>
      </c>
      <c r="CD151" s="622">
        <f t="shared" si="135"/>
        <v>0</v>
      </c>
      <c r="CE151" s="621">
        <f t="shared" si="136"/>
        <v>0</v>
      </c>
      <c r="CF151" s="605">
        <f t="shared" si="137"/>
        <v>0</v>
      </c>
      <c r="CG151" s="621">
        <f t="shared" si="138"/>
        <v>0</v>
      </c>
      <c r="CH151" s="553">
        <f t="shared" si="139"/>
        <v>5.2593750000000002E-2</v>
      </c>
      <c r="CI151" s="552">
        <v>51</v>
      </c>
      <c r="CJ151" s="551">
        <f t="shared" si="140"/>
        <v>0.31874999999999998</v>
      </c>
      <c r="CK151" s="874">
        <v>0</v>
      </c>
      <c r="CL151" s="533">
        <f t="shared" si="141"/>
        <v>51</v>
      </c>
      <c r="CM151" s="619">
        <f t="shared" si="142"/>
        <v>0</v>
      </c>
      <c r="CN151" s="619">
        <f t="shared" si="143"/>
        <v>0</v>
      </c>
      <c r="CO151" s="549">
        <f t="shared" si="144"/>
        <v>0</v>
      </c>
      <c r="CP151" s="619">
        <f t="shared" si="145"/>
        <v>0</v>
      </c>
      <c r="CQ151" s="619">
        <f t="shared" si="146"/>
        <v>0</v>
      </c>
      <c r="CR151" s="546">
        <v>0</v>
      </c>
      <c r="CS151" s="546">
        <v>0</v>
      </c>
      <c r="CT151" s="546">
        <v>0</v>
      </c>
      <c r="CU151" s="546">
        <v>0</v>
      </c>
      <c r="CV151" s="546">
        <v>0</v>
      </c>
      <c r="CW151" s="546">
        <v>0</v>
      </c>
      <c r="CX151" s="546">
        <v>0</v>
      </c>
      <c r="CY151" s="546">
        <v>0</v>
      </c>
      <c r="CZ151" s="618">
        <v>0</v>
      </c>
      <c r="DA151" s="618">
        <v>0</v>
      </c>
      <c r="DB151" s="618">
        <v>0</v>
      </c>
      <c r="DC151" s="618">
        <v>0</v>
      </c>
      <c r="DD151" s="618">
        <v>0</v>
      </c>
      <c r="DE151" s="618">
        <v>0</v>
      </c>
      <c r="DF151" s="618">
        <v>0</v>
      </c>
      <c r="DG151" s="618">
        <v>0</v>
      </c>
      <c r="DH151" s="618">
        <v>0</v>
      </c>
      <c r="DI151" s="618">
        <v>0</v>
      </c>
      <c r="DJ151" s="618">
        <v>0</v>
      </c>
      <c r="DK151" s="1034">
        <f t="shared" si="147"/>
        <v>70</v>
      </c>
      <c r="DL151" s="543">
        <f t="shared" si="148"/>
        <v>0.16500000000000001</v>
      </c>
      <c r="DM151" s="542">
        <f t="shared" si="149"/>
        <v>43.75</v>
      </c>
      <c r="DN151" s="594">
        <f t="shared" si="150"/>
        <v>43.75</v>
      </c>
      <c r="DO151" s="540">
        <f t="shared" si="151"/>
        <v>7.2187500000000002E-2</v>
      </c>
      <c r="DP151" s="597">
        <f t="shared" si="157"/>
        <v>7.2187500000000002E-2</v>
      </c>
      <c r="DQ151" s="538">
        <f t="shared" si="152"/>
        <v>7.2187500000000002E-2</v>
      </c>
      <c r="DR151" s="617">
        <f t="shared" si="153"/>
        <v>1</v>
      </c>
      <c r="DS151" s="616">
        <f t="shared" si="154"/>
        <v>0</v>
      </c>
      <c r="DT151" s="259">
        <v>179</v>
      </c>
      <c r="DU151" s="260" t="s">
        <v>605</v>
      </c>
      <c r="DV151" s="259"/>
      <c r="DW151" s="260" t="s">
        <v>242</v>
      </c>
      <c r="DX151" s="259"/>
      <c r="DY151" s="259"/>
      <c r="DZ151" s="259"/>
      <c r="EA151" s="987"/>
      <c r="EB151" s="1041" t="s">
        <v>2491</v>
      </c>
      <c r="EC151" s="802">
        <v>0</v>
      </c>
      <c r="EE151" s="1047"/>
    </row>
    <row r="152" spans="4:135" s="534" customFormat="1" ht="76.5" hidden="1" x14ac:dyDescent="0.3">
      <c r="D152" s="783">
        <v>149</v>
      </c>
      <c r="E152" s="799">
        <v>188</v>
      </c>
      <c r="F152" s="787" t="s">
        <v>200</v>
      </c>
      <c r="G152" s="787" t="s">
        <v>3</v>
      </c>
      <c r="H152" s="788" t="s">
        <v>138</v>
      </c>
      <c r="I152" s="712" t="s">
        <v>346</v>
      </c>
      <c r="J152" s="573" t="s">
        <v>619</v>
      </c>
      <c r="K152" s="573" t="s">
        <v>620</v>
      </c>
      <c r="L152" s="702" t="s">
        <v>1682</v>
      </c>
      <c r="M152" s="570" t="s">
        <v>2017</v>
      </c>
      <c r="N152" s="570">
        <v>0</v>
      </c>
      <c r="O152" s="570">
        <f t="shared" si="156"/>
        <v>18000</v>
      </c>
      <c r="P152" s="569">
        <v>18000</v>
      </c>
      <c r="Q152" s="628">
        <v>0.16500000000000001</v>
      </c>
      <c r="R152" s="580">
        <f t="shared" si="118"/>
        <v>0</v>
      </c>
      <c r="S152" s="708">
        <v>0</v>
      </c>
      <c r="T152" s="625">
        <f t="shared" si="119"/>
        <v>0</v>
      </c>
      <c r="U152" s="992">
        <v>0</v>
      </c>
      <c r="V152" s="626">
        <f t="shared" si="120"/>
        <v>0</v>
      </c>
      <c r="W152" s="594">
        <f t="shared" si="121"/>
        <v>0</v>
      </c>
      <c r="X152" s="594">
        <f t="shared" si="122"/>
        <v>0</v>
      </c>
      <c r="Y152" s="594">
        <f t="shared" si="155"/>
        <v>0</v>
      </c>
      <c r="Z152" s="594">
        <f t="shared" si="123"/>
        <v>0</v>
      </c>
      <c r="AA152" s="546">
        <v>85000000</v>
      </c>
      <c r="AB152" s="546">
        <v>85000000</v>
      </c>
      <c r="AC152" s="546">
        <v>0</v>
      </c>
      <c r="AD152" s="546">
        <v>0</v>
      </c>
      <c r="AE152" s="546">
        <v>0</v>
      </c>
      <c r="AF152" s="546">
        <v>0</v>
      </c>
      <c r="AG152" s="546">
        <v>0</v>
      </c>
      <c r="AH152" s="546">
        <v>0</v>
      </c>
      <c r="AI152" s="546">
        <v>85000000</v>
      </c>
      <c r="AJ152" s="546">
        <v>85000000</v>
      </c>
      <c r="AK152" s="546">
        <v>0</v>
      </c>
      <c r="AL152" s="546">
        <v>0</v>
      </c>
      <c r="AM152" s="546">
        <v>0</v>
      </c>
      <c r="AN152" s="546">
        <v>0</v>
      </c>
      <c r="AO152" s="546">
        <v>0</v>
      </c>
      <c r="AP152" s="546">
        <v>0</v>
      </c>
      <c r="AQ152" s="546">
        <v>0</v>
      </c>
      <c r="AR152" s="546">
        <v>0</v>
      </c>
      <c r="AS152" s="546">
        <v>0</v>
      </c>
      <c r="AT152" s="570">
        <f t="shared" si="124"/>
        <v>5.5E-2</v>
      </c>
      <c r="AU152" s="570">
        <v>6000</v>
      </c>
      <c r="AV152" s="625">
        <f t="shared" si="125"/>
        <v>0.33333333333333331</v>
      </c>
      <c r="AW152" s="1003">
        <v>5693</v>
      </c>
      <c r="AX152" s="604">
        <f t="shared" si="126"/>
        <v>5693</v>
      </c>
      <c r="AY152" s="604">
        <f t="shared" si="127"/>
        <v>94.88333333333334</v>
      </c>
      <c r="AZ152" s="604">
        <f t="shared" si="128"/>
        <v>94.88333333333334</v>
      </c>
      <c r="BA152" s="592">
        <f t="shared" si="129"/>
        <v>5.2185833333333341E-2</v>
      </c>
      <c r="BB152" s="592">
        <f t="shared" si="130"/>
        <v>94.88333333333334</v>
      </c>
      <c r="BC152" s="591">
        <v>0</v>
      </c>
      <c r="BD152" s="591">
        <v>0</v>
      </c>
      <c r="BE152" s="591">
        <v>0</v>
      </c>
      <c r="BF152" s="591">
        <v>0</v>
      </c>
      <c r="BG152" s="591">
        <v>0</v>
      </c>
      <c r="BH152" s="591">
        <v>0</v>
      </c>
      <c r="BI152" s="591">
        <v>0</v>
      </c>
      <c r="BJ152" s="591">
        <v>0</v>
      </c>
      <c r="BK152" s="700">
        <v>195722768</v>
      </c>
      <c r="BL152" s="589">
        <v>195722768</v>
      </c>
      <c r="BM152" s="589">
        <v>0</v>
      </c>
      <c r="BN152" s="589">
        <v>0</v>
      </c>
      <c r="BO152" s="589">
        <v>0</v>
      </c>
      <c r="BP152" s="589">
        <v>0</v>
      </c>
      <c r="BQ152" s="589">
        <v>0</v>
      </c>
      <c r="BR152" s="589">
        <v>0</v>
      </c>
      <c r="BS152" s="589">
        <v>0</v>
      </c>
      <c r="BT152" s="589">
        <v>0</v>
      </c>
      <c r="BU152" s="589">
        <v>0</v>
      </c>
      <c r="BV152" s="588">
        <f t="shared" si="131"/>
        <v>5.5E-2</v>
      </c>
      <c r="BW152" s="588">
        <v>6000</v>
      </c>
      <c r="BX152" s="623">
        <f t="shared" si="132"/>
        <v>0.33333333333333331</v>
      </c>
      <c r="BY152" s="607">
        <v>6385</v>
      </c>
      <c r="BZ152" s="629">
        <v>6385</v>
      </c>
      <c r="CA152" s="1017">
        <v>6385</v>
      </c>
      <c r="CB152" s="557">
        <f t="shared" si="133"/>
        <v>6385</v>
      </c>
      <c r="CC152" s="557">
        <f t="shared" si="134"/>
        <v>106.41666666666667</v>
      </c>
      <c r="CD152" s="622">
        <f t="shared" si="135"/>
        <v>100</v>
      </c>
      <c r="CE152" s="621">
        <f t="shared" si="136"/>
        <v>5.5E-2</v>
      </c>
      <c r="CF152" s="605">
        <f t="shared" si="137"/>
        <v>100</v>
      </c>
      <c r="CG152" s="621">
        <f t="shared" si="138"/>
        <v>5.8529166666666674E-2</v>
      </c>
      <c r="CH152" s="553">
        <f t="shared" si="139"/>
        <v>5.5E-2</v>
      </c>
      <c r="CI152" s="552">
        <v>6000</v>
      </c>
      <c r="CJ152" s="551">
        <f t="shared" si="140"/>
        <v>0.33333333333333331</v>
      </c>
      <c r="CK152" s="874">
        <v>0</v>
      </c>
      <c r="CL152" s="533">
        <f t="shared" si="141"/>
        <v>6000</v>
      </c>
      <c r="CM152" s="619">
        <f t="shared" si="142"/>
        <v>0</v>
      </c>
      <c r="CN152" s="619">
        <f t="shared" si="143"/>
        <v>0</v>
      </c>
      <c r="CO152" s="549">
        <f t="shared" si="144"/>
        <v>0</v>
      </c>
      <c r="CP152" s="619">
        <f t="shared" si="145"/>
        <v>0</v>
      </c>
      <c r="CQ152" s="619">
        <f t="shared" si="146"/>
        <v>0</v>
      </c>
      <c r="CR152" s="546">
        <v>0</v>
      </c>
      <c r="CS152" s="546">
        <v>0</v>
      </c>
      <c r="CT152" s="546">
        <v>0</v>
      </c>
      <c r="CU152" s="546">
        <v>0</v>
      </c>
      <c r="CV152" s="546">
        <v>0</v>
      </c>
      <c r="CW152" s="546">
        <v>0</v>
      </c>
      <c r="CX152" s="546">
        <v>0</v>
      </c>
      <c r="CY152" s="546">
        <v>0</v>
      </c>
      <c r="CZ152" s="618">
        <v>0</v>
      </c>
      <c r="DA152" s="618">
        <v>0</v>
      </c>
      <c r="DB152" s="618">
        <v>0</v>
      </c>
      <c r="DC152" s="618">
        <v>0</v>
      </c>
      <c r="DD152" s="618">
        <v>0</v>
      </c>
      <c r="DE152" s="618">
        <v>0</v>
      </c>
      <c r="DF152" s="618">
        <v>0</v>
      </c>
      <c r="DG152" s="618">
        <v>0</v>
      </c>
      <c r="DH152" s="618">
        <v>0</v>
      </c>
      <c r="DI152" s="618">
        <v>0</v>
      </c>
      <c r="DJ152" s="618">
        <v>0</v>
      </c>
      <c r="DK152" s="1034">
        <f t="shared" si="147"/>
        <v>12078</v>
      </c>
      <c r="DL152" s="543">
        <f t="shared" si="148"/>
        <v>0.16500000000000001</v>
      </c>
      <c r="DM152" s="542">
        <f t="shared" si="149"/>
        <v>67.099999999999994</v>
      </c>
      <c r="DN152" s="594">
        <f t="shared" si="150"/>
        <v>67.099999999999994</v>
      </c>
      <c r="DO152" s="540">
        <f t="shared" si="151"/>
        <v>0.11071500000000001</v>
      </c>
      <c r="DP152" s="597">
        <f t="shared" si="157"/>
        <v>0.11071500000000001</v>
      </c>
      <c r="DQ152" s="538">
        <f t="shared" si="152"/>
        <v>0.11071500000000001</v>
      </c>
      <c r="DR152" s="617">
        <f t="shared" si="153"/>
        <v>1</v>
      </c>
      <c r="DS152" s="616">
        <f t="shared" si="154"/>
        <v>0</v>
      </c>
      <c r="DT152" s="259">
        <v>179</v>
      </c>
      <c r="DU152" s="260" t="s">
        <v>605</v>
      </c>
      <c r="DV152" s="259"/>
      <c r="DW152" s="260" t="s">
        <v>242</v>
      </c>
      <c r="DX152" s="259"/>
      <c r="DY152" s="259"/>
      <c r="DZ152" s="259"/>
      <c r="EA152" s="987"/>
      <c r="EB152" s="1041" t="s">
        <v>2492</v>
      </c>
      <c r="EC152" s="802">
        <v>0</v>
      </c>
      <c r="EE152" s="1047"/>
    </row>
    <row r="153" spans="4:135" s="534" customFormat="1" ht="72" hidden="1" x14ac:dyDescent="0.3">
      <c r="D153" s="783">
        <v>150</v>
      </c>
      <c r="E153" s="799">
        <v>189</v>
      </c>
      <c r="F153" s="787" t="s">
        <v>200</v>
      </c>
      <c r="G153" s="787" t="s">
        <v>3</v>
      </c>
      <c r="H153" s="788" t="s">
        <v>138</v>
      </c>
      <c r="I153" s="712" t="s">
        <v>346</v>
      </c>
      <c r="J153" s="573" t="s">
        <v>621</v>
      </c>
      <c r="K153" s="573" t="s">
        <v>622</v>
      </c>
      <c r="L153" s="702" t="s">
        <v>1682</v>
      </c>
      <c r="M153" s="570" t="s">
        <v>2017</v>
      </c>
      <c r="N153" s="570">
        <v>0</v>
      </c>
      <c r="O153" s="570">
        <f t="shared" si="156"/>
        <v>17863</v>
      </c>
      <c r="P153" s="569">
        <v>17863</v>
      </c>
      <c r="Q153" s="628">
        <v>0.16500000000000001</v>
      </c>
      <c r="R153" s="580">
        <f t="shared" si="118"/>
        <v>4.1252309242568438E-2</v>
      </c>
      <c r="S153" s="708">
        <v>4466</v>
      </c>
      <c r="T153" s="625">
        <f t="shared" si="119"/>
        <v>0.2500139954095057</v>
      </c>
      <c r="U153" s="992">
        <v>5359</v>
      </c>
      <c r="V153" s="626">
        <f t="shared" si="120"/>
        <v>5359</v>
      </c>
      <c r="W153" s="594">
        <f t="shared" si="121"/>
        <v>119.99552171965965</v>
      </c>
      <c r="X153" s="594">
        <f t="shared" si="122"/>
        <v>100</v>
      </c>
      <c r="Y153" s="594">
        <f t="shared" si="155"/>
        <v>4.1252309242568438E-2</v>
      </c>
      <c r="Z153" s="594">
        <f t="shared" si="123"/>
        <v>100</v>
      </c>
      <c r="AA153" s="546">
        <v>76000000</v>
      </c>
      <c r="AB153" s="546">
        <v>13000000</v>
      </c>
      <c r="AC153" s="546">
        <v>0</v>
      </c>
      <c r="AD153" s="546">
        <v>0</v>
      </c>
      <c r="AE153" s="546">
        <v>0</v>
      </c>
      <c r="AF153" s="546">
        <v>0</v>
      </c>
      <c r="AG153" s="546">
        <v>0</v>
      </c>
      <c r="AH153" s="546">
        <v>63000000</v>
      </c>
      <c r="AI153" s="546">
        <v>76000000</v>
      </c>
      <c r="AJ153" s="546">
        <v>13000000</v>
      </c>
      <c r="AK153" s="546">
        <v>0</v>
      </c>
      <c r="AL153" s="546">
        <v>63000000</v>
      </c>
      <c r="AM153" s="546">
        <v>0</v>
      </c>
      <c r="AN153" s="546">
        <v>0</v>
      </c>
      <c r="AO153" s="546">
        <v>0</v>
      </c>
      <c r="AP153" s="546">
        <v>0</v>
      </c>
      <c r="AQ153" s="546">
        <v>0</v>
      </c>
      <c r="AR153" s="546">
        <v>0</v>
      </c>
      <c r="AS153" s="546">
        <v>0</v>
      </c>
      <c r="AT153" s="570">
        <f t="shared" si="124"/>
        <v>4.1252309242568438E-2</v>
      </c>
      <c r="AU153" s="570">
        <v>4466</v>
      </c>
      <c r="AV153" s="625">
        <f t="shared" si="125"/>
        <v>0.2500139954095057</v>
      </c>
      <c r="AW153" s="1003">
        <v>4649</v>
      </c>
      <c r="AX153" s="604">
        <f t="shared" si="126"/>
        <v>4649</v>
      </c>
      <c r="AY153" s="604">
        <f t="shared" si="127"/>
        <v>104.09762651141962</v>
      </c>
      <c r="AZ153" s="604">
        <f t="shared" si="128"/>
        <v>100</v>
      </c>
      <c r="BA153" s="592">
        <f t="shared" si="129"/>
        <v>4.1252309242568438E-2</v>
      </c>
      <c r="BB153" s="592">
        <f t="shared" si="130"/>
        <v>100</v>
      </c>
      <c r="BC153" s="591">
        <v>0</v>
      </c>
      <c r="BD153" s="591">
        <v>0</v>
      </c>
      <c r="BE153" s="591">
        <v>0</v>
      </c>
      <c r="BF153" s="591">
        <v>0</v>
      </c>
      <c r="BG153" s="591">
        <v>0</v>
      </c>
      <c r="BH153" s="591">
        <v>0</v>
      </c>
      <c r="BI153" s="591">
        <v>0</v>
      </c>
      <c r="BJ153" s="591">
        <v>0</v>
      </c>
      <c r="BK153" s="700">
        <v>104374451</v>
      </c>
      <c r="BL153" s="589">
        <v>104374451</v>
      </c>
      <c r="BM153" s="589">
        <v>0</v>
      </c>
      <c r="BN153" s="589">
        <v>0</v>
      </c>
      <c r="BO153" s="589">
        <v>0</v>
      </c>
      <c r="BP153" s="589">
        <v>0</v>
      </c>
      <c r="BQ153" s="589">
        <v>0</v>
      </c>
      <c r="BR153" s="589">
        <v>0</v>
      </c>
      <c r="BS153" s="589">
        <v>0</v>
      </c>
      <c r="BT153" s="589">
        <v>0</v>
      </c>
      <c r="BU153" s="589">
        <v>0</v>
      </c>
      <c r="BV153" s="588">
        <f t="shared" si="131"/>
        <v>4.1252309242568438E-2</v>
      </c>
      <c r="BW153" s="588">
        <v>4466</v>
      </c>
      <c r="BX153" s="623">
        <f t="shared" si="132"/>
        <v>0.2500139954095057</v>
      </c>
      <c r="BY153" s="607">
        <v>4200</v>
      </c>
      <c r="BZ153" s="629">
        <v>4200</v>
      </c>
      <c r="CA153" s="1017">
        <v>4557</v>
      </c>
      <c r="CB153" s="557">
        <f t="shared" si="133"/>
        <v>4557</v>
      </c>
      <c r="CC153" s="557">
        <f t="shared" si="134"/>
        <v>102.03761755485894</v>
      </c>
      <c r="CD153" s="622">
        <f t="shared" si="135"/>
        <v>100</v>
      </c>
      <c r="CE153" s="621">
        <f t="shared" si="136"/>
        <v>4.1252309242568438E-2</v>
      </c>
      <c r="CF153" s="605">
        <f t="shared" si="137"/>
        <v>100</v>
      </c>
      <c r="CG153" s="621">
        <f t="shared" si="138"/>
        <v>4.2092873537479709E-2</v>
      </c>
      <c r="CH153" s="553">
        <f t="shared" si="139"/>
        <v>4.1243072272294685E-2</v>
      </c>
      <c r="CI153" s="552">
        <v>4465</v>
      </c>
      <c r="CJ153" s="551">
        <f t="shared" si="140"/>
        <v>0.24995801377148294</v>
      </c>
      <c r="CK153" s="874">
        <v>1473</v>
      </c>
      <c r="CL153" s="533">
        <f t="shared" si="141"/>
        <v>2992</v>
      </c>
      <c r="CM153" s="619">
        <f t="shared" si="142"/>
        <v>1473</v>
      </c>
      <c r="CN153" s="619">
        <f t="shared" si="143"/>
        <v>32.989921612541991</v>
      </c>
      <c r="CO153" s="549">
        <f t="shared" si="144"/>
        <v>32.989921612541991</v>
      </c>
      <c r="CP153" s="619">
        <f t="shared" si="145"/>
        <v>1.3606057213234057E-2</v>
      </c>
      <c r="CQ153" s="619">
        <f t="shared" si="146"/>
        <v>1.3606057213234057E-2</v>
      </c>
      <c r="CR153" s="546">
        <v>0</v>
      </c>
      <c r="CS153" s="546">
        <v>0</v>
      </c>
      <c r="CT153" s="546">
        <v>0</v>
      </c>
      <c r="CU153" s="546">
        <v>0</v>
      </c>
      <c r="CV153" s="546">
        <v>0</v>
      </c>
      <c r="CW153" s="546">
        <v>0</v>
      </c>
      <c r="CX153" s="546">
        <v>0</v>
      </c>
      <c r="CY153" s="546">
        <v>0</v>
      </c>
      <c r="CZ153" s="618">
        <v>0</v>
      </c>
      <c r="DA153" s="618">
        <v>0</v>
      </c>
      <c r="DB153" s="618">
        <v>0</v>
      </c>
      <c r="DC153" s="618">
        <v>0</v>
      </c>
      <c r="DD153" s="618">
        <v>0</v>
      </c>
      <c r="DE153" s="618">
        <v>0</v>
      </c>
      <c r="DF153" s="618">
        <v>0</v>
      </c>
      <c r="DG153" s="618">
        <v>0</v>
      </c>
      <c r="DH153" s="618">
        <v>0</v>
      </c>
      <c r="DI153" s="618">
        <v>0</v>
      </c>
      <c r="DJ153" s="618">
        <v>0</v>
      </c>
      <c r="DK153" s="1034">
        <f t="shared" si="147"/>
        <v>16038</v>
      </c>
      <c r="DL153" s="543">
        <f t="shared" si="148"/>
        <v>0.16500000000000001</v>
      </c>
      <c r="DM153" s="542">
        <f t="shared" si="149"/>
        <v>89.783351060852041</v>
      </c>
      <c r="DN153" s="594">
        <f t="shared" si="150"/>
        <v>89.783351060852041</v>
      </c>
      <c r="DO153" s="540">
        <f t="shared" si="151"/>
        <v>0.14814252925040589</v>
      </c>
      <c r="DP153" s="597">
        <f t="shared" si="157"/>
        <v>0.14814252925040589</v>
      </c>
      <c r="DQ153" s="538">
        <f t="shared" si="152"/>
        <v>0.14814252925040589</v>
      </c>
      <c r="DR153" s="617">
        <f t="shared" si="153"/>
        <v>1</v>
      </c>
      <c r="DS153" s="616">
        <f t="shared" si="154"/>
        <v>0</v>
      </c>
      <c r="DT153" s="259">
        <v>179</v>
      </c>
      <c r="DU153" s="260" t="s">
        <v>605</v>
      </c>
      <c r="DV153" s="259"/>
      <c r="DW153" s="260" t="s">
        <v>242</v>
      </c>
      <c r="DX153" s="259"/>
      <c r="DY153" s="259"/>
      <c r="DZ153" s="259"/>
      <c r="EA153" s="987"/>
      <c r="EB153" s="1041" t="s">
        <v>2475</v>
      </c>
      <c r="EC153" s="802">
        <v>0</v>
      </c>
      <c r="EE153" s="1047"/>
    </row>
    <row r="154" spans="4:135" s="534" customFormat="1" ht="127.5" hidden="1" x14ac:dyDescent="0.3">
      <c r="D154" s="783">
        <v>151</v>
      </c>
      <c r="E154" s="799">
        <v>190</v>
      </c>
      <c r="F154" s="787" t="s">
        <v>200</v>
      </c>
      <c r="G154" s="787" t="s">
        <v>239</v>
      </c>
      <c r="H154" s="788" t="s">
        <v>138</v>
      </c>
      <c r="I154" s="712" t="s">
        <v>346</v>
      </c>
      <c r="J154" s="573" t="s">
        <v>623</v>
      </c>
      <c r="K154" s="573" t="s">
        <v>624</v>
      </c>
      <c r="L154" s="702" t="s">
        <v>2241</v>
      </c>
      <c r="M154" s="570" t="s">
        <v>2017</v>
      </c>
      <c r="N154" s="570">
        <v>92</v>
      </c>
      <c r="O154" s="570">
        <f t="shared" si="156"/>
        <v>192</v>
      </c>
      <c r="P154" s="569">
        <v>100</v>
      </c>
      <c r="Q154" s="628">
        <v>0.16500000000000001</v>
      </c>
      <c r="R154" s="580">
        <f t="shared" si="118"/>
        <v>4.1250000000000002E-2</v>
      </c>
      <c r="S154" s="708">
        <v>25</v>
      </c>
      <c r="T154" s="625">
        <f t="shared" si="119"/>
        <v>0.25</v>
      </c>
      <c r="U154" s="992">
        <v>47</v>
      </c>
      <c r="V154" s="626">
        <f t="shared" si="120"/>
        <v>47</v>
      </c>
      <c r="W154" s="594">
        <f t="shared" si="121"/>
        <v>188</v>
      </c>
      <c r="X154" s="594">
        <f t="shared" si="122"/>
        <v>100</v>
      </c>
      <c r="Y154" s="594">
        <f t="shared" si="155"/>
        <v>4.1250000000000002E-2</v>
      </c>
      <c r="Z154" s="594">
        <f t="shared" si="123"/>
        <v>100</v>
      </c>
      <c r="AA154" s="546">
        <v>54000000</v>
      </c>
      <c r="AB154" s="546">
        <v>54000000</v>
      </c>
      <c r="AC154" s="546">
        <v>0</v>
      </c>
      <c r="AD154" s="546">
        <v>0</v>
      </c>
      <c r="AE154" s="546">
        <v>0</v>
      </c>
      <c r="AF154" s="546">
        <v>0</v>
      </c>
      <c r="AG154" s="546">
        <v>0</v>
      </c>
      <c r="AH154" s="546">
        <v>0</v>
      </c>
      <c r="AI154" s="546">
        <v>0</v>
      </c>
      <c r="AJ154" s="546">
        <v>0</v>
      </c>
      <c r="AK154" s="546">
        <v>0</v>
      </c>
      <c r="AL154" s="546">
        <v>0</v>
      </c>
      <c r="AM154" s="546">
        <v>0</v>
      </c>
      <c r="AN154" s="546">
        <v>0</v>
      </c>
      <c r="AO154" s="546">
        <v>0</v>
      </c>
      <c r="AP154" s="546">
        <v>0</v>
      </c>
      <c r="AQ154" s="546">
        <v>0</v>
      </c>
      <c r="AR154" s="546">
        <v>18182000</v>
      </c>
      <c r="AS154" s="546" t="s">
        <v>2240</v>
      </c>
      <c r="AT154" s="570">
        <f t="shared" si="124"/>
        <v>4.1250000000000002E-2</v>
      </c>
      <c r="AU154" s="570">
        <v>25</v>
      </c>
      <c r="AV154" s="625">
        <f t="shared" si="125"/>
        <v>0.25</v>
      </c>
      <c r="AW154" s="1003">
        <v>84</v>
      </c>
      <c r="AX154" s="604">
        <f t="shared" si="126"/>
        <v>84</v>
      </c>
      <c r="AY154" s="604">
        <f t="shared" si="127"/>
        <v>336</v>
      </c>
      <c r="AZ154" s="604">
        <f t="shared" si="128"/>
        <v>100</v>
      </c>
      <c r="BA154" s="592">
        <f t="shared" si="129"/>
        <v>4.1250000000000002E-2</v>
      </c>
      <c r="BB154" s="592">
        <f t="shared" si="130"/>
        <v>100</v>
      </c>
      <c r="BC154" s="591">
        <v>0</v>
      </c>
      <c r="BD154" s="591">
        <v>0</v>
      </c>
      <c r="BE154" s="591">
        <v>0</v>
      </c>
      <c r="BF154" s="591">
        <v>0</v>
      </c>
      <c r="BG154" s="591">
        <v>0</v>
      </c>
      <c r="BH154" s="591">
        <v>0</v>
      </c>
      <c r="BI154" s="591">
        <v>0</v>
      </c>
      <c r="BJ154" s="591">
        <v>0</v>
      </c>
      <c r="BK154" s="700">
        <v>39475000</v>
      </c>
      <c r="BL154" s="589">
        <v>39475000</v>
      </c>
      <c r="BM154" s="589">
        <v>0</v>
      </c>
      <c r="BN154" s="589">
        <v>0</v>
      </c>
      <c r="BO154" s="589">
        <v>0</v>
      </c>
      <c r="BP154" s="589">
        <v>0</v>
      </c>
      <c r="BQ154" s="589">
        <v>0</v>
      </c>
      <c r="BR154" s="589">
        <v>0</v>
      </c>
      <c r="BS154" s="589">
        <v>0</v>
      </c>
      <c r="BT154" s="589">
        <v>0</v>
      </c>
      <c r="BU154" s="589">
        <v>0</v>
      </c>
      <c r="BV154" s="588">
        <f t="shared" si="131"/>
        <v>4.1250000000000002E-2</v>
      </c>
      <c r="BW154" s="588">
        <v>25</v>
      </c>
      <c r="BX154" s="623">
        <f t="shared" si="132"/>
        <v>0.25</v>
      </c>
      <c r="BY154" s="607">
        <v>100</v>
      </c>
      <c r="BZ154" s="629">
        <v>215</v>
      </c>
      <c r="CA154" s="1017">
        <v>120</v>
      </c>
      <c r="CB154" s="557">
        <f t="shared" si="133"/>
        <v>120</v>
      </c>
      <c r="CC154" s="557">
        <f t="shared" si="134"/>
        <v>480</v>
      </c>
      <c r="CD154" s="622">
        <f t="shared" si="135"/>
        <v>100</v>
      </c>
      <c r="CE154" s="621">
        <f t="shared" si="136"/>
        <v>4.1250000000000002E-2</v>
      </c>
      <c r="CF154" s="605">
        <f t="shared" si="137"/>
        <v>100</v>
      </c>
      <c r="CG154" s="621">
        <f t="shared" si="138"/>
        <v>0.19800000000000001</v>
      </c>
      <c r="CH154" s="553">
        <f t="shared" si="139"/>
        <v>4.1250000000000002E-2</v>
      </c>
      <c r="CI154" s="552">
        <v>25</v>
      </c>
      <c r="CJ154" s="551">
        <f t="shared" si="140"/>
        <v>0.25</v>
      </c>
      <c r="CK154" s="874">
        <v>110</v>
      </c>
      <c r="CL154" s="533">
        <f t="shared" si="141"/>
        <v>-85</v>
      </c>
      <c r="CM154" s="619">
        <f t="shared" si="142"/>
        <v>110</v>
      </c>
      <c r="CN154" s="619">
        <f t="shared" si="143"/>
        <v>440</v>
      </c>
      <c r="CO154" s="549">
        <f t="shared" si="144"/>
        <v>100</v>
      </c>
      <c r="CP154" s="619">
        <f t="shared" si="145"/>
        <v>4.1250000000000002E-2</v>
      </c>
      <c r="CQ154" s="619">
        <f t="shared" si="146"/>
        <v>0.18150000000000002</v>
      </c>
      <c r="CR154" s="546">
        <v>0</v>
      </c>
      <c r="CS154" s="546">
        <v>0</v>
      </c>
      <c r="CT154" s="546">
        <v>0</v>
      </c>
      <c r="CU154" s="546">
        <v>0</v>
      </c>
      <c r="CV154" s="546">
        <v>0</v>
      </c>
      <c r="CW154" s="546">
        <v>0</v>
      </c>
      <c r="CX154" s="546">
        <v>0</v>
      </c>
      <c r="CY154" s="546">
        <v>0</v>
      </c>
      <c r="CZ154" s="618">
        <v>0</v>
      </c>
      <c r="DA154" s="618">
        <v>0</v>
      </c>
      <c r="DB154" s="618">
        <v>0</v>
      </c>
      <c r="DC154" s="618">
        <v>0</v>
      </c>
      <c r="DD154" s="618">
        <v>0</v>
      </c>
      <c r="DE154" s="618">
        <v>0</v>
      </c>
      <c r="DF154" s="618">
        <v>0</v>
      </c>
      <c r="DG154" s="618">
        <v>0</v>
      </c>
      <c r="DH154" s="618">
        <v>0</v>
      </c>
      <c r="DI154" s="618">
        <v>0</v>
      </c>
      <c r="DJ154" s="618">
        <v>0</v>
      </c>
      <c r="DK154" s="1034">
        <f t="shared" si="147"/>
        <v>361</v>
      </c>
      <c r="DL154" s="543">
        <f t="shared" si="148"/>
        <v>0.16500000000000001</v>
      </c>
      <c r="DM154" s="542">
        <f t="shared" si="149"/>
        <v>361</v>
      </c>
      <c r="DN154" s="594">
        <f t="shared" si="150"/>
        <v>100</v>
      </c>
      <c r="DO154" s="540">
        <f t="shared" si="151"/>
        <v>0.16500000000000001</v>
      </c>
      <c r="DP154" s="597">
        <f t="shared" si="157"/>
        <v>0.16500000000000001</v>
      </c>
      <c r="DQ154" s="538">
        <f t="shared" si="152"/>
        <v>0.16500000000000001</v>
      </c>
      <c r="DR154" s="617">
        <f t="shared" si="153"/>
        <v>1</v>
      </c>
      <c r="DS154" s="616">
        <f t="shared" si="154"/>
        <v>0</v>
      </c>
      <c r="DT154" s="259">
        <v>179</v>
      </c>
      <c r="DU154" s="260" t="s">
        <v>605</v>
      </c>
      <c r="DV154" s="259"/>
      <c r="DW154" s="260" t="s">
        <v>242</v>
      </c>
      <c r="DX154" s="259"/>
      <c r="DY154" s="259"/>
      <c r="DZ154" s="259"/>
      <c r="EA154" s="987"/>
      <c r="EB154" s="1041" t="s">
        <v>2392</v>
      </c>
      <c r="EC154" s="802">
        <v>0</v>
      </c>
      <c r="EE154" s="1047"/>
    </row>
    <row r="155" spans="4:135" s="534" customFormat="1" ht="72" hidden="1" x14ac:dyDescent="0.3">
      <c r="D155" s="783">
        <v>152</v>
      </c>
      <c r="E155" s="799">
        <v>191</v>
      </c>
      <c r="F155" s="787" t="s">
        <v>200</v>
      </c>
      <c r="G155" s="787" t="s">
        <v>239</v>
      </c>
      <c r="H155" s="788" t="s">
        <v>138</v>
      </c>
      <c r="I155" s="712" t="s">
        <v>346</v>
      </c>
      <c r="J155" s="573" t="s">
        <v>625</v>
      </c>
      <c r="K155" s="573" t="s">
        <v>626</v>
      </c>
      <c r="L155" s="702" t="s">
        <v>1593</v>
      </c>
      <c r="M155" s="570" t="s">
        <v>2032</v>
      </c>
      <c r="N155" s="570">
        <v>3</v>
      </c>
      <c r="O155" s="570">
        <f>+P155</f>
        <v>5</v>
      </c>
      <c r="P155" s="569">
        <v>5</v>
      </c>
      <c r="Q155" s="628">
        <v>0.16500000000000001</v>
      </c>
      <c r="R155" s="580">
        <f t="shared" si="118"/>
        <v>4.1250000000000002E-2</v>
      </c>
      <c r="S155" s="708">
        <v>5</v>
      </c>
      <c r="T155" s="625">
        <f t="shared" si="119"/>
        <v>0.25</v>
      </c>
      <c r="U155" s="992">
        <v>5</v>
      </c>
      <c r="V155" s="626">
        <f t="shared" si="120"/>
        <v>1.25</v>
      </c>
      <c r="W155" s="594">
        <f t="shared" si="121"/>
        <v>100</v>
      </c>
      <c r="X155" s="594">
        <f t="shared" si="122"/>
        <v>100</v>
      </c>
      <c r="Y155" s="594">
        <f t="shared" si="155"/>
        <v>4.1250000000000002E-2</v>
      </c>
      <c r="Z155" s="594">
        <f t="shared" si="123"/>
        <v>100</v>
      </c>
      <c r="AA155" s="546">
        <v>18000000</v>
      </c>
      <c r="AB155" s="546">
        <v>18000000</v>
      </c>
      <c r="AC155" s="546">
        <v>0</v>
      </c>
      <c r="AD155" s="546">
        <v>0</v>
      </c>
      <c r="AE155" s="546">
        <v>0</v>
      </c>
      <c r="AF155" s="546">
        <v>0</v>
      </c>
      <c r="AG155" s="546">
        <v>0</v>
      </c>
      <c r="AH155" s="546">
        <v>0</v>
      </c>
      <c r="AI155" s="546">
        <v>65500000</v>
      </c>
      <c r="AJ155" s="546">
        <v>65500000</v>
      </c>
      <c r="AK155" s="546">
        <v>0</v>
      </c>
      <c r="AL155" s="546">
        <v>0</v>
      </c>
      <c r="AM155" s="546">
        <v>0</v>
      </c>
      <c r="AN155" s="546">
        <v>0</v>
      </c>
      <c r="AO155" s="546">
        <v>0</v>
      </c>
      <c r="AP155" s="546">
        <v>0</v>
      </c>
      <c r="AQ155" s="546">
        <v>0</v>
      </c>
      <c r="AR155" s="546">
        <v>10850000</v>
      </c>
      <c r="AS155" s="546" t="s">
        <v>1593</v>
      </c>
      <c r="AT155" s="570">
        <f t="shared" si="124"/>
        <v>4.1250000000000002E-2</v>
      </c>
      <c r="AU155" s="570">
        <v>5</v>
      </c>
      <c r="AV155" s="625">
        <f t="shared" si="125"/>
        <v>0.25</v>
      </c>
      <c r="AW155" s="1003">
        <v>10</v>
      </c>
      <c r="AX155" s="604">
        <f t="shared" si="126"/>
        <v>2.5</v>
      </c>
      <c r="AY155" s="604">
        <f t="shared" si="127"/>
        <v>200</v>
      </c>
      <c r="AZ155" s="604">
        <f t="shared" si="128"/>
        <v>100</v>
      </c>
      <c r="BA155" s="592">
        <f t="shared" si="129"/>
        <v>4.1250000000000002E-2</v>
      </c>
      <c r="BB155" s="592">
        <f t="shared" si="130"/>
        <v>100</v>
      </c>
      <c r="BC155" s="591">
        <v>0</v>
      </c>
      <c r="BD155" s="591">
        <v>0</v>
      </c>
      <c r="BE155" s="591">
        <v>0</v>
      </c>
      <c r="BF155" s="591">
        <v>0</v>
      </c>
      <c r="BG155" s="591">
        <v>0</v>
      </c>
      <c r="BH155" s="591">
        <v>0</v>
      </c>
      <c r="BI155" s="591">
        <v>0</v>
      </c>
      <c r="BJ155" s="591">
        <v>0</v>
      </c>
      <c r="BK155" s="700">
        <v>127812000</v>
      </c>
      <c r="BL155" s="589">
        <v>127812000</v>
      </c>
      <c r="BM155" s="589">
        <v>0</v>
      </c>
      <c r="BN155" s="589">
        <v>0</v>
      </c>
      <c r="BO155" s="589">
        <v>0</v>
      </c>
      <c r="BP155" s="589">
        <v>0</v>
      </c>
      <c r="BQ155" s="589">
        <v>0</v>
      </c>
      <c r="BR155" s="589">
        <v>0</v>
      </c>
      <c r="BS155" s="589">
        <v>0</v>
      </c>
      <c r="BT155" s="589">
        <v>0</v>
      </c>
      <c r="BU155" s="589">
        <v>0</v>
      </c>
      <c r="BV155" s="588">
        <f t="shared" si="131"/>
        <v>4.1250000000000002E-2</v>
      </c>
      <c r="BW155" s="588">
        <v>5</v>
      </c>
      <c r="BX155" s="623">
        <f t="shared" si="132"/>
        <v>0.25</v>
      </c>
      <c r="BY155" s="607">
        <v>5</v>
      </c>
      <c r="BZ155" s="629">
        <v>5</v>
      </c>
      <c r="CA155" s="1017">
        <v>5</v>
      </c>
      <c r="CB155" s="557">
        <f t="shared" si="133"/>
        <v>1.25</v>
      </c>
      <c r="CC155" s="557">
        <f t="shared" si="134"/>
        <v>100</v>
      </c>
      <c r="CD155" s="622">
        <f t="shared" si="135"/>
        <v>100</v>
      </c>
      <c r="CE155" s="621">
        <f t="shared" si="136"/>
        <v>4.1250000000000002E-2</v>
      </c>
      <c r="CF155" s="605">
        <f t="shared" si="137"/>
        <v>100</v>
      </c>
      <c r="CG155" s="621">
        <f t="shared" si="138"/>
        <v>4.1250000000000002E-2</v>
      </c>
      <c r="CH155" s="553">
        <f t="shared" si="139"/>
        <v>4.1250000000000002E-2</v>
      </c>
      <c r="CI155" s="552">
        <v>5</v>
      </c>
      <c r="CJ155" s="551">
        <f t="shared" si="140"/>
        <v>0.25</v>
      </c>
      <c r="CK155" s="874">
        <v>0</v>
      </c>
      <c r="CL155" s="533">
        <f t="shared" si="141"/>
        <v>5</v>
      </c>
      <c r="CM155" s="619">
        <f t="shared" si="142"/>
        <v>0</v>
      </c>
      <c r="CN155" s="619">
        <f t="shared" si="143"/>
        <v>0</v>
      </c>
      <c r="CO155" s="619">
        <f t="shared" si="144"/>
        <v>0</v>
      </c>
      <c r="CP155" s="619">
        <f t="shared" si="145"/>
        <v>0</v>
      </c>
      <c r="CQ155" s="619">
        <f t="shared" si="146"/>
        <v>0</v>
      </c>
      <c r="CR155" s="546">
        <v>0</v>
      </c>
      <c r="CS155" s="546">
        <v>0</v>
      </c>
      <c r="CT155" s="546">
        <v>0</v>
      </c>
      <c r="CU155" s="546">
        <v>0</v>
      </c>
      <c r="CV155" s="546">
        <v>0</v>
      </c>
      <c r="CW155" s="546">
        <v>0</v>
      </c>
      <c r="CX155" s="546">
        <v>0</v>
      </c>
      <c r="CY155" s="546">
        <v>0</v>
      </c>
      <c r="CZ155" s="618">
        <v>0</v>
      </c>
      <c r="DA155" s="618">
        <v>0</v>
      </c>
      <c r="DB155" s="618">
        <v>0</v>
      </c>
      <c r="DC155" s="618">
        <v>0</v>
      </c>
      <c r="DD155" s="618">
        <v>0</v>
      </c>
      <c r="DE155" s="618">
        <v>0</v>
      </c>
      <c r="DF155" s="618">
        <v>0</v>
      </c>
      <c r="DG155" s="618">
        <v>0</v>
      </c>
      <c r="DH155" s="618">
        <v>0</v>
      </c>
      <c r="DI155" s="618">
        <v>0</v>
      </c>
      <c r="DJ155" s="618">
        <v>0</v>
      </c>
      <c r="DK155" s="1034">
        <f t="shared" si="147"/>
        <v>5</v>
      </c>
      <c r="DL155" s="543">
        <f t="shared" si="148"/>
        <v>0.16500000000000001</v>
      </c>
      <c r="DM155" s="542">
        <f t="shared" si="149"/>
        <v>100</v>
      </c>
      <c r="DN155" s="594">
        <f t="shared" si="150"/>
        <v>100</v>
      </c>
      <c r="DO155" s="540">
        <f t="shared" si="151"/>
        <v>0.16500000000000001</v>
      </c>
      <c r="DP155" s="597">
        <f>+IF(M155="M",DO155,0)</f>
        <v>0.16500000000000001</v>
      </c>
      <c r="DQ155" s="538">
        <f t="shared" si="152"/>
        <v>0.16500000000000001</v>
      </c>
      <c r="DR155" s="617">
        <f t="shared" si="153"/>
        <v>1</v>
      </c>
      <c r="DS155" s="616">
        <f t="shared" si="154"/>
        <v>0</v>
      </c>
      <c r="DT155" s="259">
        <v>179</v>
      </c>
      <c r="DU155" s="260" t="s">
        <v>605</v>
      </c>
      <c r="DV155" s="259"/>
      <c r="DW155" s="260" t="s">
        <v>242</v>
      </c>
      <c r="DX155" s="259"/>
      <c r="DY155" s="259"/>
      <c r="DZ155" s="259"/>
      <c r="EA155" s="987"/>
      <c r="EB155" s="1041" t="s">
        <v>2478</v>
      </c>
      <c r="EC155" s="802">
        <v>0</v>
      </c>
      <c r="EE155" s="1047"/>
    </row>
    <row r="156" spans="4:135" s="534" customFormat="1" ht="72" hidden="1" x14ac:dyDescent="0.3">
      <c r="D156" s="783">
        <v>153</v>
      </c>
      <c r="E156" s="799">
        <v>192</v>
      </c>
      <c r="F156" s="787" t="s">
        <v>200</v>
      </c>
      <c r="G156" s="787" t="s">
        <v>8</v>
      </c>
      <c r="H156" s="788" t="s">
        <v>138</v>
      </c>
      <c r="I156" s="712" t="s">
        <v>346</v>
      </c>
      <c r="J156" s="573" t="s">
        <v>627</v>
      </c>
      <c r="K156" s="573" t="s">
        <v>628</v>
      </c>
      <c r="L156" s="701" t="s">
        <v>1724</v>
      </c>
      <c r="M156" s="570" t="s">
        <v>2032</v>
      </c>
      <c r="N156" s="570">
        <v>100</v>
      </c>
      <c r="O156" s="570">
        <f>+P156</f>
        <v>100</v>
      </c>
      <c r="P156" s="569">
        <v>100</v>
      </c>
      <c r="Q156" s="628">
        <v>0.16500000000000001</v>
      </c>
      <c r="R156" s="580">
        <f t="shared" si="118"/>
        <v>4.1250000000000002E-2</v>
      </c>
      <c r="S156" s="708">
        <v>100</v>
      </c>
      <c r="T156" s="625">
        <f t="shared" si="119"/>
        <v>0.25</v>
      </c>
      <c r="U156" s="992">
        <v>100</v>
      </c>
      <c r="V156" s="626">
        <f t="shared" si="120"/>
        <v>25</v>
      </c>
      <c r="W156" s="594">
        <f t="shared" si="121"/>
        <v>100</v>
      </c>
      <c r="X156" s="594">
        <f t="shared" si="122"/>
        <v>100</v>
      </c>
      <c r="Y156" s="594">
        <f t="shared" si="155"/>
        <v>4.1250000000000002E-2</v>
      </c>
      <c r="Z156" s="594">
        <f t="shared" si="123"/>
        <v>100</v>
      </c>
      <c r="AA156" s="546">
        <v>48502000000</v>
      </c>
      <c r="AB156" s="546">
        <v>0</v>
      </c>
      <c r="AC156" s="546">
        <v>48502000000</v>
      </c>
      <c r="AD156" s="546">
        <v>0</v>
      </c>
      <c r="AE156" s="546">
        <v>0</v>
      </c>
      <c r="AF156" s="546">
        <v>0</v>
      </c>
      <c r="AG156" s="546">
        <v>0</v>
      </c>
      <c r="AH156" s="546">
        <v>0</v>
      </c>
      <c r="AI156" s="546">
        <v>38164620000</v>
      </c>
      <c r="AJ156" s="546">
        <v>0</v>
      </c>
      <c r="AK156" s="546">
        <v>38164620000</v>
      </c>
      <c r="AL156" s="546">
        <v>0</v>
      </c>
      <c r="AM156" s="546">
        <v>0</v>
      </c>
      <c r="AN156" s="546">
        <v>0</v>
      </c>
      <c r="AO156" s="546">
        <v>0</v>
      </c>
      <c r="AP156" s="546">
        <v>0</v>
      </c>
      <c r="AQ156" s="546">
        <v>0</v>
      </c>
      <c r="AR156" s="546">
        <v>0</v>
      </c>
      <c r="AS156" s="546">
        <v>0</v>
      </c>
      <c r="AT156" s="580">
        <f t="shared" si="124"/>
        <v>4.1250000000000002E-2</v>
      </c>
      <c r="AU156" s="570">
        <v>100</v>
      </c>
      <c r="AV156" s="625">
        <f t="shared" si="125"/>
        <v>0.25</v>
      </c>
      <c r="AW156" s="1003">
        <v>100</v>
      </c>
      <c r="AX156" s="604">
        <f t="shared" si="126"/>
        <v>25</v>
      </c>
      <c r="AY156" s="604">
        <f t="shared" si="127"/>
        <v>100</v>
      </c>
      <c r="AZ156" s="604">
        <f t="shared" si="128"/>
        <v>100</v>
      </c>
      <c r="BA156" s="592">
        <f t="shared" si="129"/>
        <v>4.1250000000000002E-2</v>
      </c>
      <c r="BB156" s="592">
        <f t="shared" si="130"/>
        <v>100</v>
      </c>
      <c r="BC156" s="591">
        <v>0</v>
      </c>
      <c r="BD156" s="591">
        <v>0</v>
      </c>
      <c r="BE156" s="591">
        <v>0</v>
      </c>
      <c r="BF156" s="591">
        <v>0</v>
      </c>
      <c r="BG156" s="591">
        <v>0</v>
      </c>
      <c r="BH156" s="591">
        <v>0</v>
      </c>
      <c r="BI156" s="591">
        <v>0</v>
      </c>
      <c r="BJ156" s="591">
        <v>0</v>
      </c>
      <c r="BK156" s="700">
        <v>38649085797</v>
      </c>
      <c r="BL156" s="589">
        <v>0</v>
      </c>
      <c r="BM156" s="589">
        <v>38649085797</v>
      </c>
      <c r="BN156" s="589">
        <v>0</v>
      </c>
      <c r="BO156" s="589">
        <v>0</v>
      </c>
      <c r="BP156" s="589">
        <v>0</v>
      </c>
      <c r="BQ156" s="589">
        <v>0</v>
      </c>
      <c r="BR156" s="589">
        <v>0</v>
      </c>
      <c r="BS156" s="589">
        <v>0</v>
      </c>
      <c r="BT156" s="589">
        <v>0</v>
      </c>
      <c r="BU156" s="589">
        <v>0</v>
      </c>
      <c r="BV156" s="588">
        <f t="shared" si="131"/>
        <v>4.1250000000000002E-2</v>
      </c>
      <c r="BW156" s="588">
        <v>100</v>
      </c>
      <c r="BX156" s="623">
        <f t="shared" si="132"/>
        <v>0.25</v>
      </c>
      <c r="BY156" s="607">
        <v>100</v>
      </c>
      <c r="BZ156" s="629">
        <v>100</v>
      </c>
      <c r="CA156" s="1017">
        <v>100</v>
      </c>
      <c r="CB156" s="557">
        <f t="shared" si="133"/>
        <v>25</v>
      </c>
      <c r="CC156" s="557">
        <f t="shared" si="134"/>
        <v>100</v>
      </c>
      <c r="CD156" s="622">
        <f t="shared" si="135"/>
        <v>100</v>
      </c>
      <c r="CE156" s="621">
        <f t="shared" si="136"/>
        <v>4.1250000000000002E-2</v>
      </c>
      <c r="CF156" s="605">
        <f t="shared" si="137"/>
        <v>100</v>
      </c>
      <c r="CG156" s="621">
        <f t="shared" si="138"/>
        <v>4.1250000000000002E-2</v>
      </c>
      <c r="CH156" s="553">
        <f t="shared" si="139"/>
        <v>4.1250000000000002E-2</v>
      </c>
      <c r="CI156" s="552">
        <v>100</v>
      </c>
      <c r="CJ156" s="551">
        <f t="shared" si="140"/>
        <v>0.25</v>
      </c>
      <c r="CK156" s="874">
        <v>50</v>
      </c>
      <c r="CL156" s="533">
        <f t="shared" si="141"/>
        <v>50</v>
      </c>
      <c r="CM156" s="619">
        <f t="shared" si="142"/>
        <v>12.5</v>
      </c>
      <c r="CN156" s="619">
        <f t="shared" si="143"/>
        <v>50</v>
      </c>
      <c r="CO156" s="619">
        <f t="shared" si="144"/>
        <v>50</v>
      </c>
      <c r="CP156" s="619">
        <f t="shared" si="145"/>
        <v>2.0625000000000001E-2</v>
      </c>
      <c r="CQ156" s="619">
        <f t="shared" si="146"/>
        <v>2.0625000000000001E-2</v>
      </c>
      <c r="CR156" s="546">
        <v>0</v>
      </c>
      <c r="CS156" s="546">
        <v>0</v>
      </c>
      <c r="CT156" s="546">
        <v>0</v>
      </c>
      <c r="CU156" s="546">
        <v>0</v>
      </c>
      <c r="CV156" s="546">
        <v>0</v>
      </c>
      <c r="CW156" s="546">
        <v>0</v>
      </c>
      <c r="CX156" s="546">
        <v>0</v>
      </c>
      <c r="CY156" s="546">
        <v>0</v>
      </c>
      <c r="CZ156" s="618">
        <v>0</v>
      </c>
      <c r="DA156" s="618">
        <v>0</v>
      </c>
      <c r="DB156" s="618">
        <v>0</v>
      </c>
      <c r="DC156" s="618">
        <v>0</v>
      </c>
      <c r="DD156" s="618">
        <v>0</v>
      </c>
      <c r="DE156" s="618">
        <v>0</v>
      </c>
      <c r="DF156" s="618">
        <v>0</v>
      </c>
      <c r="DG156" s="618">
        <v>0</v>
      </c>
      <c r="DH156" s="618">
        <v>0</v>
      </c>
      <c r="DI156" s="618">
        <v>0</v>
      </c>
      <c r="DJ156" s="618">
        <v>0</v>
      </c>
      <c r="DK156" s="1034">
        <f t="shared" si="147"/>
        <v>87.5</v>
      </c>
      <c r="DL156" s="543">
        <f t="shared" si="148"/>
        <v>0.16500000000000001</v>
      </c>
      <c r="DM156" s="542">
        <f t="shared" si="149"/>
        <v>87.5</v>
      </c>
      <c r="DN156" s="594">
        <f t="shared" si="150"/>
        <v>87.5</v>
      </c>
      <c r="DO156" s="540">
        <f t="shared" si="151"/>
        <v>0.144375</v>
      </c>
      <c r="DP156" s="597">
        <f>+IF(M156="M",DO156,0)</f>
        <v>0.144375</v>
      </c>
      <c r="DQ156" s="538">
        <f t="shared" si="152"/>
        <v>0.144375</v>
      </c>
      <c r="DR156" s="617">
        <f t="shared" si="153"/>
        <v>1</v>
      </c>
      <c r="DS156" s="616">
        <f t="shared" si="154"/>
        <v>0</v>
      </c>
      <c r="DT156" s="259">
        <v>77</v>
      </c>
      <c r="DU156" s="260" t="s">
        <v>288</v>
      </c>
      <c r="DV156" s="259"/>
      <c r="DW156" s="260" t="s">
        <v>242</v>
      </c>
      <c r="DX156" s="259"/>
      <c r="DY156" s="259"/>
      <c r="DZ156" s="259"/>
      <c r="EA156" s="987"/>
      <c r="EB156" s="1041" t="s">
        <v>2493</v>
      </c>
      <c r="EC156" s="802">
        <v>0</v>
      </c>
      <c r="EE156" s="1047"/>
    </row>
    <row r="157" spans="4:135" s="534" customFormat="1" ht="72" hidden="1" x14ac:dyDescent="0.3">
      <c r="D157" s="783">
        <v>154</v>
      </c>
      <c r="E157" s="799">
        <v>193</v>
      </c>
      <c r="F157" s="787" t="s">
        <v>200</v>
      </c>
      <c r="G157" s="787" t="s">
        <v>7</v>
      </c>
      <c r="H157" s="788" t="s">
        <v>138</v>
      </c>
      <c r="I157" s="712" t="s">
        <v>346</v>
      </c>
      <c r="J157" s="573" t="s">
        <v>629</v>
      </c>
      <c r="K157" s="573" t="s">
        <v>630</v>
      </c>
      <c r="L157" s="702" t="s">
        <v>2212</v>
      </c>
      <c r="M157" s="570" t="s">
        <v>2017</v>
      </c>
      <c r="N157" s="570">
        <v>0</v>
      </c>
      <c r="O157" s="570">
        <f>+N157+P157</f>
        <v>3</v>
      </c>
      <c r="P157" s="569">
        <v>3</v>
      </c>
      <c r="Q157" s="628">
        <v>8.8999999999999996E-2</v>
      </c>
      <c r="R157" s="580">
        <f t="shared" si="118"/>
        <v>0</v>
      </c>
      <c r="S157" s="708">
        <v>0</v>
      </c>
      <c r="T157" s="625">
        <f t="shared" si="119"/>
        <v>0</v>
      </c>
      <c r="U157" s="992">
        <v>0</v>
      </c>
      <c r="V157" s="626">
        <f t="shared" si="120"/>
        <v>0</v>
      </c>
      <c r="W157" s="594">
        <f t="shared" si="121"/>
        <v>0</v>
      </c>
      <c r="X157" s="594">
        <f t="shared" si="122"/>
        <v>0</v>
      </c>
      <c r="Y157" s="594">
        <f t="shared" si="155"/>
        <v>0</v>
      </c>
      <c r="Z157" s="594">
        <f t="shared" si="123"/>
        <v>0</v>
      </c>
      <c r="AA157" s="546">
        <v>0</v>
      </c>
      <c r="AB157" s="546">
        <v>0</v>
      </c>
      <c r="AC157" s="546">
        <v>0</v>
      </c>
      <c r="AD157" s="546">
        <v>0</v>
      </c>
      <c r="AE157" s="546">
        <v>0</v>
      </c>
      <c r="AF157" s="546">
        <v>0</v>
      </c>
      <c r="AG157" s="546">
        <v>0</v>
      </c>
      <c r="AH157" s="546">
        <v>0</v>
      </c>
      <c r="AI157" s="546">
        <v>0</v>
      </c>
      <c r="AJ157" s="546">
        <v>0</v>
      </c>
      <c r="AK157" s="546">
        <v>0</v>
      </c>
      <c r="AL157" s="546">
        <v>0</v>
      </c>
      <c r="AM157" s="546">
        <v>0</v>
      </c>
      <c r="AN157" s="546">
        <v>0</v>
      </c>
      <c r="AO157" s="546">
        <v>0</v>
      </c>
      <c r="AP157" s="546">
        <v>0</v>
      </c>
      <c r="AQ157" s="546">
        <v>0</v>
      </c>
      <c r="AR157" s="546">
        <v>0</v>
      </c>
      <c r="AS157" s="546">
        <v>0</v>
      </c>
      <c r="AT157" s="570">
        <f t="shared" si="124"/>
        <v>0</v>
      </c>
      <c r="AU157" s="570">
        <v>0</v>
      </c>
      <c r="AV157" s="625">
        <f t="shared" si="125"/>
        <v>0</v>
      </c>
      <c r="AW157" s="1003">
        <v>0</v>
      </c>
      <c r="AX157" s="604">
        <f t="shared" si="126"/>
        <v>0</v>
      </c>
      <c r="AY157" s="604">
        <f t="shared" si="127"/>
        <v>0</v>
      </c>
      <c r="AZ157" s="604">
        <f t="shared" si="128"/>
        <v>0</v>
      </c>
      <c r="BA157" s="592">
        <f t="shared" si="129"/>
        <v>0</v>
      </c>
      <c r="BB157" s="592">
        <f t="shared" si="130"/>
        <v>0</v>
      </c>
      <c r="BC157" s="591">
        <v>0</v>
      </c>
      <c r="BD157" s="591">
        <v>0</v>
      </c>
      <c r="BE157" s="591">
        <v>0</v>
      </c>
      <c r="BF157" s="591">
        <v>0</v>
      </c>
      <c r="BG157" s="591">
        <v>0</v>
      </c>
      <c r="BH157" s="591">
        <v>0</v>
      </c>
      <c r="BI157" s="591">
        <v>0</v>
      </c>
      <c r="BJ157" s="591">
        <v>0</v>
      </c>
      <c r="BK157" s="700">
        <v>0</v>
      </c>
      <c r="BL157" s="589">
        <v>0</v>
      </c>
      <c r="BM157" s="589">
        <v>0</v>
      </c>
      <c r="BN157" s="589">
        <v>0</v>
      </c>
      <c r="BO157" s="589">
        <v>0</v>
      </c>
      <c r="BP157" s="589">
        <v>0</v>
      </c>
      <c r="BQ157" s="589">
        <v>0</v>
      </c>
      <c r="BR157" s="589">
        <v>0</v>
      </c>
      <c r="BS157" s="589">
        <v>0</v>
      </c>
      <c r="BT157" s="589">
        <v>0</v>
      </c>
      <c r="BU157" s="589">
        <v>0</v>
      </c>
      <c r="BV157" s="588">
        <f t="shared" si="131"/>
        <v>5.9333333333333328E-2</v>
      </c>
      <c r="BW157" s="588">
        <v>2</v>
      </c>
      <c r="BX157" s="623">
        <f t="shared" si="132"/>
        <v>0.66666666666666663</v>
      </c>
      <c r="BY157" s="639">
        <v>1</v>
      </c>
      <c r="BZ157" s="638">
        <v>1</v>
      </c>
      <c r="CA157" s="1018">
        <v>5</v>
      </c>
      <c r="CB157" s="557">
        <f t="shared" si="133"/>
        <v>5</v>
      </c>
      <c r="CC157" s="557">
        <f t="shared" si="134"/>
        <v>250</v>
      </c>
      <c r="CD157" s="622">
        <f t="shared" si="135"/>
        <v>100</v>
      </c>
      <c r="CE157" s="621">
        <f t="shared" si="136"/>
        <v>5.9333333333333328E-2</v>
      </c>
      <c r="CF157" s="605">
        <f t="shared" si="137"/>
        <v>100</v>
      </c>
      <c r="CG157" s="621">
        <f t="shared" si="138"/>
        <v>0.14833333333333332</v>
      </c>
      <c r="CH157" s="553">
        <f t="shared" si="139"/>
        <v>2.9666666666666664E-2</v>
      </c>
      <c r="CI157" s="552">
        <v>1</v>
      </c>
      <c r="CJ157" s="551">
        <f t="shared" si="140"/>
        <v>0.33333333333333331</v>
      </c>
      <c r="CK157" s="874">
        <v>1</v>
      </c>
      <c r="CL157" s="533">
        <f t="shared" si="141"/>
        <v>0</v>
      </c>
      <c r="CM157" s="619">
        <f t="shared" si="142"/>
        <v>1</v>
      </c>
      <c r="CN157" s="619">
        <f t="shared" si="143"/>
        <v>100</v>
      </c>
      <c r="CO157" s="549">
        <f t="shared" si="144"/>
        <v>100</v>
      </c>
      <c r="CP157" s="619">
        <f t="shared" si="145"/>
        <v>2.9666666666666664E-2</v>
      </c>
      <c r="CQ157" s="619">
        <f t="shared" si="146"/>
        <v>2.9666666666666664E-2</v>
      </c>
      <c r="CR157" s="546">
        <v>0</v>
      </c>
      <c r="CS157" s="546">
        <v>0</v>
      </c>
      <c r="CT157" s="546">
        <v>0</v>
      </c>
      <c r="CU157" s="546">
        <v>0</v>
      </c>
      <c r="CV157" s="546">
        <v>0</v>
      </c>
      <c r="CW157" s="546">
        <v>0</v>
      </c>
      <c r="CX157" s="546">
        <v>0</v>
      </c>
      <c r="CY157" s="546">
        <v>0</v>
      </c>
      <c r="CZ157" s="618">
        <v>0</v>
      </c>
      <c r="DA157" s="618">
        <v>0</v>
      </c>
      <c r="DB157" s="618">
        <v>0</v>
      </c>
      <c r="DC157" s="618">
        <v>0</v>
      </c>
      <c r="DD157" s="618">
        <v>0</v>
      </c>
      <c r="DE157" s="618">
        <v>0</v>
      </c>
      <c r="DF157" s="618">
        <v>0</v>
      </c>
      <c r="DG157" s="618">
        <v>0</v>
      </c>
      <c r="DH157" s="618">
        <v>0</v>
      </c>
      <c r="DI157" s="618">
        <v>0</v>
      </c>
      <c r="DJ157" s="618">
        <v>0</v>
      </c>
      <c r="DK157" s="1034">
        <f t="shared" si="147"/>
        <v>6</v>
      </c>
      <c r="DL157" s="543">
        <f t="shared" si="148"/>
        <v>8.8999999999999996E-2</v>
      </c>
      <c r="DM157" s="542">
        <f t="shared" si="149"/>
        <v>200</v>
      </c>
      <c r="DN157" s="594">
        <f t="shared" si="150"/>
        <v>100</v>
      </c>
      <c r="DO157" s="540">
        <f t="shared" si="151"/>
        <v>8.900000000000001E-2</v>
      </c>
      <c r="DP157" s="597">
        <f>+IF(((DN157*Q157)/100)&lt;Q157, ((DN157*Q157)/100),Q157)</f>
        <v>8.8999999999999996E-2</v>
      </c>
      <c r="DQ157" s="538">
        <f t="shared" si="152"/>
        <v>8.8999999999999996E-2</v>
      </c>
      <c r="DR157" s="617">
        <f t="shared" si="153"/>
        <v>1</v>
      </c>
      <c r="DS157" s="616">
        <f t="shared" si="154"/>
        <v>0</v>
      </c>
      <c r="DT157" s="259">
        <v>179</v>
      </c>
      <c r="DU157" s="260" t="s">
        <v>605</v>
      </c>
      <c r="DV157" s="259"/>
      <c r="DW157" s="260" t="s">
        <v>242</v>
      </c>
      <c r="DX157" s="259"/>
      <c r="DY157" s="259"/>
      <c r="DZ157" s="259"/>
      <c r="EA157" s="987"/>
      <c r="EB157" s="1041" t="s">
        <v>2494</v>
      </c>
      <c r="EC157" s="802">
        <v>0</v>
      </c>
      <c r="EE157" s="1047"/>
    </row>
    <row r="158" spans="4:135" s="534" customFormat="1" ht="72" hidden="1" x14ac:dyDescent="0.3">
      <c r="D158" s="783">
        <v>155</v>
      </c>
      <c r="E158" s="799">
        <v>194</v>
      </c>
      <c r="F158" s="574" t="s">
        <v>200</v>
      </c>
      <c r="G158" s="574" t="s">
        <v>7</v>
      </c>
      <c r="H158" s="574" t="s">
        <v>138</v>
      </c>
      <c r="I158" s="574" t="s">
        <v>366</v>
      </c>
      <c r="J158" s="573" t="s">
        <v>1435</v>
      </c>
      <c r="K158" s="573" t="s">
        <v>631</v>
      </c>
      <c r="L158" s="701" t="s">
        <v>2201</v>
      </c>
      <c r="M158" s="570" t="s">
        <v>2032</v>
      </c>
      <c r="N158" s="570">
        <v>0</v>
      </c>
      <c r="O158" s="570">
        <f>+P158</f>
        <v>100</v>
      </c>
      <c r="P158" s="569">
        <v>100</v>
      </c>
      <c r="Q158" s="631">
        <v>0.16500000000000001</v>
      </c>
      <c r="R158" s="580">
        <f t="shared" si="118"/>
        <v>4.1250000000000002E-2</v>
      </c>
      <c r="S158" s="708">
        <v>100</v>
      </c>
      <c r="T158" s="625">
        <f t="shared" si="119"/>
        <v>0.25</v>
      </c>
      <c r="U158" s="992">
        <v>100</v>
      </c>
      <c r="V158" s="626">
        <f t="shared" si="120"/>
        <v>25</v>
      </c>
      <c r="W158" s="594">
        <f t="shared" si="121"/>
        <v>100</v>
      </c>
      <c r="X158" s="594">
        <f t="shared" si="122"/>
        <v>100</v>
      </c>
      <c r="Y158" s="594">
        <f t="shared" si="155"/>
        <v>4.1250000000000002E-2</v>
      </c>
      <c r="Z158" s="594">
        <f t="shared" si="123"/>
        <v>100</v>
      </c>
      <c r="AA158" s="546">
        <v>0</v>
      </c>
      <c r="AB158" s="546">
        <v>0</v>
      </c>
      <c r="AC158" s="546">
        <v>0</v>
      </c>
      <c r="AD158" s="546">
        <v>0</v>
      </c>
      <c r="AE158" s="546">
        <v>0</v>
      </c>
      <c r="AF158" s="546">
        <v>0</v>
      </c>
      <c r="AG158" s="546">
        <v>0</v>
      </c>
      <c r="AH158" s="546">
        <v>0</v>
      </c>
      <c r="AI158" s="546">
        <v>0</v>
      </c>
      <c r="AJ158" s="546">
        <v>0</v>
      </c>
      <c r="AK158" s="546">
        <v>0</v>
      </c>
      <c r="AL158" s="546">
        <v>0</v>
      </c>
      <c r="AM158" s="546">
        <v>0</v>
      </c>
      <c r="AN158" s="546">
        <v>0</v>
      </c>
      <c r="AO158" s="546">
        <v>0</v>
      </c>
      <c r="AP158" s="546">
        <v>0</v>
      </c>
      <c r="AQ158" s="546">
        <v>0</v>
      </c>
      <c r="AR158" s="546">
        <v>0</v>
      </c>
      <c r="AS158" s="546">
        <v>0</v>
      </c>
      <c r="AT158" s="630">
        <f t="shared" si="124"/>
        <v>4.1250000000000002E-2</v>
      </c>
      <c r="AU158" s="570">
        <v>100</v>
      </c>
      <c r="AV158" s="625">
        <f t="shared" si="125"/>
        <v>0.25</v>
      </c>
      <c r="AW158" s="1003">
        <v>100</v>
      </c>
      <c r="AX158" s="604">
        <f t="shared" si="126"/>
        <v>25</v>
      </c>
      <c r="AY158" s="604">
        <f t="shared" si="127"/>
        <v>100</v>
      </c>
      <c r="AZ158" s="604">
        <f t="shared" si="128"/>
        <v>100</v>
      </c>
      <c r="BA158" s="592">
        <f t="shared" si="129"/>
        <v>4.1250000000000002E-2</v>
      </c>
      <c r="BB158" s="592">
        <f t="shared" si="130"/>
        <v>100</v>
      </c>
      <c r="BC158" s="591">
        <v>0</v>
      </c>
      <c r="BD158" s="591">
        <v>0</v>
      </c>
      <c r="BE158" s="591">
        <v>0</v>
      </c>
      <c r="BF158" s="591">
        <v>0</v>
      </c>
      <c r="BG158" s="591">
        <v>0</v>
      </c>
      <c r="BH158" s="591">
        <v>0</v>
      </c>
      <c r="BI158" s="591">
        <v>0</v>
      </c>
      <c r="BJ158" s="591">
        <v>0</v>
      </c>
      <c r="BK158" s="700">
        <v>0</v>
      </c>
      <c r="BL158" s="589">
        <v>0</v>
      </c>
      <c r="BM158" s="589">
        <v>0</v>
      </c>
      <c r="BN158" s="589">
        <v>0</v>
      </c>
      <c r="BO158" s="589">
        <v>0</v>
      </c>
      <c r="BP158" s="589">
        <v>0</v>
      </c>
      <c r="BQ158" s="589">
        <v>0</v>
      </c>
      <c r="BR158" s="589">
        <v>0</v>
      </c>
      <c r="BS158" s="589">
        <v>0</v>
      </c>
      <c r="BT158" s="589">
        <v>0</v>
      </c>
      <c r="BU158" s="589">
        <v>0</v>
      </c>
      <c r="BV158" s="588">
        <f t="shared" si="131"/>
        <v>4.1250000000000002E-2</v>
      </c>
      <c r="BW158" s="588">
        <v>100</v>
      </c>
      <c r="BX158" s="623">
        <f t="shared" si="132"/>
        <v>0.25</v>
      </c>
      <c r="BY158" s="639">
        <v>0</v>
      </c>
      <c r="BZ158" s="638">
        <v>0</v>
      </c>
      <c r="CA158" s="1018">
        <v>100</v>
      </c>
      <c r="CB158" s="557">
        <f t="shared" si="133"/>
        <v>25</v>
      </c>
      <c r="CC158" s="557">
        <f t="shared" si="134"/>
        <v>100</v>
      </c>
      <c r="CD158" s="622">
        <f t="shared" si="135"/>
        <v>100</v>
      </c>
      <c r="CE158" s="621">
        <f t="shared" si="136"/>
        <v>4.1250000000000002E-2</v>
      </c>
      <c r="CF158" s="605">
        <f t="shared" si="137"/>
        <v>100</v>
      </c>
      <c r="CG158" s="621">
        <f t="shared" si="138"/>
        <v>4.1250000000000002E-2</v>
      </c>
      <c r="CH158" s="553">
        <f t="shared" si="139"/>
        <v>4.1250000000000002E-2</v>
      </c>
      <c r="CI158" s="552">
        <v>100</v>
      </c>
      <c r="CJ158" s="551">
        <f t="shared" si="140"/>
        <v>0.25</v>
      </c>
      <c r="CK158" s="874">
        <v>0</v>
      </c>
      <c r="CL158" s="533">
        <f t="shared" si="141"/>
        <v>100</v>
      </c>
      <c r="CM158" s="619">
        <f t="shared" si="142"/>
        <v>0</v>
      </c>
      <c r="CN158" s="619">
        <f t="shared" si="143"/>
        <v>0</v>
      </c>
      <c r="CO158" s="619">
        <f t="shared" si="144"/>
        <v>0</v>
      </c>
      <c r="CP158" s="619">
        <f t="shared" si="145"/>
        <v>0</v>
      </c>
      <c r="CQ158" s="619">
        <f t="shared" si="146"/>
        <v>0</v>
      </c>
      <c r="CR158" s="546">
        <v>0</v>
      </c>
      <c r="CS158" s="546">
        <v>0</v>
      </c>
      <c r="CT158" s="546">
        <v>0</v>
      </c>
      <c r="CU158" s="546">
        <v>0</v>
      </c>
      <c r="CV158" s="546">
        <v>0</v>
      </c>
      <c r="CW158" s="546">
        <v>0</v>
      </c>
      <c r="CX158" s="546">
        <v>0</v>
      </c>
      <c r="CY158" s="546">
        <v>0</v>
      </c>
      <c r="CZ158" s="618">
        <v>0</v>
      </c>
      <c r="DA158" s="618">
        <v>0</v>
      </c>
      <c r="DB158" s="618">
        <v>0</v>
      </c>
      <c r="DC158" s="618">
        <v>0</v>
      </c>
      <c r="DD158" s="618">
        <v>0</v>
      </c>
      <c r="DE158" s="618">
        <v>0</v>
      </c>
      <c r="DF158" s="618">
        <v>0</v>
      </c>
      <c r="DG158" s="618">
        <v>0</v>
      </c>
      <c r="DH158" s="618">
        <v>0</v>
      </c>
      <c r="DI158" s="618">
        <v>0</v>
      </c>
      <c r="DJ158" s="618">
        <v>0</v>
      </c>
      <c r="DK158" s="1034">
        <f t="shared" si="147"/>
        <v>75</v>
      </c>
      <c r="DL158" s="543">
        <f t="shared" si="148"/>
        <v>0.16500000000000001</v>
      </c>
      <c r="DM158" s="542">
        <f t="shared" si="149"/>
        <v>75</v>
      </c>
      <c r="DN158" s="594">
        <f t="shared" si="150"/>
        <v>75</v>
      </c>
      <c r="DO158" s="540">
        <f t="shared" si="151"/>
        <v>0.12375</v>
      </c>
      <c r="DP158" s="597">
        <f>+IF(M158="M",DO158,0)</f>
        <v>0.12375</v>
      </c>
      <c r="DQ158" s="538">
        <f t="shared" si="152"/>
        <v>0.12375</v>
      </c>
      <c r="DR158" s="617">
        <f t="shared" si="153"/>
        <v>1</v>
      </c>
      <c r="DS158" s="616">
        <f t="shared" si="154"/>
        <v>0</v>
      </c>
      <c r="DT158" s="259">
        <v>179</v>
      </c>
      <c r="DU158" s="260" t="s">
        <v>605</v>
      </c>
      <c r="DV158" s="259"/>
      <c r="DW158" s="260" t="s">
        <v>242</v>
      </c>
      <c r="DX158" s="259"/>
      <c r="DY158" s="259"/>
      <c r="DZ158" s="259"/>
      <c r="EA158" s="987"/>
      <c r="EB158" s="1041" t="s">
        <v>2495</v>
      </c>
      <c r="EC158" s="802">
        <v>0</v>
      </c>
      <c r="EE158" s="1047"/>
    </row>
    <row r="159" spans="4:135" s="534" customFormat="1" ht="72" hidden="1" x14ac:dyDescent="0.3">
      <c r="D159" s="783">
        <v>156</v>
      </c>
      <c r="E159" s="799">
        <v>195</v>
      </c>
      <c r="F159" s="787" t="s">
        <v>200</v>
      </c>
      <c r="G159" s="787" t="s">
        <v>11</v>
      </c>
      <c r="H159" s="788" t="s">
        <v>138</v>
      </c>
      <c r="I159" s="712" t="s">
        <v>369</v>
      </c>
      <c r="J159" s="573" t="s">
        <v>632</v>
      </c>
      <c r="K159" s="573" t="s">
        <v>633</v>
      </c>
      <c r="L159" s="701" t="s">
        <v>1682</v>
      </c>
      <c r="M159" s="570" t="s">
        <v>2032</v>
      </c>
      <c r="N159" s="570">
        <v>597</v>
      </c>
      <c r="O159" s="570">
        <f>+P159</f>
        <v>630</v>
      </c>
      <c r="P159" s="569">
        <v>630</v>
      </c>
      <c r="Q159" s="628">
        <v>0.16500000000000001</v>
      </c>
      <c r="R159" s="580">
        <f t="shared" si="118"/>
        <v>4.1250000000000002E-2</v>
      </c>
      <c r="S159" s="708">
        <v>630</v>
      </c>
      <c r="T159" s="625">
        <f t="shared" si="119"/>
        <v>0.25</v>
      </c>
      <c r="U159" s="992">
        <v>763</v>
      </c>
      <c r="V159" s="626">
        <f t="shared" si="120"/>
        <v>190.75</v>
      </c>
      <c r="W159" s="594">
        <f t="shared" si="121"/>
        <v>121.11111111111111</v>
      </c>
      <c r="X159" s="594">
        <f t="shared" si="122"/>
        <v>100</v>
      </c>
      <c r="Y159" s="594">
        <f t="shared" si="155"/>
        <v>4.1250000000000002E-2</v>
      </c>
      <c r="Z159" s="594">
        <f t="shared" si="123"/>
        <v>100</v>
      </c>
      <c r="AA159" s="546">
        <v>7456000000</v>
      </c>
      <c r="AB159" s="546">
        <v>7456000000</v>
      </c>
      <c r="AC159" s="546">
        <v>0</v>
      </c>
      <c r="AD159" s="546">
        <v>0</v>
      </c>
      <c r="AE159" s="546">
        <v>0</v>
      </c>
      <c r="AF159" s="546">
        <v>0</v>
      </c>
      <c r="AG159" s="546">
        <v>0</v>
      </c>
      <c r="AH159" s="546">
        <v>0</v>
      </c>
      <c r="AI159" s="546">
        <v>7417842000</v>
      </c>
      <c r="AJ159" s="546">
        <v>7417842000</v>
      </c>
      <c r="AK159" s="546">
        <v>0</v>
      </c>
      <c r="AL159" s="546">
        <v>0</v>
      </c>
      <c r="AM159" s="546">
        <v>0</v>
      </c>
      <c r="AN159" s="546">
        <v>0</v>
      </c>
      <c r="AO159" s="546">
        <v>0</v>
      </c>
      <c r="AP159" s="546">
        <v>0</v>
      </c>
      <c r="AQ159" s="546">
        <v>0</v>
      </c>
      <c r="AR159" s="546">
        <v>0</v>
      </c>
      <c r="AS159" s="546">
        <v>0</v>
      </c>
      <c r="AT159" s="570">
        <f t="shared" si="124"/>
        <v>4.1250000000000002E-2</v>
      </c>
      <c r="AU159" s="570">
        <v>630</v>
      </c>
      <c r="AV159" s="625">
        <f t="shared" si="125"/>
        <v>0.25</v>
      </c>
      <c r="AW159" s="1003">
        <v>782</v>
      </c>
      <c r="AX159" s="604">
        <f t="shared" si="126"/>
        <v>195.5</v>
      </c>
      <c r="AY159" s="604">
        <f t="shared" si="127"/>
        <v>124.12698412698413</v>
      </c>
      <c r="AZ159" s="604">
        <f t="shared" si="128"/>
        <v>100</v>
      </c>
      <c r="BA159" s="592">
        <f t="shared" si="129"/>
        <v>4.1250000000000002E-2</v>
      </c>
      <c r="BB159" s="592">
        <f t="shared" si="130"/>
        <v>100</v>
      </c>
      <c r="BC159" s="591">
        <v>0</v>
      </c>
      <c r="BD159" s="591">
        <v>0</v>
      </c>
      <c r="BE159" s="591">
        <v>0</v>
      </c>
      <c r="BF159" s="591">
        <v>0</v>
      </c>
      <c r="BG159" s="591">
        <v>0</v>
      </c>
      <c r="BH159" s="591">
        <v>0</v>
      </c>
      <c r="BI159" s="591">
        <v>0</v>
      </c>
      <c r="BJ159" s="591">
        <v>0</v>
      </c>
      <c r="BK159" s="700">
        <v>6972008178</v>
      </c>
      <c r="BL159" s="589">
        <v>6972008178</v>
      </c>
      <c r="BM159" s="589">
        <v>0</v>
      </c>
      <c r="BN159" s="589">
        <v>0</v>
      </c>
      <c r="BO159" s="589">
        <v>0</v>
      </c>
      <c r="BP159" s="589">
        <v>0</v>
      </c>
      <c r="BQ159" s="589">
        <v>0</v>
      </c>
      <c r="BR159" s="589">
        <v>0</v>
      </c>
      <c r="BS159" s="589">
        <v>0</v>
      </c>
      <c r="BT159" s="589">
        <v>0</v>
      </c>
      <c r="BU159" s="589">
        <v>0</v>
      </c>
      <c r="BV159" s="588">
        <f t="shared" si="131"/>
        <v>4.1250000000000002E-2</v>
      </c>
      <c r="BW159" s="588">
        <v>630</v>
      </c>
      <c r="BX159" s="623">
        <f t="shared" si="132"/>
        <v>0.25</v>
      </c>
      <c r="BY159" s="607">
        <v>726</v>
      </c>
      <c r="BZ159" s="629">
        <v>734</v>
      </c>
      <c r="CA159" s="1017">
        <v>772</v>
      </c>
      <c r="CB159" s="557">
        <f t="shared" si="133"/>
        <v>193</v>
      </c>
      <c r="CC159" s="557">
        <f t="shared" si="134"/>
        <v>122.53968253968254</v>
      </c>
      <c r="CD159" s="622">
        <f t="shared" si="135"/>
        <v>100</v>
      </c>
      <c r="CE159" s="621">
        <f t="shared" si="136"/>
        <v>4.1250000000000002E-2</v>
      </c>
      <c r="CF159" s="605">
        <f t="shared" si="137"/>
        <v>100</v>
      </c>
      <c r="CG159" s="621">
        <f t="shared" si="138"/>
        <v>5.0547619047619056E-2</v>
      </c>
      <c r="CH159" s="553">
        <f t="shared" si="139"/>
        <v>4.1250000000000002E-2</v>
      </c>
      <c r="CI159" s="552">
        <v>630</v>
      </c>
      <c r="CJ159" s="551">
        <f t="shared" si="140"/>
        <v>0.25</v>
      </c>
      <c r="CK159" s="874">
        <v>779</v>
      </c>
      <c r="CL159" s="533">
        <f t="shared" si="141"/>
        <v>-149</v>
      </c>
      <c r="CM159" s="619">
        <f t="shared" si="142"/>
        <v>194.75</v>
      </c>
      <c r="CN159" s="619">
        <f t="shared" si="143"/>
        <v>123.65079365079364</v>
      </c>
      <c r="CO159" s="619">
        <f t="shared" si="144"/>
        <v>100</v>
      </c>
      <c r="CP159" s="619">
        <f t="shared" si="145"/>
        <v>4.1250000000000002E-2</v>
      </c>
      <c r="CQ159" s="619">
        <f t="shared" si="146"/>
        <v>5.1005952380952381E-2</v>
      </c>
      <c r="CR159" s="546">
        <v>0</v>
      </c>
      <c r="CS159" s="546">
        <v>0</v>
      </c>
      <c r="CT159" s="546">
        <v>0</v>
      </c>
      <c r="CU159" s="546">
        <v>0</v>
      </c>
      <c r="CV159" s="546">
        <v>0</v>
      </c>
      <c r="CW159" s="546">
        <v>0</v>
      </c>
      <c r="CX159" s="546">
        <v>0</v>
      </c>
      <c r="CY159" s="546">
        <v>0</v>
      </c>
      <c r="CZ159" s="618">
        <v>0</v>
      </c>
      <c r="DA159" s="618">
        <v>0</v>
      </c>
      <c r="DB159" s="618">
        <v>0</v>
      </c>
      <c r="DC159" s="618">
        <v>0</v>
      </c>
      <c r="DD159" s="618">
        <v>0</v>
      </c>
      <c r="DE159" s="618">
        <v>0</v>
      </c>
      <c r="DF159" s="618">
        <v>0</v>
      </c>
      <c r="DG159" s="618">
        <v>0</v>
      </c>
      <c r="DH159" s="618">
        <v>0</v>
      </c>
      <c r="DI159" s="618">
        <v>0</v>
      </c>
      <c r="DJ159" s="618">
        <v>0</v>
      </c>
      <c r="DK159" s="1034">
        <f t="shared" si="147"/>
        <v>774</v>
      </c>
      <c r="DL159" s="543">
        <f t="shared" si="148"/>
        <v>0.16500000000000001</v>
      </c>
      <c r="DM159" s="542">
        <f t="shared" si="149"/>
        <v>122.85714285714286</v>
      </c>
      <c r="DN159" s="594">
        <f t="shared" si="150"/>
        <v>100</v>
      </c>
      <c r="DO159" s="540">
        <f t="shared" si="151"/>
        <v>0.16500000000000001</v>
      </c>
      <c r="DP159" s="597">
        <f>+IF(M159="M",DO159,0)</f>
        <v>0.16500000000000001</v>
      </c>
      <c r="DQ159" s="538">
        <f t="shared" si="152"/>
        <v>0.16500000000000001</v>
      </c>
      <c r="DR159" s="617">
        <f t="shared" si="153"/>
        <v>1</v>
      </c>
      <c r="DS159" s="616">
        <f t="shared" si="154"/>
        <v>0</v>
      </c>
      <c r="DT159" s="259">
        <v>179</v>
      </c>
      <c r="DU159" s="260" t="s">
        <v>605</v>
      </c>
      <c r="DV159" s="259"/>
      <c r="DW159" s="260" t="s">
        <v>242</v>
      </c>
      <c r="DX159" s="259"/>
      <c r="DY159" s="259"/>
      <c r="DZ159" s="259"/>
      <c r="EA159" s="987"/>
      <c r="EB159" s="1041" t="s">
        <v>2496</v>
      </c>
      <c r="EC159" s="802">
        <v>0</v>
      </c>
      <c r="EE159" s="1047"/>
    </row>
    <row r="160" spans="4:135" s="534" customFormat="1" ht="63.75" hidden="1" x14ac:dyDescent="0.3">
      <c r="D160" s="783">
        <v>157</v>
      </c>
      <c r="E160" s="799">
        <v>196</v>
      </c>
      <c r="F160" s="787" t="s">
        <v>200</v>
      </c>
      <c r="G160" s="787" t="s">
        <v>9</v>
      </c>
      <c r="H160" s="788" t="s">
        <v>138</v>
      </c>
      <c r="I160" s="713" t="s">
        <v>369</v>
      </c>
      <c r="J160" s="573" t="s">
        <v>634</v>
      </c>
      <c r="K160" s="573" t="s">
        <v>635</v>
      </c>
      <c r="L160" s="701" t="s">
        <v>2201</v>
      </c>
      <c r="M160" s="570" t="s">
        <v>2032</v>
      </c>
      <c r="N160" s="570">
        <v>0</v>
      </c>
      <c r="O160" s="570">
        <f>+P160</f>
        <v>100</v>
      </c>
      <c r="P160" s="569">
        <v>100</v>
      </c>
      <c r="Q160" s="628">
        <v>0.16500000000000001</v>
      </c>
      <c r="R160" s="580">
        <f t="shared" si="118"/>
        <v>4.1250000000000002E-2</v>
      </c>
      <c r="S160" s="708">
        <v>100</v>
      </c>
      <c r="T160" s="625">
        <f t="shared" si="119"/>
        <v>0.25</v>
      </c>
      <c r="U160" s="992">
        <v>100</v>
      </c>
      <c r="V160" s="626">
        <f t="shared" si="120"/>
        <v>25</v>
      </c>
      <c r="W160" s="594">
        <f t="shared" si="121"/>
        <v>100</v>
      </c>
      <c r="X160" s="594">
        <f t="shared" si="122"/>
        <v>100</v>
      </c>
      <c r="Y160" s="594">
        <f t="shared" si="155"/>
        <v>4.1250000000000002E-2</v>
      </c>
      <c r="Z160" s="594">
        <f t="shared" si="123"/>
        <v>100</v>
      </c>
      <c r="AA160" s="546">
        <v>0</v>
      </c>
      <c r="AB160" s="546">
        <v>0</v>
      </c>
      <c r="AC160" s="546">
        <v>0</v>
      </c>
      <c r="AD160" s="546">
        <v>0</v>
      </c>
      <c r="AE160" s="546">
        <v>0</v>
      </c>
      <c r="AF160" s="546">
        <v>0</v>
      </c>
      <c r="AG160" s="546">
        <v>0</v>
      </c>
      <c r="AH160" s="546">
        <v>0</v>
      </c>
      <c r="AI160" s="546">
        <v>0</v>
      </c>
      <c r="AJ160" s="546">
        <v>0</v>
      </c>
      <c r="AK160" s="546">
        <v>0</v>
      </c>
      <c r="AL160" s="546">
        <v>0</v>
      </c>
      <c r="AM160" s="546">
        <v>0</v>
      </c>
      <c r="AN160" s="546">
        <v>0</v>
      </c>
      <c r="AO160" s="546">
        <v>0</v>
      </c>
      <c r="AP160" s="546">
        <v>0</v>
      </c>
      <c r="AQ160" s="546">
        <v>0</v>
      </c>
      <c r="AR160" s="546">
        <v>0</v>
      </c>
      <c r="AS160" s="546">
        <v>0</v>
      </c>
      <c r="AT160" s="580">
        <f t="shared" si="124"/>
        <v>4.1250000000000002E-2</v>
      </c>
      <c r="AU160" s="570">
        <v>100</v>
      </c>
      <c r="AV160" s="625">
        <f t="shared" si="125"/>
        <v>0.25</v>
      </c>
      <c r="AW160" s="1003">
        <v>100</v>
      </c>
      <c r="AX160" s="604">
        <f t="shared" si="126"/>
        <v>25</v>
      </c>
      <c r="AY160" s="604">
        <f t="shared" si="127"/>
        <v>100</v>
      </c>
      <c r="AZ160" s="604">
        <f t="shared" si="128"/>
        <v>100</v>
      </c>
      <c r="BA160" s="592">
        <f t="shared" si="129"/>
        <v>4.1250000000000002E-2</v>
      </c>
      <c r="BB160" s="592">
        <f t="shared" si="130"/>
        <v>100</v>
      </c>
      <c r="BC160" s="591">
        <v>0</v>
      </c>
      <c r="BD160" s="591">
        <v>0</v>
      </c>
      <c r="BE160" s="591">
        <v>0</v>
      </c>
      <c r="BF160" s="591">
        <v>0</v>
      </c>
      <c r="BG160" s="591">
        <v>0</v>
      </c>
      <c r="BH160" s="591">
        <v>0</v>
      </c>
      <c r="BI160" s="591">
        <v>0</v>
      </c>
      <c r="BJ160" s="591">
        <v>0</v>
      </c>
      <c r="BK160" s="700">
        <v>0</v>
      </c>
      <c r="BL160" s="589">
        <v>0</v>
      </c>
      <c r="BM160" s="589">
        <v>0</v>
      </c>
      <c r="BN160" s="589">
        <v>0</v>
      </c>
      <c r="BO160" s="589">
        <v>0</v>
      </c>
      <c r="BP160" s="589">
        <v>0</v>
      </c>
      <c r="BQ160" s="589">
        <v>0</v>
      </c>
      <c r="BR160" s="589">
        <v>0</v>
      </c>
      <c r="BS160" s="589">
        <v>0</v>
      </c>
      <c r="BT160" s="589">
        <v>0</v>
      </c>
      <c r="BU160" s="589">
        <v>0</v>
      </c>
      <c r="BV160" s="588">
        <f t="shared" si="131"/>
        <v>4.1250000000000002E-2</v>
      </c>
      <c r="BW160" s="588">
        <v>100</v>
      </c>
      <c r="BX160" s="623">
        <f t="shared" si="132"/>
        <v>0.25</v>
      </c>
      <c r="BY160" s="607">
        <v>116</v>
      </c>
      <c r="BZ160" s="629">
        <v>100</v>
      </c>
      <c r="CA160" s="1017">
        <v>100</v>
      </c>
      <c r="CB160" s="557">
        <f t="shared" si="133"/>
        <v>25</v>
      </c>
      <c r="CC160" s="557">
        <f t="shared" si="134"/>
        <v>100</v>
      </c>
      <c r="CD160" s="622">
        <f t="shared" si="135"/>
        <v>100</v>
      </c>
      <c r="CE160" s="621">
        <f t="shared" si="136"/>
        <v>4.1250000000000002E-2</v>
      </c>
      <c r="CF160" s="605">
        <f t="shared" si="137"/>
        <v>100</v>
      </c>
      <c r="CG160" s="621">
        <f t="shared" si="138"/>
        <v>4.1250000000000002E-2</v>
      </c>
      <c r="CH160" s="553">
        <f t="shared" si="139"/>
        <v>4.1250000000000002E-2</v>
      </c>
      <c r="CI160" s="552">
        <v>100</v>
      </c>
      <c r="CJ160" s="551">
        <f t="shared" si="140"/>
        <v>0.25</v>
      </c>
      <c r="CK160" s="871">
        <v>0</v>
      </c>
      <c r="CL160" s="533">
        <f t="shared" si="141"/>
        <v>100</v>
      </c>
      <c r="CM160" s="619">
        <f t="shared" si="142"/>
        <v>0</v>
      </c>
      <c r="CN160" s="619">
        <f t="shared" si="143"/>
        <v>0</v>
      </c>
      <c r="CO160" s="619">
        <f t="shared" si="144"/>
        <v>0</v>
      </c>
      <c r="CP160" s="619">
        <f t="shared" si="145"/>
        <v>0</v>
      </c>
      <c r="CQ160" s="619">
        <f t="shared" si="146"/>
        <v>0</v>
      </c>
      <c r="CR160" s="546">
        <v>0</v>
      </c>
      <c r="CS160" s="546">
        <v>0</v>
      </c>
      <c r="CT160" s="546">
        <v>0</v>
      </c>
      <c r="CU160" s="546">
        <v>0</v>
      </c>
      <c r="CV160" s="546">
        <v>0</v>
      </c>
      <c r="CW160" s="546">
        <v>0</v>
      </c>
      <c r="CX160" s="546">
        <v>0</v>
      </c>
      <c r="CY160" s="546">
        <v>0</v>
      </c>
      <c r="CZ160" s="618">
        <v>0</v>
      </c>
      <c r="DA160" s="618">
        <v>0</v>
      </c>
      <c r="DB160" s="618">
        <v>0</v>
      </c>
      <c r="DC160" s="618">
        <v>0</v>
      </c>
      <c r="DD160" s="618">
        <v>0</v>
      </c>
      <c r="DE160" s="618">
        <v>0</v>
      </c>
      <c r="DF160" s="618">
        <v>0</v>
      </c>
      <c r="DG160" s="618">
        <v>0</v>
      </c>
      <c r="DH160" s="618">
        <v>0</v>
      </c>
      <c r="DI160" s="618">
        <v>0</v>
      </c>
      <c r="DJ160" s="618">
        <v>0</v>
      </c>
      <c r="DK160" s="1034">
        <f t="shared" si="147"/>
        <v>75</v>
      </c>
      <c r="DL160" s="543">
        <f t="shared" si="148"/>
        <v>0.16500000000000001</v>
      </c>
      <c r="DM160" s="542">
        <f t="shared" si="149"/>
        <v>75</v>
      </c>
      <c r="DN160" s="594">
        <f t="shared" si="150"/>
        <v>75</v>
      </c>
      <c r="DO160" s="540">
        <f t="shared" si="151"/>
        <v>0.12375</v>
      </c>
      <c r="DP160" s="597">
        <f>+IF(M160="M",DO160,0)</f>
        <v>0.12375</v>
      </c>
      <c r="DQ160" s="538">
        <f t="shared" si="152"/>
        <v>0.12375</v>
      </c>
      <c r="DR160" s="617">
        <f t="shared" si="153"/>
        <v>1</v>
      </c>
      <c r="DS160" s="616">
        <f t="shared" si="154"/>
        <v>0</v>
      </c>
      <c r="DT160" s="259">
        <v>177</v>
      </c>
      <c r="DU160" s="260" t="s">
        <v>282</v>
      </c>
      <c r="DV160" s="259"/>
      <c r="DW160" s="260" t="s">
        <v>242</v>
      </c>
      <c r="DX160" s="259"/>
      <c r="DY160" s="259"/>
      <c r="DZ160" s="259"/>
      <c r="EA160" s="987"/>
      <c r="EB160" s="1041" t="s">
        <v>2497</v>
      </c>
      <c r="EC160" s="802">
        <v>0</v>
      </c>
      <c r="EE160" s="1047"/>
    </row>
    <row r="161" spans="4:135" s="534" customFormat="1" ht="102" hidden="1" x14ac:dyDescent="0.3">
      <c r="D161" s="783">
        <v>158</v>
      </c>
      <c r="E161" s="799">
        <v>197</v>
      </c>
      <c r="F161" s="787" t="s">
        <v>200</v>
      </c>
      <c r="G161" s="787" t="s">
        <v>7</v>
      </c>
      <c r="H161" s="788" t="s">
        <v>138</v>
      </c>
      <c r="I161" s="712" t="s">
        <v>369</v>
      </c>
      <c r="J161" s="573" t="s">
        <v>636</v>
      </c>
      <c r="K161" s="573" t="s">
        <v>637</v>
      </c>
      <c r="L161" s="702" t="s">
        <v>1593</v>
      </c>
      <c r="M161" s="570" t="s">
        <v>2017</v>
      </c>
      <c r="N161" s="570">
        <v>0</v>
      </c>
      <c r="O161" s="570">
        <f t="shared" ref="O161:O170" si="158">+N161+P161</f>
        <v>35</v>
      </c>
      <c r="P161" s="569">
        <v>35</v>
      </c>
      <c r="Q161" s="628">
        <v>0.16500000000000001</v>
      </c>
      <c r="R161" s="580">
        <f t="shared" si="118"/>
        <v>0</v>
      </c>
      <c r="S161" s="708">
        <v>0</v>
      </c>
      <c r="T161" s="625">
        <f t="shared" si="119"/>
        <v>0</v>
      </c>
      <c r="U161" s="992">
        <v>0</v>
      </c>
      <c r="V161" s="626">
        <f t="shared" si="120"/>
        <v>0</v>
      </c>
      <c r="W161" s="594">
        <f t="shared" si="121"/>
        <v>0</v>
      </c>
      <c r="X161" s="594">
        <f t="shared" si="122"/>
        <v>0</v>
      </c>
      <c r="Y161" s="594">
        <f t="shared" si="155"/>
        <v>0</v>
      </c>
      <c r="Z161" s="594">
        <f t="shared" si="123"/>
        <v>0</v>
      </c>
      <c r="AA161" s="546">
        <v>0</v>
      </c>
      <c r="AB161" s="546">
        <v>0</v>
      </c>
      <c r="AC161" s="546">
        <v>0</v>
      </c>
      <c r="AD161" s="546">
        <v>0</v>
      </c>
      <c r="AE161" s="546">
        <v>0</v>
      </c>
      <c r="AF161" s="546">
        <v>0</v>
      </c>
      <c r="AG161" s="546">
        <v>0</v>
      </c>
      <c r="AH161" s="546">
        <v>0</v>
      </c>
      <c r="AI161" s="546">
        <v>0</v>
      </c>
      <c r="AJ161" s="546">
        <v>0</v>
      </c>
      <c r="AK161" s="546">
        <v>0</v>
      </c>
      <c r="AL161" s="546">
        <v>0</v>
      </c>
      <c r="AM161" s="546">
        <v>0</v>
      </c>
      <c r="AN161" s="546">
        <v>0</v>
      </c>
      <c r="AO161" s="546">
        <v>0</v>
      </c>
      <c r="AP161" s="546">
        <v>0</v>
      </c>
      <c r="AQ161" s="546">
        <v>0</v>
      </c>
      <c r="AR161" s="546">
        <v>0</v>
      </c>
      <c r="AS161" s="546">
        <v>0</v>
      </c>
      <c r="AT161" s="570">
        <f t="shared" si="124"/>
        <v>6.1285714285714291E-2</v>
      </c>
      <c r="AU161" s="570">
        <v>13</v>
      </c>
      <c r="AV161" s="625">
        <f t="shared" si="125"/>
        <v>0.37142857142857144</v>
      </c>
      <c r="AW161" s="1003">
        <v>13</v>
      </c>
      <c r="AX161" s="604">
        <f t="shared" si="126"/>
        <v>13</v>
      </c>
      <c r="AY161" s="604">
        <f t="shared" si="127"/>
        <v>100</v>
      </c>
      <c r="AZ161" s="604">
        <f t="shared" si="128"/>
        <v>100</v>
      </c>
      <c r="BA161" s="592">
        <f t="shared" si="129"/>
        <v>6.1285714285714291E-2</v>
      </c>
      <c r="BB161" s="592">
        <f t="shared" si="130"/>
        <v>100</v>
      </c>
      <c r="BC161" s="591">
        <v>0</v>
      </c>
      <c r="BD161" s="591">
        <v>0</v>
      </c>
      <c r="BE161" s="591">
        <v>0</v>
      </c>
      <c r="BF161" s="591">
        <v>0</v>
      </c>
      <c r="BG161" s="591">
        <v>0</v>
      </c>
      <c r="BH161" s="591">
        <v>0</v>
      </c>
      <c r="BI161" s="591">
        <v>0</v>
      </c>
      <c r="BJ161" s="591">
        <v>0</v>
      </c>
      <c r="BK161" s="700">
        <v>70000000</v>
      </c>
      <c r="BL161" s="589">
        <v>70000000</v>
      </c>
      <c r="BM161" s="589">
        <v>0</v>
      </c>
      <c r="BN161" s="589">
        <v>0</v>
      </c>
      <c r="BO161" s="589">
        <v>0</v>
      </c>
      <c r="BP161" s="589">
        <v>0</v>
      </c>
      <c r="BQ161" s="589">
        <v>0</v>
      </c>
      <c r="BR161" s="589">
        <v>0</v>
      </c>
      <c r="BS161" s="589">
        <v>0</v>
      </c>
      <c r="BT161" s="589">
        <v>35000000</v>
      </c>
      <c r="BU161" s="589" t="s">
        <v>2239</v>
      </c>
      <c r="BV161" s="588">
        <f t="shared" si="131"/>
        <v>4.7142857142857139E-2</v>
      </c>
      <c r="BW161" s="588">
        <v>10</v>
      </c>
      <c r="BX161" s="623">
        <f t="shared" si="132"/>
        <v>0.2857142857142857</v>
      </c>
      <c r="BY161" s="639">
        <v>0</v>
      </c>
      <c r="BZ161" s="638">
        <v>11</v>
      </c>
      <c r="CA161" s="1018">
        <v>12</v>
      </c>
      <c r="CB161" s="557">
        <f t="shared" si="133"/>
        <v>12</v>
      </c>
      <c r="CC161" s="557">
        <f t="shared" si="134"/>
        <v>120</v>
      </c>
      <c r="CD161" s="622">
        <f t="shared" si="135"/>
        <v>100</v>
      </c>
      <c r="CE161" s="621">
        <f t="shared" si="136"/>
        <v>4.7142857142857132E-2</v>
      </c>
      <c r="CF161" s="605">
        <f t="shared" si="137"/>
        <v>100</v>
      </c>
      <c r="CG161" s="621">
        <f t="shared" si="138"/>
        <v>5.6571428571428564E-2</v>
      </c>
      <c r="CH161" s="553">
        <f t="shared" si="139"/>
        <v>5.6571428571428578E-2</v>
      </c>
      <c r="CI161" s="552">
        <v>12</v>
      </c>
      <c r="CJ161" s="551">
        <f t="shared" si="140"/>
        <v>0.34285714285714286</v>
      </c>
      <c r="CK161" s="871">
        <v>0</v>
      </c>
      <c r="CL161" s="533">
        <f t="shared" si="141"/>
        <v>12</v>
      </c>
      <c r="CM161" s="619">
        <f t="shared" si="142"/>
        <v>0</v>
      </c>
      <c r="CN161" s="619">
        <f t="shared" si="143"/>
        <v>0</v>
      </c>
      <c r="CO161" s="549">
        <f t="shared" si="144"/>
        <v>0</v>
      </c>
      <c r="CP161" s="619">
        <f t="shared" si="145"/>
        <v>0</v>
      </c>
      <c r="CQ161" s="619">
        <f t="shared" si="146"/>
        <v>0</v>
      </c>
      <c r="CR161" s="546">
        <v>0</v>
      </c>
      <c r="CS161" s="546">
        <v>0</v>
      </c>
      <c r="CT161" s="546">
        <v>0</v>
      </c>
      <c r="CU161" s="546">
        <v>0</v>
      </c>
      <c r="CV161" s="546">
        <v>0</v>
      </c>
      <c r="CW161" s="546">
        <v>0</v>
      </c>
      <c r="CX161" s="546">
        <v>0</v>
      </c>
      <c r="CY161" s="546">
        <v>0</v>
      </c>
      <c r="CZ161" s="618">
        <v>0</v>
      </c>
      <c r="DA161" s="618">
        <v>0</v>
      </c>
      <c r="DB161" s="618">
        <v>0</v>
      </c>
      <c r="DC161" s="618">
        <v>0</v>
      </c>
      <c r="DD161" s="618">
        <v>0</v>
      </c>
      <c r="DE161" s="618">
        <v>0</v>
      </c>
      <c r="DF161" s="618">
        <v>0</v>
      </c>
      <c r="DG161" s="618">
        <v>0</v>
      </c>
      <c r="DH161" s="618">
        <v>0</v>
      </c>
      <c r="DI161" s="618">
        <v>0</v>
      </c>
      <c r="DJ161" s="618">
        <v>0</v>
      </c>
      <c r="DK161" s="1034">
        <f t="shared" si="147"/>
        <v>25</v>
      </c>
      <c r="DL161" s="543">
        <f t="shared" si="148"/>
        <v>0.16500000000000001</v>
      </c>
      <c r="DM161" s="542">
        <f t="shared" si="149"/>
        <v>71.428571428571431</v>
      </c>
      <c r="DN161" s="594">
        <f t="shared" si="150"/>
        <v>71.428571428571431</v>
      </c>
      <c r="DO161" s="540">
        <f t="shared" si="151"/>
        <v>0.11785714285714287</v>
      </c>
      <c r="DP161" s="597">
        <f t="shared" ref="DP161:DP170" si="159">+IF(((DN161*Q161)/100)&lt;Q161, ((DN161*Q161)/100),Q161)</f>
        <v>0.11785714285714287</v>
      </c>
      <c r="DQ161" s="538">
        <f t="shared" si="152"/>
        <v>0.11785714285714287</v>
      </c>
      <c r="DR161" s="617">
        <f t="shared" si="153"/>
        <v>1</v>
      </c>
      <c r="DS161" s="616">
        <f t="shared" si="154"/>
        <v>0</v>
      </c>
      <c r="DT161" s="259">
        <v>179</v>
      </c>
      <c r="DU161" s="260" t="s">
        <v>605</v>
      </c>
      <c r="DV161" s="259"/>
      <c r="DW161" s="260" t="s">
        <v>242</v>
      </c>
      <c r="DX161" s="259"/>
      <c r="DY161" s="259"/>
      <c r="DZ161" s="259"/>
      <c r="EA161" s="987"/>
      <c r="EB161" s="1041" t="s">
        <v>2498</v>
      </c>
      <c r="EC161" s="802">
        <v>0</v>
      </c>
      <c r="EE161" s="1047"/>
    </row>
    <row r="162" spans="4:135" s="534" customFormat="1" ht="63.75" hidden="1" x14ac:dyDescent="0.3">
      <c r="D162" s="783">
        <v>159</v>
      </c>
      <c r="E162" s="799">
        <v>198</v>
      </c>
      <c r="F162" s="787" t="s">
        <v>200</v>
      </c>
      <c r="G162" s="787" t="s">
        <v>9</v>
      </c>
      <c r="H162" s="788" t="s">
        <v>131</v>
      </c>
      <c r="I162" s="712" t="s">
        <v>369</v>
      </c>
      <c r="J162" s="573" t="s">
        <v>638</v>
      </c>
      <c r="K162" s="573" t="s">
        <v>639</v>
      </c>
      <c r="L162" s="702" t="s">
        <v>1593</v>
      </c>
      <c r="M162" s="570" t="s">
        <v>2017</v>
      </c>
      <c r="N162" s="570">
        <v>0</v>
      </c>
      <c r="O162" s="570">
        <f t="shared" si="158"/>
        <v>116</v>
      </c>
      <c r="P162" s="569">
        <v>116</v>
      </c>
      <c r="Q162" s="628">
        <v>0.16500000000000001</v>
      </c>
      <c r="R162" s="580">
        <f t="shared" si="118"/>
        <v>0</v>
      </c>
      <c r="S162" s="708">
        <v>0</v>
      </c>
      <c r="T162" s="625">
        <f t="shared" si="119"/>
        <v>0</v>
      </c>
      <c r="U162" s="992">
        <v>0</v>
      </c>
      <c r="V162" s="626">
        <f t="shared" si="120"/>
        <v>0</v>
      </c>
      <c r="W162" s="594">
        <f t="shared" si="121"/>
        <v>0</v>
      </c>
      <c r="X162" s="594">
        <f t="shared" si="122"/>
        <v>0</v>
      </c>
      <c r="Y162" s="594">
        <f t="shared" si="155"/>
        <v>0</v>
      </c>
      <c r="Z162" s="594">
        <f t="shared" si="123"/>
        <v>0</v>
      </c>
      <c r="AA162" s="546">
        <v>0</v>
      </c>
      <c r="AB162" s="546">
        <v>0</v>
      </c>
      <c r="AC162" s="546">
        <v>0</v>
      </c>
      <c r="AD162" s="546">
        <v>0</v>
      </c>
      <c r="AE162" s="546">
        <v>0</v>
      </c>
      <c r="AF162" s="546">
        <v>0</v>
      </c>
      <c r="AG162" s="546">
        <v>0</v>
      </c>
      <c r="AH162" s="546">
        <v>0</v>
      </c>
      <c r="AI162" s="546">
        <v>0</v>
      </c>
      <c r="AJ162" s="546">
        <v>0</v>
      </c>
      <c r="AK162" s="546">
        <v>0</v>
      </c>
      <c r="AL162" s="546">
        <v>0</v>
      </c>
      <c r="AM162" s="546">
        <v>0</v>
      </c>
      <c r="AN162" s="546">
        <v>0</v>
      </c>
      <c r="AO162" s="546">
        <v>0</v>
      </c>
      <c r="AP162" s="546">
        <v>0</v>
      </c>
      <c r="AQ162" s="546">
        <v>0</v>
      </c>
      <c r="AR162" s="546">
        <v>0</v>
      </c>
      <c r="AS162" s="546">
        <v>0</v>
      </c>
      <c r="AT162" s="580">
        <f t="shared" si="124"/>
        <v>0.16500000000000001</v>
      </c>
      <c r="AU162" s="570">
        <v>116</v>
      </c>
      <c r="AV162" s="625">
        <f t="shared" si="125"/>
        <v>1</v>
      </c>
      <c r="AW162" s="1003">
        <v>116</v>
      </c>
      <c r="AX162" s="604">
        <f t="shared" si="126"/>
        <v>116</v>
      </c>
      <c r="AY162" s="604">
        <f t="shared" si="127"/>
        <v>100</v>
      </c>
      <c r="AZ162" s="604">
        <f t="shared" si="128"/>
        <v>100</v>
      </c>
      <c r="BA162" s="592">
        <f t="shared" si="129"/>
        <v>0.16500000000000001</v>
      </c>
      <c r="BB162" s="592">
        <f t="shared" si="130"/>
        <v>100</v>
      </c>
      <c r="BC162" s="591">
        <v>50000000</v>
      </c>
      <c r="BD162" s="591">
        <v>0</v>
      </c>
      <c r="BE162" s="591">
        <v>50000000</v>
      </c>
      <c r="BF162" s="591">
        <v>0</v>
      </c>
      <c r="BG162" s="591">
        <v>0</v>
      </c>
      <c r="BH162" s="591">
        <v>0</v>
      </c>
      <c r="BI162" s="591">
        <v>0</v>
      </c>
      <c r="BJ162" s="591">
        <v>0</v>
      </c>
      <c r="BK162" s="700">
        <v>0</v>
      </c>
      <c r="BL162" s="589">
        <v>0</v>
      </c>
      <c r="BM162" s="589">
        <v>0</v>
      </c>
      <c r="BN162" s="589">
        <v>0</v>
      </c>
      <c r="BO162" s="589">
        <v>0</v>
      </c>
      <c r="BP162" s="589">
        <v>0</v>
      </c>
      <c r="BQ162" s="589">
        <v>0</v>
      </c>
      <c r="BR162" s="589">
        <v>0</v>
      </c>
      <c r="BS162" s="589">
        <v>0</v>
      </c>
      <c r="BT162" s="589">
        <v>0</v>
      </c>
      <c r="BU162" s="589">
        <v>0</v>
      </c>
      <c r="BV162" s="588">
        <f t="shared" si="131"/>
        <v>0</v>
      </c>
      <c r="BW162" s="588">
        <v>0</v>
      </c>
      <c r="BX162" s="623">
        <f t="shared" si="132"/>
        <v>0</v>
      </c>
      <c r="BY162" s="607">
        <v>116</v>
      </c>
      <c r="BZ162" s="629">
        <v>0</v>
      </c>
      <c r="CA162" s="1017">
        <v>0</v>
      </c>
      <c r="CB162" s="557">
        <f t="shared" si="133"/>
        <v>0</v>
      </c>
      <c r="CC162" s="557">
        <f t="shared" si="134"/>
        <v>0</v>
      </c>
      <c r="CD162" s="622">
        <f t="shared" si="135"/>
        <v>0</v>
      </c>
      <c r="CE162" s="621">
        <f t="shared" si="136"/>
        <v>0</v>
      </c>
      <c r="CF162" s="605">
        <f t="shared" si="137"/>
        <v>0</v>
      </c>
      <c r="CG162" s="621">
        <f t="shared" si="138"/>
        <v>0</v>
      </c>
      <c r="CH162" s="553">
        <f t="shared" si="139"/>
        <v>0</v>
      </c>
      <c r="CI162" s="552">
        <v>0</v>
      </c>
      <c r="CJ162" s="551">
        <f t="shared" si="140"/>
        <v>0</v>
      </c>
      <c r="CK162" s="871">
        <v>0</v>
      </c>
      <c r="CL162" s="533">
        <f t="shared" si="141"/>
        <v>0</v>
      </c>
      <c r="CM162" s="619">
        <f t="shared" si="142"/>
        <v>0</v>
      </c>
      <c r="CN162" s="619">
        <f t="shared" si="143"/>
        <v>0</v>
      </c>
      <c r="CO162" s="549">
        <f t="shared" si="144"/>
        <v>0</v>
      </c>
      <c r="CP162" s="619">
        <f t="shared" si="145"/>
        <v>0</v>
      </c>
      <c r="CQ162" s="619">
        <f t="shared" si="146"/>
        <v>0</v>
      </c>
      <c r="CR162" s="546">
        <v>0</v>
      </c>
      <c r="CS162" s="546">
        <v>0</v>
      </c>
      <c r="CT162" s="546">
        <v>0</v>
      </c>
      <c r="CU162" s="546">
        <v>0</v>
      </c>
      <c r="CV162" s="546">
        <v>0</v>
      </c>
      <c r="CW162" s="546">
        <v>0</v>
      </c>
      <c r="CX162" s="546">
        <v>0</v>
      </c>
      <c r="CY162" s="546">
        <v>0</v>
      </c>
      <c r="CZ162" s="618">
        <v>0</v>
      </c>
      <c r="DA162" s="618">
        <v>0</v>
      </c>
      <c r="DB162" s="618">
        <v>0</v>
      </c>
      <c r="DC162" s="618">
        <v>0</v>
      </c>
      <c r="DD162" s="618">
        <v>0</v>
      </c>
      <c r="DE162" s="618">
        <v>0</v>
      </c>
      <c r="DF162" s="618">
        <v>0</v>
      </c>
      <c r="DG162" s="618">
        <v>0</v>
      </c>
      <c r="DH162" s="618">
        <v>0</v>
      </c>
      <c r="DI162" s="618">
        <v>0</v>
      </c>
      <c r="DJ162" s="618">
        <v>0</v>
      </c>
      <c r="DK162" s="1034">
        <f t="shared" si="147"/>
        <v>116</v>
      </c>
      <c r="DL162" s="543">
        <f t="shared" si="148"/>
        <v>0.16500000000000001</v>
      </c>
      <c r="DM162" s="542">
        <f t="shared" si="149"/>
        <v>100</v>
      </c>
      <c r="DN162" s="594">
        <f t="shared" si="150"/>
        <v>100</v>
      </c>
      <c r="DO162" s="540">
        <f t="shared" si="151"/>
        <v>0.16500000000000001</v>
      </c>
      <c r="DP162" s="597">
        <f t="shared" si="159"/>
        <v>0.16500000000000001</v>
      </c>
      <c r="DQ162" s="538">
        <f t="shared" si="152"/>
        <v>0.16500000000000001</v>
      </c>
      <c r="DR162" s="617">
        <f t="shared" si="153"/>
        <v>1</v>
      </c>
      <c r="DS162" s="616">
        <f t="shared" si="154"/>
        <v>0</v>
      </c>
      <c r="DT162" s="259">
        <v>177</v>
      </c>
      <c r="DU162" s="260" t="s">
        <v>282</v>
      </c>
      <c r="DV162" s="259"/>
      <c r="DW162" s="260" t="s">
        <v>242</v>
      </c>
      <c r="DX162" s="259"/>
      <c r="DY162" s="259"/>
      <c r="DZ162" s="259"/>
      <c r="EA162" s="987"/>
      <c r="EB162" s="1041" t="s">
        <v>2499</v>
      </c>
      <c r="EC162" s="802">
        <v>0</v>
      </c>
      <c r="EE162" s="1047"/>
    </row>
    <row r="163" spans="4:135" s="534" customFormat="1" ht="89.25" hidden="1" x14ac:dyDescent="0.3">
      <c r="D163" s="783">
        <v>160</v>
      </c>
      <c r="E163" s="799">
        <v>204</v>
      </c>
      <c r="F163" s="787" t="s">
        <v>200</v>
      </c>
      <c r="G163" s="787" t="s">
        <v>14</v>
      </c>
      <c r="H163" s="788" t="s">
        <v>2224</v>
      </c>
      <c r="I163" s="712" t="s">
        <v>238</v>
      </c>
      <c r="J163" s="573" t="s">
        <v>640</v>
      </c>
      <c r="K163" s="573" t="s">
        <v>641</v>
      </c>
      <c r="L163" s="702" t="s">
        <v>1642</v>
      </c>
      <c r="M163" s="570" t="s">
        <v>2017</v>
      </c>
      <c r="N163" s="570">
        <v>500</v>
      </c>
      <c r="O163" s="570">
        <f t="shared" si="158"/>
        <v>1000</v>
      </c>
      <c r="P163" s="569">
        <v>500</v>
      </c>
      <c r="Q163" s="628">
        <v>0.16500000000000001</v>
      </c>
      <c r="R163" s="580">
        <f t="shared" si="118"/>
        <v>2.9700000000000001E-2</v>
      </c>
      <c r="S163" s="708">
        <v>90</v>
      </c>
      <c r="T163" s="625">
        <f t="shared" si="119"/>
        <v>0.18</v>
      </c>
      <c r="U163" s="992">
        <v>0</v>
      </c>
      <c r="V163" s="626">
        <f t="shared" si="120"/>
        <v>0</v>
      </c>
      <c r="W163" s="594">
        <f t="shared" si="121"/>
        <v>0</v>
      </c>
      <c r="X163" s="594">
        <f t="shared" si="122"/>
        <v>0</v>
      </c>
      <c r="Y163" s="594">
        <f t="shared" si="155"/>
        <v>0</v>
      </c>
      <c r="Z163" s="594">
        <f t="shared" si="123"/>
        <v>0</v>
      </c>
      <c r="AA163" s="546">
        <v>0</v>
      </c>
      <c r="AB163" s="546">
        <v>0</v>
      </c>
      <c r="AC163" s="546">
        <v>0</v>
      </c>
      <c r="AD163" s="546">
        <v>0</v>
      </c>
      <c r="AE163" s="546">
        <v>0</v>
      </c>
      <c r="AF163" s="546">
        <v>0</v>
      </c>
      <c r="AG163" s="546">
        <v>0</v>
      </c>
      <c r="AH163" s="546">
        <v>0</v>
      </c>
      <c r="AI163" s="546">
        <v>0</v>
      </c>
      <c r="AJ163" s="546">
        <v>0</v>
      </c>
      <c r="AK163" s="546">
        <v>0</v>
      </c>
      <c r="AL163" s="546">
        <v>0</v>
      </c>
      <c r="AM163" s="546">
        <v>0</v>
      </c>
      <c r="AN163" s="546">
        <v>0</v>
      </c>
      <c r="AO163" s="546">
        <v>0</v>
      </c>
      <c r="AP163" s="546">
        <v>0</v>
      </c>
      <c r="AQ163" s="546">
        <v>0</v>
      </c>
      <c r="AR163" s="546">
        <v>0</v>
      </c>
      <c r="AS163" s="546">
        <v>0</v>
      </c>
      <c r="AT163" s="570">
        <f t="shared" si="124"/>
        <v>1.6500000000000001E-2</v>
      </c>
      <c r="AU163" s="570">
        <v>50</v>
      </c>
      <c r="AV163" s="625">
        <f t="shared" si="125"/>
        <v>0.1</v>
      </c>
      <c r="AW163" s="1003">
        <v>145</v>
      </c>
      <c r="AX163" s="604">
        <f t="shared" si="126"/>
        <v>145</v>
      </c>
      <c r="AY163" s="604">
        <f t="shared" si="127"/>
        <v>290</v>
      </c>
      <c r="AZ163" s="604">
        <f t="shared" si="128"/>
        <v>100</v>
      </c>
      <c r="BA163" s="592">
        <f t="shared" si="129"/>
        <v>1.6500000000000001E-2</v>
      </c>
      <c r="BB163" s="592">
        <f t="shared" si="130"/>
        <v>100</v>
      </c>
      <c r="BC163" s="591">
        <v>130000000</v>
      </c>
      <c r="BD163" s="591">
        <v>0</v>
      </c>
      <c r="BE163" s="591">
        <v>130000000</v>
      </c>
      <c r="BF163" s="591">
        <v>0</v>
      </c>
      <c r="BG163" s="591">
        <v>0</v>
      </c>
      <c r="BH163" s="591">
        <v>0</v>
      </c>
      <c r="BI163" s="591">
        <v>0</v>
      </c>
      <c r="BJ163" s="591">
        <v>0</v>
      </c>
      <c r="BK163" s="700">
        <v>130000000</v>
      </c>
      <c r="BL163" s="589">
        <v>130000000</v>
      </c>
      <c r="BM163" s="589">
        <v>0</v>
      </c>
      <c r="BN163" s="589">
        <v>0</v>
      </c>
      <c r="BO163" s="589">
        <v>0</v>
      </c>
      <c r="BP163" s="589">
        <v>0</v>
      </c>
      <c r="BQ163" s="589">
        <v>0</v>
      </c>
      <c r="BR163" s="589">
        <v>0</v>
      </c>
      <c r="BS163" s="589">
        <v>0</v>
      </c>
      <c r="BT163" s="589">
        <v>0</v>
      </c>
      <c r="BU163" s="589">
        <v>0</v>
      </c>
      <c r="BV163" s="588">
        <f t="shared" si="131"/>
        <v>5.9400000000000001E-2</v>
      </c>
      <c r="BW163" s="588">
        <v>180</v>
      </c>
      <c r="BX163" s="623">
        <f t="shared" si="132"/>
        <v>0.36</v>
      </c>
      <c r="BY163" s="607">
        <v>0</v>
      </c>
      <c r="BZ163" s="629">
        <v>0</v>
      </c>
      <c r="CA163" s="1017">
        <v>345</v>
      </c>
      <c r="CB163" s="557">
        <f t="shared" si="133"/>
        <v>345</v>
      </c>
      <c r="CC163" s="557">
        <f t="shared" si="134"/>
        <v>191.66666666666666</v>
      </c>
      <c r="CD163" s="622">
        <f t="shared" si="135"/>
        <v>100</v>
      </c>
      <c r="CE163" s="621">
        <f t="shared" si="136"/>
        <v>5.9400000000000001E-2</v>
      </c>
      <c r="CF163" s="605">
        <f t="shared" si="137"/>
        <v>100</v>
      </c>
      <c r="CG163" s="621">
        <f t="shared" si="138"/>
        <v>0.11384999999999999</v>
      </c>
      <c r="CH163" s="553">
        <f t="shared" si="139"/>
        <v>5.9400000000000001E-2</v>
      </c>
      <c r="CI163" s="552">
        <v>180</v>
      </c>
      <c r="CJ163" s="551">
        <f t="shared" si="140"/>
        <v>0.36</v>
      </c>
      <c r="CK163" s="874">
        <v>2</v>
      </c>
      <c r="CL163" s="533">
        <f t="shared" si="141"/>
        <v>178</v>
      </c>
      <c r="CM163" s="619">
        <f t="shared" si="142"/>
        <v>2</v>
      </c>
      <c r="CN163" s="619">
        <f t="shared" si="143"/>
        <v>1.1111111111111112</v>
      </c>
      <c r="CO163" s="549">
        <f t="shared" si="144"/>
        <v>1.1111111111111112</v>
      </c>
      <c r="CP163" s="619">
        <f t="shared" si="145"/>
        <v>6.6E-4</v>
      </c>
      <c r="CQ163" s="619">
        <f t="shared" si="146"/>
        <v>6.6E-4</v>
      </c>
      <c r="CR163" s="546">
        <v>300000000</v>
      </c>
      <c r="CS163" s="546">
        <v>300000000</v>
      </c>
      <c r="CT163" s="546">
        <v>0</v>
      </c>
      <c r="CU163" s="546">
        <v>0</v>
      </c>
      <c r="CV163" s="546">
        <v>0</v>
      </c>
      <c r="CW163" s="546">
        <v>0</v>
      </c>
      <c r="CX163" s="546">
        <v>0</v>
      </c>
      <c r="CY163" s="546">
        <v>0</v>
      </c>
      <c r="CZ163" s="618">
        <v>0</v>
      </c>
      <c r="DA163" s="618">
        <v>0</v>
      </c>
      <c r="DB163" s="618">
        <v>0</v>
      </c>
      <c r="DC163" s="618">
        <v>0</v>
      </c>
      <c r="DD163" s="618">
        <v>0</v>
      </c>
      <c r="DE163" s="618">
        <v>0</v>
      </c>
      <c r="DF163" s="618">
        <v>0</v>
      </c>
      <c r="DG163" s="618">
        <v>0</v>
      </c>
      <c r="DH163" s="618">
        <v>0</v>
      </c>
      <c r="DI163" s="618">
        <v>0</v>
      </c>
      <c r="DJ163" s="618">
        <v>0</v>
      </c>
      <c r="DK163" s="1034">
        <f t="shared" si="147"/>
        <v>492</v>
      </c>
      <c r="DL163" s="543">
        <f t="shared" si="148"/>
        <v>0.16500000000000001</v>
      </c>
      <c r="DM163" s="542">
        <f t="shared" si="149"/>
        <v>98.4</v>
      </c>
      <c r="DN163" s="594">
        <f t="shared" si="150"/>
        <v>98.4</v>
      </c>
      <c r="DO163" s="540">
        <f t="shared" si="151"/>
        <v>0.16236</v>
      </c>
      <c r="DP163" s="597">
        <f t="shared" si="159"/>
        <v>0.16236</v>
      </c>
      <c r="DQ163" s="538">
        <f t="shared" si="152"/>
        <v>0.16236</v>
      </c>
      <c r="DR163" s="617">
        <f t="shared" si="153"/>
        <v>1</v>
      </c>
      <c r="DS163" s="616">
        <f t="shared" si="154"/>
        <v>0</v>
      </c>
      <c r="DT163" s="259">
        <v>199</v>
      </c>
      <c r="DU163" s="260" t="s">
        <v>281</v>
      </c>
      <c r="DV163" s="259"/>
      <c r="DW163" s="260" t="s">
        <v>242</v>
      </c>
      <c r="DX163" s="259"/>
      <c r="DY163" s="259"/>
      <c r="DZ163" s="259"/>
      <c r="EA163" s="987"/>
      <c r="EB163" s="1041" t="s">
        <v>2500</v>
      </c>
      <c r="EC163" s="802">
        <v>300000000</v>
      </c>
      <c r="EE163" s="1047"/>
    </row>
    <row r="164" spans="4:135" s="534" customFormat="1" ht="102" hidden="1" x14ac:dyDescent="0.3">
      <c r="D164" s="783">
        <v>161</v>
      </c>
      <c r="E164" s="799">
        <v>205</v>
      </c>
      <c r="F164" s="787" t="s">
        <v>200</v>
      </c>
      <c r="G164" s="787" t="s">
        <v>14</v>
      </c>
      <c r="H164" s="788" t="s">
        <v>2224</v>
      </c>
      <c r="I164" s="712" t="s">
        <v>238</v>
      </c>
      <c r="J164" s="573" t="s">
        <v>642</v>
      </c>
      <c r="K164" s="573" t="s">
        <v>643</v>
      </c>
      <c r="L164" s="702" t="s">
        <v>1642</v>
      </c>
      <c r="M164" s="570" t="s">
        <v>2017</v>
      </c>
      <c r="N164" s="570">
        <v>2779</v>
      </c>
      <c r="O164" s="570">
        <f t="shared" si="158"/>
        <v>5779</v>
      </c>
      <c r="P164" s="569">
        <v>3000</v>
      </c>
      <c r="Q164" s="628">
        <v>0.25</v>
      </c>
      <c r="R164" s="580">
        <f t="shared" si="118"/>
        <v>1.6666666666666666E-2</v>
      </c>
      <c r="S164" s="708">
        <v>200</v>
      </c>
      <c r="T164" s="625">
        <f t="shared" si="119"/>
        <v>6.6666666666666666E-2</v>
      </c>
      <c r="U164" s="992">
        <v>623</v>
      </c>
      <c r="V164" s="626">
        <f t="shared" si="120"/>
        <v>623</v>
      </c>
      <c r="W164" s="594">
        <f t="shared" si="121"/>
        <v>311.5</v>
      </c>
      <c r="X164" s="594">
        <f t="shared" si="122"/>
        <v>100</v>
      </c>
      <c r="Y164" s="594">
        <f t="shared" si="155"/>
        <v>1.6666666666666666E-2</v>
      </c>
      <c r="Z164" s="594">
        <f t="shared" si="123"/>
        <v>100</v>
      </c>
      <c r="AA164" s="546">
        <v>712000000</v>
      </c>
      <c r="AB164" s="546">
        <v>712000000</v>
      </c>
      <c r="AC164" s="546">
        <v>0</v>
      </c>
      <c r="AD164" s="546">
        <v>0</v>
      </c>
      <c r="AE164" s="546">
        <v>0</v>
      </c>
      <c r="AF164" s="546">
        <v>0</v>
      </c>
      <c r="AG164" s="546">
        <v>0</v>
      </c>
      <c r="AH164" s="546">
        <v>0</v>
      </c>
      <c r="AI164" s="546">
        <v>12142615000</v>
      </c>
      <c r="AJ164" s="546">
        <v>2341069000</v>
      </c>
      <c r="AK164" s="546">
        <v>0</v>
      </c>
      <c r="AL164" s="546">
        <v>9801546000</v>
      </c>
      <c r="AM164" s="546">
        <v>0</v>
      </c>
      <c r="AN164" s="546">
        <v>0</v>
      </c>
      <c r="AO164" s="546">
        <v>0</v>
      </c>
      <c r="AP164" s="546">
        <v>0</v>
      </c>
      <c r="AQ164" s="546">
        <v>0</v>
      </c>
      <c r="AR164" s="546">
        <v>0</v>
      </c>
      <c r="AS164" s="546">
        <v>0</v>
      </c>
      <c r="AT164" s="570">
        <f t="shared" si="124"/>
        <v>8.3333333333333329E-2</v>
      </c>
      <c r="AU164" s="570">
        <v>1000</v>
      </c>
      <c r="AV164" s="625">
        <f t="shared" si="125"/>
        <v>0.33333333333333331</v>
      </c>
      <c r="AW164" s="1003">
        <v>4517</v>
      </c>
      <c r="AX164" s="604">
        <f t="shared" si="126"/>
        <v>4517</v>
      </c>
      <c r="AY164" s="604">
        <f t="shared" si="127"/>
        <v>451.7</v>
      </c>
      <c r="AZ164" s="604">
        <f t="shared" si="128"/>
        <v>100</v>
      </c>
      <c r="BA164" s="592">
        <f t="shared" si="129"/>
        <v>8.3333333333333315E-2</v>
      </c>
      <c r="BB164" s="592">
        <f t="shared" si="130"/>
        <v>100</v>
      </c>
      <c r="BC164" s="591">
        <v>741000000</v>
      </c>
      <c r="BD164" s="591">
        <v>0</v>
      </c>
      <c r="BE164" s="591">
        <v>741000000</v>
      </c>
      <c r="BF164" s="591">
        <v>0</v>
      </c>
      <c r="BG164" s="591">
        <v>0</v>
      </c>
      <c r="BH164" s="591">
        <v>0</v>
      </c>
      <c r="BI164" s="591">
        <v>0</v>
      </c>
      <c r="BJ164" s="591">
        <v>0</v>
      </c>
      <c r="BK164" s="700">
        <v>14057581000</v>
      </c>
      <c r="BL164" s="589">
        <v>844267000</v>
      </c>
      <c r="BM164" s="589">
        <v>0</v>
      </c>
      <c r="BN164" s="589">
        <v>0</v>
      </c>
      <c r="BO164" s="589">
        <v>0</v>
      </c>
      <c r="BP164" s="589">
        <v>13213314000</v>
      </c>
      <c r="BQ164" s="589">
        <v>0</v>
      </c>
      <c r="BR164" s="589">
        <v>0</v>
      </c>
      <c r="BS164" s="589">
        <v>0</v>
      </c>
      <c r="BT164" s="589">
        <v>0</v>
      </c>
      <c r="BU164" s="589">
        <v>0</v>
      </c>
      <c r="BV164" s="588">
        <f t="shared" si="131"/>
        <v>8.3333333333333329E-2</v>
      </c>
      <c r="BW164" s="588">
        <v>1000</v>
      </c>
      <c r="BX164" s="623">
        <f t="shared" si="132"/>
        <v>0.33333333333333331</v>
      </c>
      <c r="BY164" s="607">
        <v>0</v>
      </c>
      <c r="BZ164" s="629">
        <v>0</v>
      </c>
      <c r="CA164" s="1017">
        <v>149</v>
      </c>
      <c r="CB164" s="557">
        <f t="shared" si="133"/>
        <v>149</v>
      </c>
      <c r="CC164" s="557">
        <f t="shared" si="134"/>
        <v>14.9</v>
      </c>
      <c r="CD164" s="622">
        <f t="shared" si="135"/>
        <v>14.9</v>
      </c>
      <c r="CE164" s="621">
        <f t="shared" si="136"/>
        <v>1.2416666666666666E-2</v>
      </c>
      <c r="CF164" s="605">
        <f t="shared" si="137"/>
        <v>14.9</v>
      </c>
      <c r="CG164" s="621">
        <f t="shared" si="138"/>
        <v>1.2416666666666666E-2</v>
      </c>
      <c r="CH164" s="553">
        <f t="shared" si="139"/>
        <v>6.6666666666666666E-2</v>
      </c>
      <c r="CI164" s="552">
        <v>800</v>
      </c>
      <c r="CJ164" s="551">
        <f t="shared" si="140"/>
        <v>0.26666666666666666</v>
      </c>
      <c r="CK164" s="874">
        <v>407</v>
      </c>
      <c r="CL164" s="533">
        <f t="shared" si="141"/>
        <v>393</v>
      </c>
      <c r="CM164" s="619">
        <f t="shared" si="142"/>
        <v>407</v>
      </c>
      <c r="CN164" s="619">
        <f t="shared" si="143"/>
        <v>50.875</v>
      </c>
      <c r="CO164" s="549">
        <f t="shared" si="144"/>
        <v>50.875</v>
      </c>
      <c r="CP164" s="619">
        <f t="shared" si="145"/>
        <v>3.3916666666666664E-2</v>
      </c>
      <c r="CQ164" s="619">
        <f t="shared" si="146"/>
        <v>3.3916666666666664E-2</v>
      </c>
      <c r="CR164" s="546">
        <v>1710000000</v>
      </c>
      <c r="CS164" s="546">
        <v>1710000000</v>
      </c>
      <c r="CT164" s="546">
        <v>0</v>
      </c>
      <c r="CU164" s="546">
        <v>0</v>
      </c>
      <c r="CV164" s="546">
        <v>0</v>
      </c>
      <c r="CW164" s="546">
        <v>0</v>
      </c>
      <c r="CX164" s="546">
        <v>0</v>
      </c>
      <c r="CY164" s="546">
        <v>0</v>
      </c>
      <c r="CZ164" s="618">
        <v>0</v>
      </c>
      <c r="DA164" s="618">
        <v>0</v>
      </c>
      <c r="DB164" s="618">
        <v>0</v>
      </c>
      <c r="DC164" s="618">
        <v>0</v>
      </c>
      <c r="DD164" s="618">
        <v>0</v>
      </c>
      <c r="DE164" s="618">
        <v>0</v>
      </c>
      <c r="DF164" s="618">
        <v>0</v>
      </c>
      <c r="DG164" s="618">
        <v>0</v>
      </c>
      <c r="DH164" s="618">
        <v>0</v>
      </c>
      <c r="DI164" s="618">
        <v>0</v>
      </c>
      <c r="DJ164" s="618">
        <v>0</v>
      </c>
      <c r="DK164" s="1034">
        <f t="shared" si="147"/>
        <v>5696</v>
      </c>
      <c r="DL164" s="543">
        <f t="shared" si="148"/>
        <v>0.25</v>
      </c>
      <c r="DM164" s="542">
        <f t="shared" si="149"/>
        <v>189.86666666666667</v>
      </c>
      <c r="DN164" s="594">
        <f t="shared" si="150"/>
        <v>100</v>
      </c>
      <c r="DO164" s="540">
        <f t="shared" si="151"/>
        <v>0.25</v>
      </c>
      <c r="DP164" s="597">
        <f t="shared" si="159"/>
        <v>0.25</v>
      </c>
      <c r="DQ164" s="538">
        <f t="shared" si="152"/>
        <v>0.25</v>
      </c>
      <c r="DR164" s="617">
        <f t="shared" si="153"/>
        <v>1</v>
      </c>
      <c r="DS164" s="616">
        <f t="shared" si="154"/>
        <v>0</v>
      </c>
      <c r="DT164" s="259">
        <v>199</v>
      </c>
      <c r="DU164" s="260" t="s">
        <v>281</v>
      </c>
      <c r="DV164" s="259"/>
      <c r="DW164" s="260" t="s">
        <v>242</v>
      </c>
      <c r="DX164" s="259"/>
      <c r="DY164" s="259"/>
      <c r="DZ164" s="259"/>
      <c r="EA164" s="987"/>
      <c r="EB164" s="1041" t="s">
        <v>2501</v>
      </c>
      <c r="EC164" s="802">
        <v>1710000000</v>
      </c>
      <c r="EE164" s="1047"/>
    </row>
    <row r="165" spans="4:135" s="534" customFormat="1" ht="102" hidden="1" x14ac:dyDescent="0.3">
      <c r="D165" s="783">
        <v>162</v>
      </c>
      <c r="E165" s="799">
        <v>206</v>
      </c>
      <c r="F165" s="787" t="s">
        <v>200</v>
      </c>
      <c r="G165" s="787" t="s">
        <v>14</v>
      </c>
      <c r="H165" s="788" t="s">
        <v>2224</v>
      </c>
      <c r="I165" s="712" t="s">
        <v>238</v>
      </c>
      <c r="J165" s="573" t="s">
        <v>644</v>
      </c>
      <c r="K165" s="573" t="s">
        <v>645</v>
      </c>
      <c r="L165" s="702" t="s">
        <v>1642</v>
      </c>
      <c r="M165" s="570" t="s">
        <v>2017</v>
      </c>
      <c r="N165" s="570">
        <v>3860</v>
      </c>
      <c r="O165" s="570">
        <f t="shared" si="158"/>
        <v>8860</v>
      </c>
      <c r="P165" s="569">
        <v>5000</v>
      </c>
      <c r="Q165" s="628">
        <v>0.25</v>
      </c>
      <c r="R165" s="580">
        <f t="shared" si="118"/>
        <v>0.01</v>
      </c>
      <c r="S165" s="708">
        <v>200</v>
      </c>
      <c r="T165" s="625">
        <f t="shared" ref="T165:T178" si="160">IF($M165="M",0.25,(IF($P165&gt;0,S165/$P165," ")))</f>
        <v>0.04</v>
      </c>
      <c r="U165" s="992">
        <v>0</v>
      </c>
      <c r="V165" s="626">
        <f t="shared" ref="V165:V178" si="161">+IF(M165="I",(+U165),IF(M165="M",(+U165)/4,))</f>
        <v>0</v>
      </c>
      <c r="W165" s="594">
        <f t="shared" ref="W165:W178" si="162">IF(S165=0,0,+U165*100/S165)</f>
        <v>0</v>
      </c>
      <c r="X165" s="594">
        <f t="shared" si="122"/>
        <v>0</v>
      </c>
      <c r="Y165" s="594">
        <f t="shared" si="155"/>
        <v>0</v>
      </c>
      <c r="Z165" s="594">
        <f t="shared" si="123"/>
        <v>0</v>
      </c>
      <c r="AA165" s="546">
        <v>900000000</v>
      </c>
      <c r="AB165" s="546">
        <v>900000000</v>
      </c>
      <c r="AC165" s="546">
        <v>0</v>
      </c>
      <c r="AD165" s="546">
        <v>0</v>
      </c>
      <c r="AE165" s="546">
        <v>0</v>
      </c>
      <c r="AF165" s="546">
        <v>0</v>
      </c>
      <c r="AG165" s="546">
        <v>0</v>
      </c>
      <c r="AH165" s="546">
        <v>0</v>
      </c>
      <c r="AI165" s="546">
        <v>23310970000</v>
      </c>
      <c r="AJ165" s="546">
        <v>1319931000</v>
      </c>
      <c r="AK165" s="546">
        <v>0</v>
      </c>
      <c r="AL165" s="546">
        <v>21991039000</v>
      </c>
      <c r="AM165" s="546">
        <v>0</v>
      </c>
      <c r="AN165" s="546">
        <v>0</v>
      </c>
      <c r="AO165" s="546">
        <v>0</v>
      </c>
      <c r="AP165" s="546">
        <v>0</v>
      </c>
      <c r="AQ165" s="546">
        <v>0</v>
      </c>
      <c r="AR165" s="546">
        <v>0</v>
      </c>
      <c r="AS165" s="546">
        <v>0</v>
      </c>
      <c r="AT165" s="570">
        <f t="shared" si="124"/>
        <v>7.4999999999999997E-2</v>
      </c>
      <c r="AU165" s="570">
        <v>1500</v>
      </c>
      <c r="AV165" s="625">
        <f t="shared" ref="AV165:AV178" si="163">IF($M165="M",0.25,(IF($P165&gt;0,AU165/$P165," ")))</f>
        <v>0.3</v>
      </c>
      <c r="AW165" s="1003">
        <v>455</v>
      </c>
      <c r="AX165" s="604">
        <f t="shared" ref="AX165:AX178" si="164">+IF(M165="I",(+AW165),IF(M165="M",(+AW165)/4,))</f>
        <v>455</v>
      </c>
      <c r="AY165" s="604">
        <f t="shared" ref="AY165:AY178" si="165">IF(AU165=0,0,+AW165*100/AU165)</f>
        <v>30.333333333333332</v>
      </c>
      <c r="AZ165" s="604">
        <f t="shared" si="128"/>
        <v>30.333333333333332</v>
      </c>
      <c r="BA165" s="592">
        <f t="shared" si="129"/>
        <v>2.2749999999999999E-2</v>
      </c>
      <c r="BB165" s="592">
        <f t="shared" si="130"/>
        <v>30.333333333333332</v>
      </c>
      <c r="BC165" s="591">
        <v>1170000000</v>
      </c>
      <c r="BD165" s="591">
        <v>0</v>
      </c>
      <c r="BE165" s="591">
        <v>1170000000</v>
      </c>
      <c r="BF165" s="591">
        <v>0</v>
      </c>
      <c r="BG165" s="591">
        <v>0</v>
      </c>
      <c r="BH165" s="591">
        <v>0</v>
      </c>
      <c r="BI165" s="591">
        <v>0</v>
      </c>
      <c r="BJ165" s="591">
        <v>0</v>
      </c>
      <c r="BK165" s="700">
        <v>1170000000</v>
      </c>
      <c r="BL165" s="589">
        <v>1170000000</v>
      </c>
      <c r="BM165" s="589">
        <v>0</v>
      </c>
      <c r="BN165" s="589">
        <v>0</v>
      </c>
      <c r="BO165" s="589">
        <v>0</v>
      </c>
      <c r="BP165" s="589">
        <v>0</v>
      </c>
      <c r="BQ165" s="589">
        <v>0</v>
      </c>
      <c r="BR165" s="589">
        <v>0</v>
      </c>
      <c r="BS165" s="589">
        <v>0</v>
      </c>
      <c r="BT165" s="589">
        <v>0</v>
      </c>
      <c r="BU165" s="589">
        <v>0</v>
      </c>
      <c r="BV165" s="588">
        <f t="shared" si="131"/>
        <v>7.4999999999999997E-2</v>
      </c>
      <c r="BW165" s="588">
        <v>1500</v>
      </c>
      <c r="BX165" s="623">
        <f t="shared" ref="BX165:BX178" si="166">IF($M165="M",0.25,(IF($P165&gt;0,BW165/$P165," ")))</f>
        <v>0.3</v>
      </c>
      <c r="BY165" s="607">
        <v>0</v>
      </c>
      <c r="BZ165" s="629">
        <v>0</v>
      </c>
      <c r="CA165" s="1017">
        <v>481</v>
      </c>
      <c r="CB165" s="557">
        <f t="shared" ref="CB165:CB178" si="167">+IF(M165="I",(+CA165),IF(M165="M",(+CA165)/4,))</f>
        <v>481</v>
      </c>
      <c r="CC165" s="557">
        <f t="shared" ref="CC165:CC178" si="168">IF(BW165=0,0,+CA165*100/BW165)</f>
        <v>32.06666666666667</v>
      </c>
      <c r="CD165" s="622">
        <f t="shared" si="135"/>
        <v>32.06666666666667</v>
      </c>
      <c r="CE165" s="621">
        <f t="shared" si="136"/>
        <v>2.4050000000000002E-2</v>
      </c>
      <c r="CF165" s="605">
        <f t="shared" si="137"/>
        <v>32.06666666666667</v>
      </c>
      <c r="CG165" s="621">
        <f t="shared" si="138"/>
        <v>2.4050000000000002E-2</v>
      </c>
      <c r="CH165" s="553">
        <f t="shared" si="139"/>
        <v>0.09</v>
      </c>
      <c r="CI165" s="552">
        <v>1800</v>
      </c>
      <c r="CJ165" s="551">
        <f t="shared" ref="CJ165:CJ178" si="169">IF($M165="M",0.25,(IF($P165&gt;0,CI165/$P165," ")))</f>
        <v>0.36</v>
      </c>
      <c r="CK165" s="874">
        <v>77</v>
      </c>
      <c r="CL165" s="533">
        <f t="shared" ref="CL165:CL178" si="170">+CI165-CK165</f>
        <v>1723</v>
      </c>
      <c r="CM165" s="619">
        <f t="shared" ref="CM165:CM178" si="171">+IF(M165="I",(+CK165),IF(M165="M",(+CK165)/4,))</f>
        <v>77</v>
      </c>
      <c r="CN165" s="619">
        <f t="shared" ref="CN165:CN178" si="172">IF(CI165=0,0,+CK165*100/CI165)</f>
        <v>4.2777777777777777</v>
      </c>
      <c r="CO165" s="549">
        <f t="shared" si="144"/>
        <v>4.2777777777777777</v>
      </c>
      <c r="CP165" s="619">
        <f t="shared" si="145"/>
        <v>3.8499999999999997E-3</v>
      </c>
      <c r="CQ165" s="619">
        <f t="shared" si="146"/>
        <v>3.8499999999999997E-3</v>
      </c>
      <c r="CR165" s="546">
        <v>2700000000</v>
      </c>
      <c r="CS165" s="546">
        <v>2700000000</v>
      </c>
      <c r="CT165" s="546">
        <v>0</v>
      </c>
      <c r="CU165" s="546">
        <v>0</v>
      </c>
      <c r="CV165" s="546">
        <v>0</v>
      </c>
      <c r="CW165" s="546">
        <v>0</v>
      </c>
      <c r="CX165" s="546">
        <v>0</v>
      </c>
      <c r="CY165" s="546">
        <v>0</v>
      </c>
      <c r="CZ165" s="618">
        <v>0</v>
      </c>
      <c r="DA165" s="618">
        <v>0</v>
      </c>
      <c r="DB165" s="618">
        <v>0</v>
      </c>
      <c r="DC165" s="618">
        <v>0</v>
      </c>
      <c r="DD165" s="618">
        <v>0</v>
      </c>
      <c r="DE165" s="618">
        <v>0</v>
      </c>
      <c r="DF165" s="618">
        <v>0</v>
      </c>
      <c r="DG165" s="618">
        <v>0</v>
      </c>
      <c r="DH165" s="618">
        <v>0</v>
      </c>
      <c r="DI165" s="618">
        <v>0</v>
      </c>
      <c r="DJ165" s="618">
        <v>0</v>
      </c>
      <c r="DK165" s="1034">
        <f t="shared" ref="DK165:DK178" si="173">+IF(M165="I",(+U165+AW165+CA165+CK165),IF(M165="M",(+U165+AW165+CA165+CK165)/4,))</f>
        <v>1013</v>
      </c>
      <c r="DL165" s="543">
        <f t="shared" si="148"/>
        <v>0.24999999999999997</v>
      </c>
      <c r="DM165" s="542">
        <f t="shared" si="149"/>
        <v>20.260000000000002</v>
      </c>
      <c r="DN165" s="594">
        <f t="shared" si="150"/>
        <v>20.260000000000002</v>
      </c>
      <c r="DO165" s="540">
        <f t="shared" si="151"/>
        <v>5.0650000000000001E-2</v>
      </c>
      <c r="DP165" s="597">
        <f t="shared" si="159"/>
        <v>5.0650000000000001E-2</v>
      </c>
      <c r="DQ165" s="538">
        <f t="shared" si="152"/>
        <v>5.0650000000000001E-2</v>
      </c>
      <c r="DR165" s="617">
        <f t="shared" si="153"/>
        <v>0.99999999999999989</v>
      </c>
      <c r="DS165" s="616">
        <f t="shared" si="154"/>
        <v>0</v>
      </c>
      <c r="DT165" s="259">
        <v>199</v>
      </c>
      <c r="DU165" s="260" t="s">
        <v>281</v>
      </c>
      <c r="DV165" s="259"/>
      <c r="DW165" s="260" t="s">
        <v>242</v>
      </c>
      <c r="DX165" s="259"/>
      <c r="DY165" s="259"/>
      <c r="DZ165" s="259"/>
      <c r="EA165" s="987"/>
      <c r="EB165" s="1041" t="s">
        <v>2502</v>
      </c>
      <c r="EC165" s="802">
        <v>2700000000</v>
      </c>
      <c r="EE165" s="1047"/>
    </row>
    <row r="166" spans="4:135" s="534" customFormat="1" ht="89.25" hidden="1" x14ac:dyDescent="0.3">
      <c r="D166" s="783">
        <v>163</v>
      </c>
      <c r="E166" s="799">
        <v>207</v>
      </c>
      <c r="F166" s="574" t="s">
        <v>200</v>
      </c>
      <c r="G166" s="574" t="s">
        <v>14</v>
      </c>
      <c r="H166" s="788" t="s">
        <v>2224</v>
      </c>
      <c r="I166" s="574" t="s">
        <v>238</v>
      </c>
      <c r="J166" s="573" t="s">
        <v>1436</v>
      </c>
      <c r="K166" s="573" t="s">
        <v>646</v>
      </c>
      <c r="L166" s="702" t="s">
        <v>1642</v>
      </c>
      <c r="M166" s="570" t="s">
        <v>2017</v>
      </c>
      <c r="N166" s="570">
        <v>7758</v>
      </c>
      <c r="O166" s="570">
        <f t="shared" si="158"/>
        <v>13258</v>
      </c>
      <c r="P166" s="569">
        <v>5500</v>
      </c>
      <c r="Q166" s="631">
        <v>0.25</v>
      </c>
      <c r="R166" s="580">
        <f t="shared" si="118"/>
        <v>2.2727272727272728E-2</v>
      </c>
      <c r="S166" s="708">
        <v>500</v>
      </c>
      <c r="T166" s="625">
        <f t="shared" si="160"/>
        <v>9.0909090909090912E-2</v>
      </c>
      <c r="U166" s="992">
        <v>540</v>
      </c>
      <c r="V166" s="626">
        <f t="shared" si="161"/>
        <v>540</v>
      </c>
      <c r="W166" s="594">
        <f t="shared" si="162"/>
        <v>108</v>
      </c>
      <c r="X166" s="594">
        <f t="shared" si="122"/>
        <v>100</v>
      </c>
      <c r="Y166" s="594">
        <f t="shared" si="155"/>
        <v>2.2727272727272728E-2</v>
      </c>
      <c r="Z166" s="594">
        <f t="shared" si="123"/>
        <v>100</v>
      </c>
      <c r="AA166" s="546">
        <v>1000000000</v>
      </c>
      <c r="AB166" s="546">
        <v>1000000000</v>
      </c>
      <c r="AC166" s="546">
        <v>0</v>
      </c>
      <c r="AD166" s="546">
        <v>0</v>
      </c>
      <c r="AE166" s="546">
        <v>0</v>
      </c>
      <c r="AF166" s="546">
        <v>0</v>
      </c>
      <c r="AG166" s="546">
        <v>0</v>
      </c>
      <c r="AH166" s="546">
        <v>0</v>
      </c>
      <c r="AI166" s="546">
        <v>15366672000</v>
      </c>
      <c r="AJ166" s="546">
        <v>1231609000</v>
      </c>
      <c r="AK166" s="546">
        <v>0</v>
      </c>
      <c r="AL166" s="546">
        <v>14135063000</v>
      </c>
      <c r="AM166" s="546">
        <v>0</v>
      </c>
      <c r="AN166" s="546">
        <v>0</v>
      </c>
      <c r="AO166" s="546">
        <v>0</v>
      </c>
      <c r="AP166" s="546">
        <v>0</v>
      </c>
      <c r="AQ166" s="546">
        <v>0</v>
      </c>
      <c r="AR166" s="546">
        <v>0</v>
      </c>
      <c r="AS166" s="546">
        <v>0</v>
      </c>
      <c r="AT166" s="630">
        <f t="shared" si="124"/>
        <v>2.2727272727272728E-2</v>
      </c>
      <c r="AU166" s="570">
        <v>500</v>
      </c>
      <c r="AV166" s="625">
        <f t="shared" si="163"/>
        <v>9.0909090909090912E-2</v>
      </c>
      <c r="AW166" s="1003">
        <v>787</v>
      </c>
      <c r="AX166" s="604">
        <f t="shared" si="164"/>
        <v>787</v>
      </c>
      <c r="AY166" s="604">
        <f t="shared" si="165"/>
        <v>157.4</v>
      </c>
      <c r="AZ166" s="604">
        <f t="shared" si="128"/>
        <v>100</v>
      </c>
      <c r="BA166" s="592">
        <f t="shared" si="129"/>
        <v>2.2727272727272728E-2</v>
      </c>
      <c r="BB166" s="592">
        <f t="shared" si="130"/>
        <v>100</v>
      </c>
      <c r="BC166" s="591">
        <v>4082000000</v>
      </c>
      <c r="BD166" s="591">
        <v>0</v>
      </c>
      <c r="BE166" s="591">
        <v>4082000000</v>
      </c>
      <c r="BF166" s="591">
        <v>0</v>
      </c>
      <c r="BG166" s="591">
        <v>0</v>
      </c>
      <c r="BH166" s="591">
        <v>0</v>
      </c>
      <c r="BI166" s="591">
        <v>0</v>
      </c>
      <c r="BJ166" s="591">
        <v>0</v>
      </c>
      <c r="BK166" s="700">
        <v>2109139287</v>
      </c>
      <c r="BL166" s="589">
        <v>2109139287</v>
      </c>
      <c r="BM166" s="589">
        <v>0</v>
      </c>
      <c r="BN166" s="589">
        <v>0</v>
      </c>
      <c r="BO166" s="589">
        <v>0</v>
      </c>
      <c r="BP166" s="589">
        <v>0</v>
      </c>
      <c r="BQ166" s="589">
        <v>0</v>
      </c>
      <c r="BR166" s="589">
        <v>0</v>
      </c>
      <c r="BS166" s="589">
        <v>0</v>
      </c>
      <c r="BT166" s="589">
        <v>0</v>
      </c>
      <c r="BU166" s="589">
        <v>0</v>
      </c>
      <c r="BV166" s="588">
        <f t="shared" si="131"/>
        <v>9.0909090909090912E-2</v>
      </c>
      <c r="BW166" s="588">
        <v>2000</v>
      </c>
      <c r="BX166" s="623">
        <f t="shared" si="166"/>
        <v>0.36363636363636365</v>
      </c>
      <c r="BY166" s="607">
        <v>0</v>
      </c>
      <c r="BZ166" s="629">
        <v>0</v>
      </c>
      <c r="CA166" s="1017">
        <v>2260</v>
      </c>
      <c r="CB166" s="557">
        <f t="shared" si="167"/>
        <v>2260</v>
      </c>
      <c r="CC166" s="557">
        <f t="shared" si="168"/>
        <v>113</v>
      </c>
      <c r="CD166" s="622">
        <f t="shared" si="135"/>
        <v>100</v>
      </c>
      <c r="CE166" s="621">
        <f t="shared" si="136"/>
        <v>9.0909090909090912E-2</v>
      </c>
      <c r="CF166" s="605">
        <f t="shared" si="137"/>
        <v>100</v>
      </c>
      <c r="CG166" s="621">
        <f t="shared" si="138"/>
        <v>0.10272727272727274</v>
      </c>
      <c r="CH166" s="553">
        <f t="shared" si="139"/>
        <v>0.11363636363636363</v>
      </c>
      <c r="CI166" s="552">
        <v>2500</v>
      </c>
      <c r="CJ166" s="551">
        <f t="shared" si="169"/>
        <v>0.45454545454545453</v>
      </c>
      <c r="CK166" s="874">
        <v>1983</v>
      </c>
      <c r="CL166" s="533">
        <f t="shared" si="170"/>
        <v>517</v>
      </c>
      <c r="CM166" s="619">
        <f t="shared" si="171"/>
        <v>1983</v>
      </c>
      <c r="CN166" s="619">
        <f t="shared" si="172"/>
        <v>79.319999999999993</v>
      </c>
      <c r="CO166" s="549">
        <f t="shared" si="144"/>
        <v>79.319999999999993</v>
      </c>
      <c r="CP166" s="619">
        <f t="shared" si="145"/>
        <v>9.0136363636363626E-2</v>
      </c>
      <c r="CQ166" s="619">
        <f t="shared" si="146"/>
        <v>9.0136363636363626E-2</v>
      </c>
      <c r="CR166" s="546">
        <v>9420000000</v>
      </c>
      <c r="CS166" s="546">
        <v>9420000000</v>
      </c>
      <c r="CT166" s="546">
        <v>0</v>
      </c>
      <c r="CU166" s="546">
        <v>0</v>
      </c>
      <c r="CV166" s="546">
        <v>0</v>
      </c>
      <c r="CW166" s="546">
        <v>0</v>
      </c>
      <c r="CX166" s="546">
        <v>0</v>
      </c>
      <c r="CY166" s="546">
        <v>0</v>
      </c>
      <c r="CZ166" s="618">
        <v>0</v>
      </c>
      <c r="DA166" s="618">
        <v>0</v>
      </c>
      <c r="DB166" s="618">
        <v>0</v>
      </c>
      <c r="DC166" s="618">
        <v>0</v>
      </c>
      <c r="DD166" s="618">
        <v>0</v>
      </c>
      <c r="DE166" s="618">
        <v>0</v>
      </c>
      <c r="DF166" s="618">
        <v>0</v>
      </c>
      <c r="DG166" s="618">
        <v>0</v>
      </c>
      <c r="DH166" s="618">
        <v>0</v>
      </c>
      <c r="DI166" s="618">
        <v>0</v>
      </c>
      <c r="DJ166" s="618">
        <v>0</v>
      </c>
      <c r="DK166" s="1034">
        <f t="shared" si="173"/>
        <v>5570</v>
      </c>
      <c r="DL166" s="543">
        <f t="shared" si="148"/>
        <v>0.25</v>
      </c>
      <c r="DM166" s="542">
        <f t="shared" si="149"/>
        <v>101.27272727272727</v>
      </c>
      <c r="DN166" s="594">
        <f t="shared" si="150"/>
        <v>100</v>
      </c>
      <c r="DO166" s="540">
        <f t="shared" si="151"/>
        <v>0.25</v>
      </c>
      <c r="DP166" s="597">
        <f t="shared" si="159"/>
        <v>0.25</v>
      </c>
      <c r="DQ166" s="538">
        <f t="shared" si="152"/>
        <v>0.25</v>
      </c>
      <c r="DR166" s="617">
        <f t="shared" si="153"/>
        <v>1</v>
      </c>
      <c r="DS166" s="616">
        <f t="shared" si="154"/>
        <v>0</v>
      </c>
      <c r="DT166" s="259">
        <v>199</v>
      </c>
      <c r="DU166" s="260" t="s">
        <v>281</v>
      </c>
      <c r="DV166" s="259"/>
      <c r="DW166" s="260" t="s">
        <v>242</v>
      </c>
      <c r="DX166" s="259"/>
      <c r="DY166" s="259"/>
      <c r="DZ166" s="259"/>
      <c r="EA166" s="987"/>
      <c r="EB166" s="1041" t="s">
        <v>2503</v>
      </c>
      <c r="EC166" s="802">
        <v>9420000000</v>
      </c>
      <c r="EE166" s="1047"/>
    </row>
    <row r="167" spans="4:135" s="534" customFormat="1" ht="89.25" hidden="1" x14ac:dyDescent="0.3">
      <c r="D167" s="783">
        <v>164</v>
      </c>
      <c r="E167" s="799">
        <v>208</v>
      </c>
      <c r="F167" s="787" t="s">
        <v>200</v>
      </c>
      <c r="G167" s="787" t="s">
        <v>14</v>
      </c>
      <c r="H167" s="788" t="s">
        <v>2224</v>
      </c>
      <c r="I167" s="712" t="s">
        <v>238</v>
      </c>
      <c r="J167" s="573" t="s">
        <v>647</v>
      </c>
      <c r="K167" s="573" t="s">
        <v>648</v>
      </c>
      <c r="L167" s="702" t="s">
        <v>1642</v>
      </c>
      <c r="M167" s="570" t="s">
        <v>2017</v>
      </c>
      <c r="N167" s="570">
        <v>6110</v>
      </c>
      <c r="O167" s="570">
        <f t="shared" si="158"/>
        <v>7110</v>
      </c>
      <c r="P167" s="569">
        <v>1000</v>
      </c>
      <c r="Q167" s="628">
        <v>0.25</v>
      </c>
      <c r="R167" s="580">
        <f t="shared" si="118"/>
        <v>0.05</v>
      </c>
      <c r="S167" s="708">
        <v>200</v>
      </c>
      <c r="T167" s="625">
        <f t="shared" si="160"/>
        <v>0.2</v>
      </c>
      <c r="U167" s="992">
        <v>0</v>
      </c>
      <c r="V167" s="626">
        <f t="shared" si="161"/>
        <v>0</v>
      </c>
      <c r="W167" s="594">
        <f t="shared" si="162"/>
        <v>0</v>
      </c>
      <c r="X167" s="594">
        <f t="shared" si="122"/>
        <v>0</v>
      </c>
      <c r="Y167" s="594">
        <f t="shared" si="155"/>
        <v>0</v>
      </c>
      <c r="Z167" s="594">
        <f t="shared" si="123"/>
        <v>0</v>
      </c>
      <c r="AA167" s="546">
        <v>0</v>
      </c>
      <c r="AB167" s="546">
        <v>0</v>
      </c>
      <c r="AC167" s="546">
        <v>0</v>
      </c>
      <c r="AD167" s="546">
        <v>0</v>
      </c>
      <c r="AE167" s="546">
        <v>0</v>
      </c>
      <c r="AF167" s="546">
        <v>0</v>
      </c>
      <c r="AG167" s="546">
        <v>0</v>
      </c>
      <c r="AH167" s="546">
        <v>0</v>
      </c>
      <c r="AI167" s="546">
        <v>0</v>
      </c>
      <c r="AJ167" s="546">
        <v>0</v>
      </c>
      <c r="AK167" s="546">
        <v>0</v>
      </c>
      <c r="AL167" s="546">
        <v>0</v>
      </c>
      <c r="AM167" s="546">
        <v>0</v>
      </c>
      <c r="AN167" s="546">
        <v>0</v>
      </c>
      <c r="AO167" s="546">
        <v>0</v>
      </c>
      <c r="AP167" s="546">
        <v>0</v>
      </c>
      <c r="AQ167" s="546">
        <v>0</v>
      </c>
      <c r="AR167" s="546">
        <v>0</v>
      </c>
      <c r="AS167" s="546">
        <v>0</v>
      </c>
      <c r="AT167" s="570">
        <f t="shared" si="124"/>
        <v>0.05</v>
      </c>
      <c r="AU167" s="570">
        <v>200</v>
      </c>
      <c r="AV167" s="625">
        <f t="shared" si="163"/>
        <v>0.2</v>
      </c>
      <c r="AW167" s="1003">
        <v>26</v>
      </c>
      <c r="AX167" s="604">
        <f t="shared" si="164"/>
        <v>26</v>
      </c>
      <c r="AY167" s="604">
        <f t="shared" si="165"/>
        <v>13</v>
      </c>
      <c r="AZ167" s="604">
        <f t="shared" si="128"/>
        <v>13</v>
      </c>
      <c r="BA167" s="592">
        <f t="shared" si="129"/>
        <v>6.5000000000000006E-3</v>
      </c>
      <c r="BB167" s="592">
        <f t="shared" si="130"/>
        <v>13</v>
      </c>
      <c r="BC167" s="591">
        <v>390000000</v>
      </c>
      <c r="BD167" s="591">
        <v>0</v>
      </c>
      <c r="BE167" s="591">
        <v>390000000</v>
      </c>
      <c r="BF167" s="591">
        <v>0</v>
      </c>
      <c r="BG167" s="591">
        <v>0</v>
      </c>
      <c r="BH167" s="591">
        <v>0</v>
      </c>
      <c r="BI167" s="591">
        <v>0</v>
      </c>
      <c r="BJ167" s="591">
        <v>0</v>
      </c>
      <c r="BK167" s="700">
        <v>61453500</v>
      </c>
      <c r="BL167" s="589">
        <v>61453500</v>
      </c>
      <c r="BM167" s="589">
        <v>0</v>
      </c>
      <c r="BN167" s="589">
        <v>0</v>
      </c>
      <c r="BO167" s="589">
        <v>0</v>
      </c>
      <c r="BP167" s="589">
        <v>0</v>
      </c>
      <c r="BQ167" s="589">
        <v>0</v>
      </c>
      <c r="BR167" s="589">
        <v>0</v>
      </c>
      <c r="BS167" s="589">
        <v>0</v>
      </c>
      <c r="BT167" s="589">
        <v>0</v>
      </c>
      <c r="BU167" s="589">
        <v>0</v>
      </c>
      <c r="BV167" s="588">
        <f t="shared" si="131"/>
        <v>0.1</v>
      </c>
      <c r="BW167" s="588">
        <v>400</v>
      </c>
      <c r="BX167" s="623">
        <f t="shared" si="166"/>
        <v>0.4</v>
      </c>
      <c r="BY167" s="607">
        <v>0</v>
      </c>
      <c r="BZ167" s="629">
        <v>0</v>
      </c>
      <c r="CA167" s="1017">
        <v>701</v>
      </c>
      <c r="CB167" s="557">
        <f t="shared" si="167"/>
        <v>701</v>
      </c>
      <c r="CC167" s="557">
        <f t="shared" si="168"/>
        <v>175.25</v>
      </c>
      <c r="CD167" s="622">
        <f t="shared" si="135"/>
        <v>100</v>
      </c>
      <c r="CE167" s="621">
        <f t="shared" si="136"/>
        <v>0.1</v>
      </c>
      <c r="CF167" s="605">
        <f t="shared" si="137"/>
        <v>100</v>
      </c>
      <c r="CG167" s="621">
        <f t="shared" si="138"/>
        <v>0.17525000000000002</v>
      </c>
      <c r="CH167" s="553">
        <f t="shared" si="139"/>
        <v>0.05</v>
      </c>
      <c r="CI167" s="552">
        <v>200</v>
      </c>
      <c r="CJ167" s="551">
        <f t="shared" si="169"/>
        <v>0.2</v>
      </c>
      <c r="CK167" s="874">
        <v>218</v>
      </c>
      <c r="CL167" s="533">
        <f t="shared" si="170"/>
        <v>-18</v>
      </c>
      <c r="CM167" s="619">
        <f t="shared" si="171"/>
        <v>218</v>
      </c>
      <c r="CN167" s="619">
        <f t="shared" si="172"/>
        <v>109</v>
      </c>
      <c r="CO167" s="549">
        <f t="shared" si="144"/>
        <v>100</v>
      </c>
      <c r="CP167" s="619">
        <f t="shared" si="145"/>
        <v>0.05</v>
      </c>
      <c r="CQ167" s="619">
        <f t="shared" si="146"/>
        <v>5.45E-2</v>
      </c>
      <c r="CR167" s="546">
        <v>900000000</v>
      </c>
      <c r="CS167" s="546">
        <v>900000000</v>
      </c>
      <c r="CT167" s="546">
        <v>0</v>
      </c>
      <c r="CU167" s="546">
        <v>0</v>
      </c>
      <c r="CV167" s="546">
        <v>0</v>
      </c>
      <c r="CW167" s="546">
        <v>0</v>
      </c>
      <c r="CX167" s="546">
        <v>0</v>
      </c>
      <c r="CY167" s="546">
        <v>0</v>
      </c>
      <c r="CZ167" s="618">
        <v>0</v>
      </c>
      <c r="DA167" s="618">
        <v>0</v>
      </c>
      <c r="DB167" s="618">
        <v>0</v>
      </c>
      <c r="DC167" s="618">
        <v>0</v>
      </c>
      <c r="DD167" s="618">
        <v>0</v>
      </c>
      <c r="DE167" s="618">
        <v>0</v>
      </c>
      <c r="DF167" s="618">
        <v>0</v>
      </c>
      <c r="DG167" s="618">
        <v>0</v>
      </c>
      <c r="DH167" s="618">
        <v>0</v>
      </c>
      <c r="DI167" s="618">
        <v>0</v>
      </c>
      <c r="DJ167" s="618">
        <v>0</v>
      </c>
      <c r="DK167" s="1034">
        <f t="shared" si="173"/>
        <v>945</v>
      </c>
      <c r="DL167" s="543">
        <f t="shared" si="148"/>
        <v>0.25</v>
      </c>
      <c r="DM167" s="542">
        <f t="shared" si="149"/>
        <v>94.5</v>
      </c>
      <c r="DN167" s="594">
        <f t="shared" si="150"/>
        <v>94.5</v>
      </c>
      <c r="DO167" s="540">
        <f t="shared" si="151"/>
        <v>0.23624999999999999</v>
      </c>
      <c r="DP167" s="597">
        <f t="shared" si="159"/>
        <v>0.23624999999999999</v>
      </c>
      <c r="DQ167" s="538">
        <f t="shared" si="152"/>
        <v>0.23624999999999999</v>
      </c>
      <c r="DR167" s="617">
        <f t="shared" si="153"/>
        <v>1</v>
      </c>
      <c r="DS167" s="616">
        <f t="shared" si="154"/>
        <v>0</v>
      </c>
      <c r="DT167" s="259">
        <v>199</v>
      </c>
      <c r="DU167" s="260" t="s">
        <v>281</v>
      </c>
      <c r="DV167" s="259"/>
      <c r="DW167" s="260" t="s">
        <v>242</v>
      </c>
      <c r="DX167" s="259"/>
      <c r="DY167" s="259"/>
      <c r="DZ167" s="259"/>
      <c r="EA167" s="987"/>
      <c r="EB167" s="1041" t="s">
        <v>2504</v>
      </c>
      <c r="EC167" s="802">
        <v>900000000</v>
      </c>
      <c r="EE167" s="1047"/>
    </row>
    <row r="168" spans="4:135" s="534" customFormat="1" ht="63.75" hidden="1" x14ac:dyDescent="0.3">
      <c r="D168" s="783">
        <v>165</v>
      </c>
      <c r="E168" s="799">
        <v>209</v>
      </c>
      <c r="F168" s="574" t="s">
        <v>200</v>
      </c>
      <c r="G168" s="574" t="s">
        <v>14</v>
      </c>
      <c r="H168" s="574" t="s">
        <v>2224</v>
      </c>
      <c r="I168" s="574" t="s">
        <v>238</v>
      </c>
      <c r="J168" s="573" t="s">
        <v>1437</v>
      </c>
      <c r="K168" s="573" t="s">
        <v>649</v>
      </c>
      <c r="L168" s="702" t="s">
        <v>1642</v>
      </c>
      <c r="M168" s="570" t="s">
        <v>2017</v>
      </c>
      <c r="N168" s="570">
        <v>0</v>
      </c>
      <c r="O168" s="570">
        <f t="shared" si="158"/>
        <v>4500</v>
      </c>
      <c r="P168" s="569">
        <v>4500</v>
      </c>
      <c r="Q168" s="631">
        <v>0.25</v>
      </c>
      <c r="R168" s="580">
        <f t="shared" si="118"/>
        <v>2.2222222222222223E-2</v>
      </c>
      <c r="S168" s="708">
        <v>400</v>
      </c>
      <c r="T168" s="625">
        <f t="shared" si="160"/>
        <v>8.8888888888888892E-2</v>
      </c>
      <c r="U168" s="992">
        <v>451</v>
      </c>
      <c r="V168" s="626">
        <f t="shared" si="161"/>
        <v>451</v>
      </c>
      <c r="W168" s="594">
        <f t="shared" si="162"/>
        <v>112.75</v>
      </c>
      <c r="X168" s="594">
        <f t="shared" si="122"/>
        <v>100</v>
      </c>
      <c r="Y168" s="594">
        <f t="shared" si="155"/>
        <v>2.2222222222222223E-2</v>
      </c>
      <c r="Z168" s="594">
        <f t="shared" si="123"/>
        <v>100</v>
      </c>
      <c r="AA168" s="546">
        <v>1500000000</v>
      </c>
      <c r="AB168" s="546">
        <v>1500000000</v>
      </c>
      <c r="AC168" s="546">
        <v>0</v>
      </c>
      <c r="AD168" s="546">
        <v>0</v>
      </c>
      <c r="AE168" s="546">
        <v>0</v>
      </c>
      <c r="AF168" s="546">
        <v>0</v>
      </c>
      <c r="AG168" s="546">
        <v>0</v>
      </c>
      <c r="AH168" s="546">
        <v>0</v>
      </c>
      <c r="AI168" s="546">
        <v>1940200000</v>
      </c>
      <c r="AJ168" s="546">
        <v>1258347000</v>
      </c>
      <c r="AK168" s="546">
        <v>0</v>
      </c>
      <c r="AL168" s="546">
        <v>681853000</v>
      </c>
      <c r="AM168" s="546">
        <v>0</v>
      </c>
      <c r="AN168" s="546">
        <v>0</v>
      </c>
      <c r="AO168" s="546">
        <v>0</v>
      </c>
      <c r="AP168" s="546">
        <v>0</v>
      </c>
      <c r="AQ168" s="546">
        <v>0</v>
      </c>
      <c r="AR168" s="546">
        <v>0</v>
      </c>
      <c r="AS168" s="546">
        <v>0</v>
      </c>
      <c r="AT168" s="630">
        <f t="shared" si="124"/>
        <v>5.5555555555555552E-2</v>
      </c>
      <c r="AU168" s="570">
        <v>1000</v>
      </c>
      <c r="AV168" s="625">
        <f t="shared" si="163"/>
        <v>0.22222222222222221</v>
      </c>
      <c r="AW168" s="1003">
        <v>1043</v>
      </c>
      <c r="AX168" s="604">
        <f t="shared" si="164"/>
        <v>1043</v>
      </c>
      <c r="AY168" s="604">
        <f t="shared" si="165"/>
        <v>104.3</v>
      </c>
      <c r="AZ168" s="604">
        <f t="shared" si="128"/>
        <v>100</v>
      </c>
      <c r="BA168" s="592">
        <f t="shared" si="129"/>
        <v>5.5555555555555552E-2</v>
      </c>
      <c r="BB168" s="592">
        <f t="shared" si="130"/>
        <v>100</v>
      </c>
      <c r="BC168" s="591">
        <v>1287000000</v>
      </c>
      <c r="BD168" s="591">
        <v>0</v>
      </c>
      <c r="BE168" s="591">
        <v>1287000000</v>
      </c>
      <c r="BF168" s="591">
        <v>0</v>
      </c>
      <c r="BG168" s="591">
        <v>0</v>
      </c>
      <c r="BH168" s="591">
        <v>0</v>
      </c>
      <c r="BI168" s="591">
        <v>0</v>
      </c>
      <c r="BJ168" s="591">
        <v>0</v>
      </c>
      <c r="BK168" s="700">
        <v>3039218630</v>
      </c>
      <c r="BL168" s="589">
        <v>3039218630</v>
      </c>
      <c r="BM168" s="589">
        <v>0</v>
      </c>
      <c r="BN168" s="589">
        <v>0</v>
      </c>
      <c r="BO168" s="589">
        <v>0</v>
      </c>
      <c r="BP168" s="589">
        <v>0</v>
      </c>
      <c r="BQ168" s="589">
        <v>0</v>
      </c>
      <c r="BR168" s="589">
        <v>0</v>
      </c>
      <c r="BS168" s="589">
        <v>0</v>
      </c>
      <c r="BT168" s="589">
        <v>0</v>
      </c>
      <c r="BU168" s="589">
        <v>0</v>
      </c>
      <c r="BV168" s="588">
        <f t="shared" si="131"/>
        <v>8.3333333333333329E-2</v>
      </c>
      <c r="BW168" s="588">
        <v>1500</v>
      </c>
      <c r="BX168" s="623">
        <f t="shared" si="166"/>
        <v>0.33333333333333331</v>
      </c>
      <c r="BY168" s="607">
        <v>0</v>
      </c>
      <c r="BZ168" s="629">
        <v>0</v>
      </c>
      <c r="CA168" s="1017">
        <v>1001</v>
      </c>
      <c r="CB168" s="557">
        <f t="shared" si="167"/>
        <v>1001</v>
      </c>
      <c r="CC168" s="557">
        <f t="shared" si="168"/>
        <v>66.733333333333334</v>
      </c>
      <c r="CD168" s="622">
        <f t="shared" si="135"/>
        <v>66.733333333333334</v>
      </c>
      <c r="CE168" s="621">
        <f t="shared" si="136"/>
        <v>5.5611111111111111E-2</v>
      </c>
      <c r="CF168" s="605">
        <f t="shared" si="137"/>
        <v>66.733333333333334</v>
      </c>
      <c r="CG168" s="621">
        <f t="shared" si="138"/>
        <v>5.5611111111111111E-2</v>
      </c>
      <c r="CH168" s="553">
        <f t="shared" si="139"/>
        <v>8.8888888888888892E-2</v>
      </c>
      <c r="CI168" s="552">
        <v>1600</v>
      </c>
      <c r="CJ168" s="551">
        <f t="shared" si="169"/>
        <v>0.35555555555555557</v>
      </c>
      <c r="CK168" s="874">
        <v>886</v>
      </c>
      <c r="CL168" s="533">
        <f t="shared" si="170"/>
        <v>714</v>
      </c>
      <c r="CM168" s="619">
        <f t="shared" si="171"/>
        <v>886</v>
      </c>
      <c r="CN168" s="619">
        <f t="shared" si="172"/>
        <v>55.375</v>
      </c>
      <c r="CO168" s="549">
        <f t="shared" si="144"/>
        <v>55.375</v>
      </c>
      <c r="CP168" s="619">
        <f t="shared" si="145"/>
        <v>4.9222222222222223E-2</v>
      </c>
      <c r="CQ168" s="619">
        <f t="shared" si="146"/>
        <v>4.9222222222222223E-2</v>
      </c>
      <c r="CR168" s="546">
        <v>2970000000</v>
      </c>
      <c r="CS168" s="546">
        <v>2970000000</v>
      </c>
      <c r="CT168" s="546">
        <v>0</v>
      </c>
      <c r="CU168" s="546">
        <v>0</v>
      </c>
      <c r="CV168" s="546">
        <v>0</v>
      </c>
      <c r="CW168" s="546">
        <v>0</v>
      </c>
      <c r="CX168" s="546">
        <v>0</v>
      </c>
      <c r="CY168" s="546">
        <v>0</v>
      </c>
      <c r="CZ168" s="618">
        <v>0</v>
      </c>
      <c r="DA168" s="618">
        <v>0</v>
      </c>
      <c r="DB168" s="618">
        <v>0</v>
      </c>
      <c r="DC168" s="618">
        <v>0</v>
      </c>
      <c r="DD168" s="618">
        <v>0</v>
      </c>
      <c r="DE168" s="618">
        <v>0</v>
      </c>
      <c r="DF168" s="618">
        <v>0</v>
      </c>
      <c r="DG168" s="618">
        <v>0</v>
      </c>
      <c r="DH168" s="618">
        <v>0</v>
      </c>
      <c r="DI168" s="618">
        <v>0</v>
      </c>
      <c r="DJ168" s="618">
        <v>0</v>
      </c>
      <c r="DK168" s="1034">
        <f t="shared" si="173"/>
        <v>3381</v>
      </c>
      <c r="DL168" s="543">
        <f t="shared" si="148"/>
        <v>0.25</v>
      </c>
      <c r="DM168" s="542">
        <f t="shared" si="149"/>
        <v>75.13333333333334</v>
      </c>
      <c r="DN168" s="594">
        <f t="shared" si="150"/>
        <v>75.13333333333334</v>
      </c>
      <c r="DO168" s="540">
        <f t="shared" si="151"/>
        <v>0.18783333333333335</v>
      </c>
      <c r="DP168" s="597">
        <f t="shared" si="159"/>
        <v>0.18783333333333335</v>
      </c>
      <c r="DQ168" s="538">
        <f t="shared" si="152"/>
        <v>0.18783333333333335</v>
      </c>
      <c r="DR168" s="617">
        <f t="shared" si="153"/>
        <v>1</v>
      </c>
      <c r="DS168" s="616">
        <f t="shared" si="154"/>
        <v>0</v>
      </c>
      <c r="DT168" s="259">
        <v>199</v>
      </c>
      <c r="DU168" s="260" t="s">
        <v>281</v>
      </c>
      <c r="DV168" s="259"/>
      <c r="DW168" s="260" t="s">
        <v>242</v>
      </c>
      <c r="DX168" s="259"/>
      <c r="DY168" s="259"/>
      <c r="DZ168" s="259"/>
      <c r="EA168" s="987"/>
      <c r="EB168" s="1041" t="s">
        <v>2505</v>
      </c>
      <c r="EC168" s="802">
        <v>2970000000</v>
      </c>
      <c r="EE168" s="1047"/>
    </row>
    <row r="169" spans="4:135" s="534" customFormat="1" ht="60" hidden="1" x14ac:dyDescent="0.3">
      <c r="D169" s="783">
        <v>166</v>
      </c>
      <c r="E169" s="799">
        <v>210</v>
      </c>
      <c r="F169" s="787" t="s">
        <v>200</v>
      </c>
      <c r="G169" s="787" t="s">
        <v>14</v>
      </c>
      <c r="H169" s="788" t="s">
        <v>2224</v>
      </c>
      <c r="I169" s="712" t="s">
        <v>238</v>
      </c>
      <c r="J169" s="573" t="s">
        <v>650</v>
      </c>
      <c r="K169" s="573" t="s">
        <v>651</v>
      </c>
      <c r="L169" s="702" t="s">
        <v>1642</v>
      </c>
      <c r="M169" s="570" t="s">
        <v>2017</v>
      </c>
      <c r="N169" s="570">
        <v>500</v>
      </c>
      <c r="O169" s="570">
        <f t="shared" si="158"/>
        <v>1000</v>
      </c>
      <c r="P169" s="569">
        <v>500</v>
      </c>
      <c r="Q169" s="628">
        <v>0.25</v>
      </c>
      <c r="R169" s="580">
        <f t="shared" si="118"/>
        <v>0.05</v>
      </c>
      <c r="S169" s="708">
        <v>100</v>
      </c>
      <c r="T169" s="625">
        <f t="shared" si="160"/>
        <v>0.2</v>
      </c>
      <c r="U169" s="992">
        <v>0</v>
      </c>
      <c r="V169" s="626">
        <f t="shared" si="161"/>
        <v>0</v>
      </c>
      <c r="W169" s="594">
        <f t="shared" si="162"/>
        <v>0</v>
      </c>
      <c r="X169" s="594">
        <f t="shared" si="122"/>
        <v>0</v>
      </c>
      <c r="Y169" s="594">
        <f t="shared" si="155"/>
        <v>0</v>
      </c>
      <c r="Z169" s="594">
        <f t="shared" si="123"/>
        <v>0</v>
      </c>
      <c r="AA169" s="546">
        <v>0</v>
      </c>
      <c r="AB169" s="546">
        <v>0</v>
      </c>
      <c r="AC169" s="546">
        <v>0</v>
      </c>
      <c r="AD169" s="546">
        <v>0</v>
      </c>
      <c r="AE169" s="546">
        <v>0</v>
      </c>
      <c r="AF169" s="546">
        <v>0</v>
      </c>
      <c r="AG169" s="546">
        <v>0</v>
      </c>
      <c r="AH169" s="546">
        <v>0</v>
      </c>
      <c r="AI169" s="546">
        <v>0</v>
      </c>
      <c r="AJ169" s="546">
        <v>0</v>
      </c>
      <c r="AK169" s="546">
        <v>0</v>
      </c>
      <c r="AL169" s="546">
        <v>0</v>
      </c>
      <c r="AM169" s="546">
        <v>0</v>
      </c>
      <c r="AN169" s="546">
        <v>0</v>
      </c>
      <c r="AO169" s="546">
        <v>0</v>
      </c>
      <c r="AP169" s="546">
        <v>0</v>
      </c>
      <c r="AQ169" s="546">
        <v>0</v>
      </c>
      <c r="AR169" s="546">
        <v>0</v>
      </c>
      <c r="AS169" s="546">
        <v>0</v>
      </c>
      <c r="AT169" s="570">
        <f t="shared" si="124"/>
        <v>0.1</v>
      </c>
      <c r="AU169" s="570">
        <v>200</v>
      </c>
      <c r="AV169" s="625">
        <f t="shared" si="163"/>
        <v>0.4</v>
      </c>
      <c r="AW169" s="1003">
        <v>482</v>
      </c>
      <c r="AX169" s="604">
        <f t="shared" si="164"/>
        <v>482</v>
      </c>
      <c r="AY169" s="604">
        <f t="shared" si="165"/>
        <v>241</v>
      </c>
      <c r="AZ169" s="604">
        <f t="shared" si="128"/>
        <v>100</v>
      </c>
      <c r="BA169" s="592">
        <f t="shared" si="129"/>
        <v>0.1</v>
      </c>
      <c r="BB169" s="592">
        <f t="shared" si="130"/>
        <v>100</v>
      </c>
      <c r="BC169" s="591">
        <v>163000000</v>
      </c>
      <c r="BD169" s="591">
        <v>0</v>
      </c>
      <c r="BE169" s="591">
        <v>163000000</v>
      </c>
      <c r="BF169" s="591">
        <v>0</v>
      </c>
      <c r="BG169" s="591">
        <v>0</v>
      </c>
      <c r="BH169" s="591">
        <v>0</v>
      </c>
      <c r="BI169" s="591">
        <v>0</v>
      </c>
      <c r="BJ169" s="591">
        <v>0</v>
      </c>
      <c r="BK169" s="700">
        <v>527688123</v>
      </c>
      <c r="BL169" s="589">
        <v>527688123</v>
      </c>
      <c r="BM169" s="589">
        <v>0</v>
      </c>
      <c r="BN169" s="589">
        <v>0</v>
      </c>
      <c r="BO169" s="589">
        <v>0</v>
      </c>
      <c r="BP169" s="589">
        <v>0</v>
      </c>
      <c r="BQ169" s="589">
        <v>0</v>
      </c>
      <c r="BR169" s="589">
        <v>0</v>
      </c>
      <c r="BS169" s="589">
        <v>0</v>
      </c>
      <c r="BT169" s="589">
        <v>0</v>
      </c>
      <c r="BU169" s="589">
        <v>0</v>
      </c>
      <c r="BV169" s="588">
        <f t="shared" si="131"/>
        <v>0.1</v>
      </c>
      <c r="BW169" s="588">
        <v>200</v>
      </c>
      <c r="BX169" s="623">
        <f t="shared" si="166"/>
        <v>0.4</v>
      </c>
      <c r="BY169" s="607">
        <v>0</v>
      </c>
      <c r="BZ169" s="629">
        <v>0</v>
      </c>
      <c r="CA169" s="1017">
        <v>511</v>
      </c>
      <c r="CB169" s="557">
        <f t="shared" si="167"/>
        <v>511</v>
      </c>
      <c r="CC169" s="557">
        <f t="shared" si="168"/>
        <v>255.5</v>
      </c>
      <c r="CD169" s="622">
        <f t="shared" si="135"/>
        <v>100</v>
      </c>
      <c r="CE169" s="621">
        <f t="shared" si="136"/>
        <v>0.1</v>
      </c>
      <c r="CF169" s="605">
        <f t="shared" si="137"/>
        <v>100</v>
      </c>
      <c r="CG169" s="621">
        <f t="shared" si="138"/>
        <v>0.2555</v>
      </c>
      <c r="CH169" s="553">
        <f t="shared" si="139"/>
        <v>0</v>
      </c>
      <c r="CI169" s="552">
        <v>0</v>
      </c>
      <c r="CJ169" s="551">
        <f t="shared" si="169"/>
        <v>0</v>
      </c>
      <c r="CK169" s="874">
        <v>1495</v>
      </c>
      <c r="CL169" s="533">
        <f t="shared" si="170"/>
        <v>-1495</v>
      </c>
      <c r="CM169" s="619">
        <f t="shared" si="171"/>
        <v>1495</v>
      </c>
      <c r="CN169" s="619">
        <f t="shared" si="172"/>
        <v>0</v>
      </c>
      <c r="CO169" s="549">
        <f t="shared" si="144"/>
        <v>0</v>
      </c>
      <c r="CP169" s="619">
        <f t="shared" si="145"/>
        <v>0</v>
      </c>
      <c r="CQ169" s="619">
        <f t="shared" si="146"/>
        <v>0</v>
      </c>
      <c r="CR169" s="546">
        <v>375000000</v>
      </c>
      <c r="CS169" s="546">
        <v>375000000</v>
      </c>
      <c r="CT169" s="546">
        <v>0</v>
      </c>
      <c r="CU169" s="546">
        <v>0</v>
      </c>
      <c r="CV169" s="546">
        <v>0</v>
      </c>
      <c r="CW169" s="546">
        <v>0</v>
      </c>
      <c r="CX169" s="546">
        <v>0</v>
      </c>
      <c r="CY169" s="546">
        <v>0</v>
      </c>
      <c r="CZ169" s="618">
        <v>0</v>
      </c>
      <c r="DA169" s="618">
        <v>0</v>
      </c>
      <c r="DB169" s="618">
        <v>0</v>
      </c>
      <c r="DC169" s="618">
        <v>0</v>
      </c>
      <c r="DD169" s="618">
        <v>0</v>
      </c>
      <c r="DE169" s="618">
        <v>0</v>
      </c>
      <c r="DF169" s="618">
        <v>0</v>
      </c>
      <c r="DG169" s="618">
        <v>0</v>
      </c>
      <c r="DH169" s="618">
        <v>0</v>
      </c>
      <c r="DI169" s="618">
        <v>0</v>
      </c>
      <c r="DJ169" s="618">
        <v>0</v>
      </c>
      <c r="DK169" s="1034">
        <f t="shared" si="173"/>
        <v>2488</v>
      </c>
      <c r="DL169" s="543">
        <f t="shared" si="148"/>
        <v>0.25</v>
      </c>
      <c r="DM169" s="542">
        <f t="shared" si="149"/>
        <v>497.6</v>
      </c>
      <c r="DN169" s="594">
        <f t="shared" si="150"/>
        <v>100</v>
      </c>
      <c r="DO169" s="540">
        <f t="shared" si="151"/>
        <v>0.25</v>
      </c>
      <c r="DP169" s="597">
        <f t="shared" si="159"/>
        <v>0.25</v>
      </c>
      <c r="DQ169" s="538">
        <f t="shared" si="152"/>
        <v>0.25</v>
      </c>
      <c r="DR169" s="617">
        <f t="shared" si="153"/>
        <v>1</v>
      </c>
      <c r="DS169" s="616">
        <f t="shared" si="154"/>
        <v>0</v>
      </c>
      <c r="DT169" s="259">
        <v>199</v>
      </c>
      <c r="DU169" s="260" t="s">
        <v>281</v>
      </c>
      <c r="DV169" s="259"/>
      <c r="DW169" s="260" t="s">
        <v>242</v>
      </c>
      <c r="DX169" s="259"/>
      <c r="DY169" s="259"/>
      <c r="DZ169" s="259"/>
      <c r="EA169" s="987"/>
      <c r="EB169" s="1041" t="s">
        <v>2506</v>
      </c>
      <c r="EC169" s="802">
        <v>375000000</v>
      </c>
      <c r="EE169" s="1047"/>
    </row>
    <row r="170" spans="4:135" s="534" customFormat="1" ht="60" hidden="1" x14ac:dyDescent="0.3">
      <c r="D170" s="783">
        <v>167</v>
      </c>
      <c r="E170" s="799">
        <v>211</v>
      </c>
      <c r="F170" s="787" t="s">
        <v>200</v>
      </c>
      <c r="G170" s="787" t="s">
        <v>9</v>
      </c>
      <c r="H170" s="788" t="s">
        <v>2224</v>
      </c>
      <c r="I170" s="712" t="s">
        <v>238</v>
      </c>
      <c r="J170" s="573" t="s">
        <v>652</v>
      </c>
      <c r="K170" s="573" t="s">
        <v>653</v>
      </c>
      <c r="L170" s="702" t="s">
        <v>2126</v>
      </c>
      <c r="M170" s="570" t="s">
        <v>2017</v>
      </c>
      <c r="N170" s="570">
        <v>0</v>
      </c>
      <c r="O170" s="570">
        <f t="shared" si="158"/>
        <v>250</v>
      </c>
      <c r="P170" s="569">
        <v>250</v>
      </c>
      <c r="Q170" s="628">
        <v>0.16500000000000001</v>
      </c>
      <c r="R170" s="580">
        <f t="shared" si="118"/>
        <v>0</v>
      </c>
      <c r="S170" s="708">
        <v>0</v>
      </c>
      <c r="T170" s="625">
        <f t="shared" si="160"/>
        <v>0</v>
      </c>
      <c r="U170" s="992">
        <v>1</v>
      </c>
      <c r="V170" s="626">
        <f t="shared" si="161"/>
        <v>1</v>
      </c>
      <c r="W170" s="594">
        <f t="shared" si="162"/>
        <v>0</v>
      </c>
      <c r="X170" s="594">
        <f t="shared" si="122"/>
        <v>0</v>
      </c>
      <c r="Y170" s="594">
        <f t="shared" si="155"/>
        <v>0</v>
      </c>
      <c r="Z170" s="594">
        <f t="shared" si="123"/>
        <v>100</v>
      </c>
      <c r="AA170" s="546">
        <v>50000000</v>
      </c>
      <c r="AB170" s="546">
        <v>50000000</v>
      </c>
      <c r="AC170" s="546">
        <v>0</v>
      </c>
      <c r="AD170" s="546">
        <v>0</v>
      </c>
      <c r="AE170" s="546">
        <v>0</v>
      </c>
      <c r="AF170" s="546">
        <v>0</v>
      </c>
      <c r="AG170" s="546">
        <v>0</v>
      </c>
      <c r="AH170" s="546">
        <v>0</v>
      </c>
      <c r="AI170" s="546">
        <v>50000000</v>
      </c>
      <c r="AJ170" s="546">
        <v>50000000</v>
      </c>
      <c r="AK170" s="546">
        <v>0</v>
      </c>
      <c r="AL170" s="546">
        <v>0</v>
      </c>
      <c r="AM170" s="546">
        <v>0</v>
      </c>
      <c r="AN170" s="546">
        <v>0</v>
      </c>
      <c r="AO170" s="546">
        <v>0</v>
      </c>
      <c r="AP170" s="546">
        <v>0</v>
      </c>
      <c r="AQ170" s="546">
        <v>0</v>
      </c>
      <c r="AR170" s="546">
        <v>0</v>
      </c>
      <c r="AS170" s="546">
        <v>0</v>
      </c>
      <c r="AT170" s="570">
        <f t="shared" si="124"/>
        <v>3.3000000000000002E-2</v>
      </c>
      <c r="AU170" s="570">
        <v>50</v>
      </c>
      <c r="AV170" s="625">
        <f t="shared" si="163"/>
        <v>0.2</v>
      </c>
      <c r="AW170" s="1003">
        <v>3</v>
      </c>
      <c r="AX170" s="604">
        <f t="shared" si="164"/>
        <v>3</v>
      </c>
      <c r="AY170" s="604">
        <f t="shared" si="165"/>
        <v>6</v>
      </c>
      <c r="AZ170" s="604">
        <f t="shared" si="128"/>
        <v>6</v>
      </c>
      <c r="BA170" s="592">
        <f t="shared" si="129"/>
        <v>1.98E-3</v>
      </c>
      <c r="BB170" s="592">
        <f t="shared" si="130"/>
        <v>6</v>
      </c>
      <c r="BC170" s="591">
        <v>100000000</v>
      </c>
      <c r="BD170" s="591">
        <v>0</v>
      </c>
      <c r="BE170" s="591">
        <v>100000000</v>
      </c>
      <c r="BF170" s="591">
        <v>0</v>
      </c>
      <c r="BG170" s="591">
        <v>0</v>
      </c>
      <c r="BH170" s="591">
        <v>0</v>
      </c>
      <c r="BI170" s="591">
        <v>0</v>
      </c>
      <c r="BJ170" s="591">
        <v>0</v>
      </c>
      <c r="BK170" s="700">
        <v>79166316</v>
      </c>
      <c r="BL170" s="589">
        <v>79166316</v>
      </c>
      <c r="BM170" s="589">
        <v>0</v>
      </c>
      <c r="BN170" s="589">
        <v>0</v>
      </c>
      <c r="BO170" s="589">
        <v>0</v>
      </c>
      <c r="BP170" s="589">
        <v>0</v>
      </c>
      <c r="BQ170" s="589">
        <v>0</v>
      </c>
      <c r="BR170" s="589">
        <v>0</v>
      </c>
      <c r="BS170" s="589">
        <v>0</v>
      </c>
      <c r="BT170" s="589">
        <v>0</v>
      </c>
      <c r="BU170" s="589">
        <v>0</v>
      </c>
      <c r="BV170" s="588">
        <f t="shared" si="131"/>
        <v>3.3000000000000002E-2</v>
      </c>
      <c r="BW170" s="588">
        <v>50</v>
      </c>
      <c r="BX170" s="623">
        <f t="shared" si="166"/>
        <v>0.2</v>
      </c>
      <c r="BY170" s="607">
        <v>104</v>
      </c>
      <c r="BZ170" s="629">
        <v>108</v>
      </c>
      <c r="CA170" s="1017">
        <v>129</v>
      </c>
      <c r="CB170" s="557">
        <f t="shared" si="167"/>
        <v>129</v>
      </c>
      <c r="CC170" s="557">
        <f t="shared" si="168"/>
        <v>258</v>
      </c>
      <c r="CD170" s="622">
        <f t="shared" si="135"/>
        <v>100</v>
      </c>
      <c r="CE170" s="621">
        <f t="shared" si="136"/>
        <v>3.3000000000000002E-2</v>
      </c>
      <c r="CF170" s="605">
        <f t="shared" si="137"/>
        <v>100</v>
      </c>
      <c r="CG170" s="621">
        <f t="shared" si="138"/>
        <v>8.5140000000000007E-2</v>
      </c>
      <c r="CH170" s="553">
        <f t="shared" si="139"/>
        <v>9.9000000000000005E-2</v>
      </c>
      <c r="CI170" s="552">
        <v>150</v>
      </c>
      <c r="CJ170" s="551">
        <f t="shared" si="169"/>
        <v>0.6</v>
      </c>
      <c r="CK170" s="874">
        <v>65</v>
      </c>
      <c r="CL170" s="533">
        <f t="shared" si="170"/>
        <v>85</v>
      </c>
      <c r="CM170" s="619">
        <f t="shared" si="171"/>
        <v>65</v>
      </c>
      <c r="CN170" s="619">
        <f t="shared" si="172"/>
        <v>43.333333333333336</v>
      </c>
      <c r="CO170" s="549">
        <f t="shared" si="144"/>
        <v>43.333333333333336</v>
      </c>
      <c r="CP170" s="619">
        <f t="shared" si="145"/>
        <v>4.2900000000000001E-2</v>
      </c>
      <c r="CQ170" s="619">
        <f t="shared" si="146"/>
        <v>4.2900000000000001E-2</v>
      </c>
      <c r="CR170" s="546">
        <v>350000000</v>
      </c>
      <c r="CS170" s="546">
        <v>350000000</v>
      </c>
      <c r="CT170" s="546">
        <v>0</v>
      </c>
      <c r="CU170" s="546">
        <v>0</v>
      </c>
      <c r="CV170" s="546">
        <v>0</v>
      </c>
      <c r="CW170" s="546">
        <v>0</v>
      </c>
      <c r="CX170" s="546">
        <v>0</v>
      </c>
      <c r="CY170" s="546">
        <v>0</v>
      </c>
      <c r="CZ170" s="618">
        <v>0</v>
      </c>
      <c r="DA170" s="618">
        <v>0</v>
      </c>
      <c r="DB170" s="618">
        <v>0</v>
      </c>
      <c r="DC170" s="618">
        <v>0</v>
      </c>
      <c r="DD170" s="618">
        <v>0</v>
      </c>
      <c r="DE170" s="618">
        <v>0</v>
      </c>
      <c r="DF170" s="618">
        <v>0</v>
      </c>
      <c r="DG170" s="618">
        <v>0</v>
      </c>
      <c r="DH170" s="618">
        <v>0</v>
      </c>
      <c r="DI170" s="618">
        <v>0</v>
      </c>
      <c r="DJ170" s="618">
        <v>0</v>
      </c>
      <c r="DK170" s="1034">
        <f t="shared" si="173"/>
        <v>198</v>
      </c>
      <c r="DL170" s="543">
        <f t="shared" si="148"/>
        <v>0.16500000000000001</v>
      </c>
      <c r="DM170" s="542">
        <f t="shared" si="149"/>
        <v>79.2</v>
      </c>
      <c r="DN170" s="594">
        <f t="shared" si="150"/>
        <v>79.2</v>
      </c>
      <c r="DO170" s="540">
        <f t="shared" si="151"/>
        <v>0.13068000000000002</v>
      </c>
      <c r="DP170" s="597">
        <f t="shared" si="159"/>
        <v>0.13068000000000002</v>
      </c>
      <c r="DQ170" s="538">
        <f t="shared" si="152"/>
        <v>0.13068000000000002</v>
      </c>
      <c r="DR170" s="617">
        <f t="shared" si="153"/>
        <v>1</v>
      </c>
      <c r="DS170" s="616">
        <f t="shared" si="154"/>
        <v>0</v>
      </c>
      <c r="DT170" s="259">
        <v>199</v>
      </c>
      <c r="DU170" s="260" t="s">
        <v>281</v>
      </c>
      <c r="DV170" s="259"/>
      <c r="DW170" s="260" t="s">
        <v>242</v>
      </c>
      <c r="DX170" s="259"/>
      <c r="DY170" s="259"/>
      <c r="DZ170" s="259"/>
      <c r="EA170" s="987"/>
      <c r="EB170" s="1041" t="s">
        <v>2507</v>
      </c>
      <c r="EC170" s="802">
        <v>400000000</v>
      </c>
      <c r="EE170" s="1047"/>
    </row>
    <row r="171" spans="4:135" s="534" customFormat="1" ht="63.75" hidden="1" x14ac:dyDescent="0.3">
      <c r="D171" s="783">
        <v>168</v>
      </c>
      <c r="E171" s="799">
        <v>212</v>
      </c>
      <c r="F171" s="787" t="s">
        <v>200</v>
      </c>
      <c r="G171" s="787" t="s">
        <v>14</v>
      </c>
      <c r="H171" s="788" t="s">
        <v>2224</v>
      </c>
      <c r="I171" s="712" t="s">
        <v>238</v>
      </c>
      <c r="J171" s="573" t="s">
        <v>654</v>
      </c>
      <c r="K171" s="573" t="s">
        <v>655</v>
      </c>
      <c r="L171" s="701" t="s">
        <v>1593</v>
      </c>
      <c r="M171" s="570" t="s">
        <v>2032</v>
      </c>
      <c r="N171" s="570">
        <v>116</v>
      </c>
      <c r="O171" s="570">
        <f>+P171</f>
        <v>116</v>
      </c>
      <c r="P171" s="569">
        <v>116</v>
      </c>
      <c r="Q171" s="628">
        <v>0.16500000000000001</v>
      </c>
      <c r="R171" s="580">
        <f t="shared" si="118"/>
        <v>4.1250000000000002E-2</v>
      </c>
      <c r="S171" s="708">
        <v>116</v>
      </c>
      <c r="T171" s="625">
        <f t="shared" si="160"/>
        <v>0.25</v>
      </c>
      <c r="U171" s="992">
        <v>80</v>
      </c>
      <c r="V171" s="626">
        <f t="shared" si="161"/>
        <v>20</v>
      </c>
      <c r="W171" s="594">
        <f t="shared" si="162"/>
        <v>68.965517241379317</v>
      </c>
      <c r="X171" s="594">
        <f t="shared" si="122"/>
        <v>68.965517241379317</v>
      </c>
      <c r="Y171" s="594">
        <f t="shared" si="155"/>
        <v>2.8448275862068967E-2</v>
      </c>
      <c r="Z171" s="594">
        <f t="shared" si="123"/>
        <v>68.965517241379317</v>
      </c>
      <c r="AA171" s="546">
        <v>0</v>
      </c>
      <c r="AB171" s="546">
        <v>0</v>
      </c>
      <c r="AC171" s="546">
        <v>0</v>
      </c>
      <c r="AD171" s="546">
        <v>0</v>
      </c>
      <c r="AE171" s="546">
        <v>0</v>
      </c>
      <c r="AF171" s="546">
        <v>0</v>
      </c>
      <c r="AG171" s="546">
        <v>0</v>
      </c>
      <c r="AH171" s="546">
        <v>0</v>
      </c>
      <c r="AI171" s="546">
        <v>0</v>
      </c>
      <c r="AJ171" s="546">
        <v>0</v>
      </c>
      <c r="AK171" s="546">
        <v>0</v>
      </c>
      <c r="AL171" s="546">
        <v>0</v>
      </c>
      <c r="AM171" s="546">
        <v>0</v>
      </c>
      <c r="AN171" s="546">
        <v>0</v>
      </c>
      <c r="AO171" s="546">
        <v>0</v>
      </c>
      <c r="AP171" s="546">
        <v>0</v>
      </c>
      <c r="AQ171" s="546">
        <v>0</v>
      </c>
      <c r="AR171" s="546">
        <v>0</v>
      </c>
      <c r="AS171" s="546">
        <v>0</v>
      </c>
      <c r="AT171" s="570">
        <f t="shared" si="124"/>
        <v>4.1250000000000002E-2</v>
      </c>
      <c r="AU171" s="570">
        <v>116</v>
      </c>
      <c r="AV171" s="625">
        <f t="shared" si="163"/>
        <v>0.25</v>
      </c>
      <c r="AW171" s="1003">
        <v>115</v>
      </c>
      <c r="AX171" s="604">
        <f t="shared" si="164"/>
        <v>28.75</v>
      </c>
      <c r="AY171" s="604">
        <f t="shared" si="165"/>
        <v>99.137931034482762</v>
      </c>
      <c r="AZ171" s="604">
        <f t="shared" si="128"/>
        <v>99.137931034482762</v>
      </c>
      <c r="BA171" s="592">
        <f t="shared" si="129"/>
        <v>4.0894396551724138E-2</v>
      </c>
      <c r="BB171" s="592">
        <f t="shared" si="130"/>
        <v>99.137931034482762</v>
      </c>
      <c r="BC171" s="591">
        <v>22000000</v>
      </c>
      <c r="BD171" s="591">
        <v>0</v>
      </c>
      <c r="BE171" s="591">
        <v>22000000</v>
      </c>
      <c r="BF171" s="591">
        <v>0</v>
      </c>
      <c r="BG171" s="591">
        <v>0</v>
      </c>
      <c r="BH171" s="591">
        <v>0</v>
      </c>
      <c r="BI171" s="591">
        <v>0</v>
      </c>
      <c r="BJ171" s="591">
        <v>0</v>
      </c>
      <c r="BK171" s="700">
        <v>0</v>
      </c>
      <c r="BL171" s="589">
        <v>0</v>
      </c>
      <c r="BM171" s="589">
        <v>0</v>
      </c>
      <c r="BN171" s="589">
        <v>0</v>
      </c>
      <c r="BO171" s="589">
        <v>0</v>
      </c>
      <c r="BP171" s="589">
        <v>0</v>
      </c>
      <c r="BQ171" s="589">
        <v>0</v>
      </c>
      <c r="BR171" s="589">
        <v>0</v>
      </c>
      <c r="BS171" s="589">
        <v>0</v>
      </c>
      <c r="BT171" s="589">
        <v>0</v>
      </c>
      <c r="BU171" s="589">
        <v>0</v>
      </c>
      <c r="BV171" s="588">
        <f t="shared" si="131"/>
        <v>4.1250000000000002E-2</v>
      </c>
      <c r="BW171" s="588">
        <v>116</v>
      </c>
      <c r="BX171" s="623">
        <f t="shared" si="166"/>
        <v>0.25</v>
      </c>
      <c r="BY171" s="607">
        <v>0</v>
      </c>
      <c r="BZ171" s="629">
        <v>0</v>
      </c>
      <c r="CA171" s="1017">
        <v>0</v>
      </c>
      <c r="CB171" s="557">
        <f t="shared" si="167"/>
        <v>0</v>
      </c>
      <c r="CC171" s="557">
        <f t="shared" si="168"/>
        <v>0</v>
      </c>
      <c r="CD171" s="622">
        <f t="shared" si="135"/>
        <v>0</v>
      </c>
      <c r="CE171" s="621">
        <f t="shared" si="136"/>
        <v>0</v>
      </c>
      <c r="CF171" s="605">
        <f t="shared" si="137"/>
        <v>0</v>
      </c>
      <c r="CG171" s="621">
        <f t="shared" si="138"/>
        <v>0</v>
      </c>
      <c r="CH171" s="553">
        <f t="shared" si="139"/>
        <v>4.1250000000000002E-2</v>
      </c>
      <c r="CI171" s="552">
        <v>116</v>
      </c>
      <c r="CJ171" s="551">
        <f t="shared" si="169"/>
        <v>0.25</v>
      </c>
      <c r="CK171" s="871">
        <v>0</v>
      </c>
      <c r="CL171" s="533">
        <f t="shared" si="170"/>
        <v>116</v>
      </c>
      <c r="CM171" s="619">
        <f t="shared" si="171"/>
        <v>0</v>
      </c>
      <c r="CN171" s="619">
        <f t="shared" si="172"/>
        <v>0</v>
      </c>
      <c r="CO171" s="619">
        <f t="shared" si="144"/>
        <v>0</v>
      </c>
      <c r="CP171" s="619">
        <f t="shared" si="145"/>
        <v>0</v>
      </c>
      <c r="CQ171" s="619">
        <f t="shared" si="146"/>
        <v>0</v>
      </c>
      <c r="CR171" s="546">
        <v>51000000</v>
      </c>
      <c r="CS171" s="546">
        <v>51000000</v>
      </c>
      <c r="CT171" s="546">
        <v>0</v>
      </c>
      <c r="CU171" s="546">
        <v>0</v>
      </c>
      <c r="CV171" s="546">
        <v>0</v>
      </c>
      <c r="CW171" s="546">
        <v>0</v>
      </c>
      <c r="CX171" s="546">
        <v>0</v>
      </c>
      <c r="CY171" s="546">
        <v>0</v>
      </c>
      <c r="CZ171" s="618">
        <v>0</v>
      </c>
      <c r="DA171" s="618">
        <v>0</v>
      </c>
      <c r="DB171" s="618">
        <v>0</v>
      </c>
      <c r="DC171" s="618">
        <v>0</v>
      </c>
      <c r="DD171" s="618">
        <v>0</v>
      </c>
      <c r="DE171" s="618">
        <v>0</v>
      </c>
      <c r="DF171" s="618">
        <v>0</v>
      </c>
      <c r="DG171" s="618">
        <v>0</v>
      </c>
      <c r="DH171" s="618">
        <v>0</v>
      </c>
      <c r="DI171" s="618">
        <v>0</v>
      </c>
      <c r="DJ171" s="618">
        <v>0</v>
      </c>
      <c r="DK171" s="1034">
        <f t="shared" si="173"/>
        <v>48.75</v>
      </c>
      <c r="DL171" s="543">
        <f t="shared" si="148"/>
        <v>0.16500000000000001</v>
      </c>
      <c r="DM171" s="542">
        <f t="shared" si="149"/>
        <v>42.025862068965516</v>
      </c>
      <c r="DN171" s="594">
        <f t="shared" si="150"/>
        <v>42.025862068965516</v>
      </c>
      <c r="DO171" s="540">
        <f t="shared" si="151"/>
        <v>6.9342672413793105E-2</v>
      </c>
      <c r="DP171" s="597">
        <f>+IF(M171="M",DO171,0)</f>
        <v>6.9342672413793105E-2</v>
      </c>
      <c r="DQ171" s="538">
        <f t="shared" si="152"/>
        <v>6.9342672413793105E-2</v>
      </c>
      <c r="DR171" s="617">
        <f t="shared" si="153"/>
        <v>1</v>
      </c>
      <c r="DS171" s="616">
        <f t="shared" si="154"/>
        <v>0</v>
      </c>
      <c r="DT171" s="259">
        <v>199</v>
      </c>
      <c r="DU171" s="260" t="s">
        <v>281</v>
      </c>
      <c r="DV171" s="259"/>
      <c r="DW171" s="260" t="s">
        <v>242</v>
      </c>
      <c r="DX171" s="259"/>
      <c r="DY171" s="259"/>
      <c r="DZ171" s="259"/>
      <c r="EA171" s="987"/>
      <c r="EB171" s="1041" t="s">
        <v>2508</v>
      </c>
      <c r="EC171" s="802">
        <v>51000000</v>
      </c>
      <c r="EE171" s="1047"/>
    </row>
    <row r="172" spans="4:135" s="534" customFormat="1" ht="84" hidden="1" x14ac:dyDescent="0.3">
      <c r="D172" s="783">
        <v>169</v>
      </c>
      <c r="E172" s="799">
        <v>213</v>
      </c>
      <c r="F172" s="574" t="s">
        <v>200</v>
      </c>
      <c r="G172" s="574" t="s">
        <v>7</v>
      </c>
      <c r="H172" s="574" t="s">
        <v>2224</v>
      </c>
      <c r="I172" s="574" t="s">
        <v>656</v>
      </c>
      <c r="J172" s="573" t="s">
        <v>1438</v>
      </c>
      <c r="K172" s="573" t="s">
        <v>657</v>
      </c>
      <c r="L172" s="702" t="s">
        <v>1642</v>
      </c>
      <c r="M172" s="570" t="s">
        <v>2017</v>
      </c>
      <c r="N172" s="570">
        <v>0</v>
      </c>
      <c r="O172" s="570">
        <f>+N172+P172</f>
        <v>10000</v>
      </c>
      <c r="P172" s="569">
        <v>10000</v>
      </c>
      <c r="Q172" s="631">
        <v>0.16500000000000001</v>
      </c>
      <c r="R172" s="580">
        <f t="shared" si="118"/>
        <v>4.1250000000000002E-2</v>
      </c>
      <c r="S172" s="708">
        <v>2500</v>
      </c>
      <c r="T172" s="625">
        <f t="shared" si="160"/>
        <v>0.25</v>
      </c>
      <c r="U172" s="992">
        <v>3055</v>
      </c>
      <c r="V172" s="626">
        <f t="shared" si="161"/>
        <v>3055</v>
      </c>
      <c r="W172" s="594">
        <f t="shared" si="162"/>
        <v>122.2</v>
      </c>
      <c r="X172" s="594">
        <f t="shared" si="122"/>
        <v>100</v>
      </c>
      <c r="Y172" s="594">
        <f t="shared" si="155"/>
        <v>4.1250000000000002E-2</v>
      </c>
      <c r="Z172" s="594">
        <f t="shared" si="123"/>
        <v>100</v>
      </c>
      <c r="AA172" s="546">
        <v>880000000</v>
      </c>
      <c r="AB172" s="546">
        <v>560000000</v>
      </c>
      <c r="AC172" s="546">
        <v>0</v>
      </c>
      <c r="AD172" s="546">
        <v>0</v>
      </c>
      <c r="AE172" s="546">
        <v>0</v>
      </c>
      <c r="AF172" s="546">
        <v>0</v>
      </c>
      <c r="AG172" s="546">
        <v>0</v>
      </c>
      <c r="AH172" s="546">
        <v>320000000</v>
      </c>
      <c r="AI172" s="546">
        <v>870000000</v>
      </c>
      <c r="AJ172" s="546">
        <v>870000000</v>
      </c>
      <c r="AK172" s="546">
        <v>0</v>
      </c>
      <c r="AL172" s="546">
        <v>0</v>
      </c>
      <c r="AM172" s="546">
        <v>0</v>
      </c>
      <c r="AN172" s="546">
        <v>0</v>
      </c>
      <c r="AO172" s="546">
        <v>0</v>
      </c>
      <c r="AP172" s="546">
        <v>0</v>
      </c>
      <c r="AQ172" s="546">
        <v>0</v>
      </c>
      <c r="AR172" s="546">
        <v>0</v>
      </c>
      <c r="AS172" s="546">
        <v>0</v>
      </c>
      <c r="AT172" s="630">
        <f t="shared" si="124"/>
        <v>4.1250000000000002E-2</v>
      </c>
      <c r="AU172" s="570">
        <v>2500</v>
      </c>
      <c r="AV172" s="625">
        <f t="shared" si="163"/>
        <v>0.25</v>
      </c>
      <c r="AW172" s="1003">
        <v>3740</v>
      </c>
      <c r="AX172" s="604">
        <f t="shared" si="164"/>
        <v>3740</v>
      </c>
      <c r="AY172" s="604">
        <f t="shared" si="165"/>
        <v>149.6</v>
      </c>
      <c r="AZ172" s="604">
        <f t="shared" si="128"/>
        <v>100</v>
      </c>
      <c r="BA172" s="592">
        <f t="shared" si="129"/>
        <v>4.1250000000000002E-2</v>
      </c>
      <c r="BB172" s="592">
        <f t="shared" si="130"/>
        <v>100</v>
      </c>
      <c r="BC172" s="591">
        <v>190000000</v>
      </c>
      <c r="BD172" s="591">
        <v>0</v>
      </c>
      <c r="BE172" s="591">
        <v>65000000</v>
      </c>
      <c r="BF172" s="591">
        <v>0</v>
      </c>
      <c r="BG172" s="591">
        <v>0</v>
      </c>
      <c r="BH172" s="591">
        <v>0</v>
      </c>
      <c r="BI172" s="591">
        <v>0</v>
      </c>
      <c r="BJ172" s="591">
        <v>125000000</v>
      </c>
      <c r="BK172" s="700">
        <v>227020000</v>
      </c>
      <c r="BL172" s="589">
        <v>227020000</v>
      </c>
      <c r="BM172" s="589">
        <v>0</v>
      </c>
      <c r="BN172" s="589">
        <v>0</v>
      </c>
      <c r="BO172" s="589">
        <v>0</v>
      </c>
      <c r="BP172" s="589">
        <v>0</v>
      </c>
      <c r="BQ172" s="589">
        <v>0</v>
      </c>
      <c r="BR172" s="589">
        <v>0</v>
      </c>
      <c r="BS172" s="589">
        <v>0</v>
      </c>
      <c r="BT172" s="589">
        <v>0</v>
      </c>
      <c r="BU172" s="589">
        <v>0</v>
      </c>
      <c r="BV172" s="588">
        <f t="shared" si="131"/>
        <v>8.2500000000000004E-2</v>
      </c>
      <c r="BW172" s="588">
        <v>5000</v>
      </c>
      <c r="BX172" s="623">
        <f t="shared" si="166"/>
        <v>0.5</v>
      </c>
      <c r="BY172" s="639">
        <v>58</v>
      </c>
      <c r="BZ172" s="638">
        <v>58</v>
      </c>
      <c r="CA172" s="1018">
        <v>5563</v>
      </c>
      <c r="CB172" s="557">
        <f t="shared" si="167"/>
        <v>5563</v>
      </c>
      <c r="CC172" s="557">
        <f t="shared" si="168"/>
        <v>111.26</v>
      </c>
      <c r="CD172" s="622">
        <f t="shared" si="135"/>
        <v>100</v>
      </c>
      <c r="CE172" s="621">
        <f t="shared" si="136"/>
        <v>8.2500000000000004E-2</v>
      </c>
      <c r="CF172" s="605">
        <f t="shared" si="137"/>
        <v>100</v>
      </c>
      <c r="CG172" s="621">
        <f t="shared" si="138"/>
        <v>9.178950000000001E-2</v>
      </c>
      <c r="CH172" s="553">
        <f t="shared" si="139"/>
        <v>0</v>
      </c>
      <c r="CI172" s="552">
        <v>0</v>
      </c>
      <c r="CJ172" s="551">
        <f t="shared" si="169"/>
        <v>0</v>
      </c>
      <c r="CK172" s="871">
        <v>0</v>
      </c>
      <c r="CL172" s="533">
        <f t="shared" si="170"/>
        <v>0</v>
      </c>
      <c r="CM172" s="619">
        <f t="shared" si="171"/>
        <v>0</v>
      </c>
      <c r="CN172" s="619">
        <f t="shared" si="172"/>
        <v>0</v>
      </c>
      <c r="CO172" s="549">
        <f t="shared" si="144"/>
        <v>0</v>
      </c>
      <c r="CP172" s="619">
        <f t="shared" si="145"/>
        <v>0</v>
      </c>
      <c r="CQ172" s="619">
        <f t="shared" si="146"/>
        <v>0</v>
      </c>
      <c r="CR172" s="546">
        <v>275000000</v>
      </c>
      <c r="CS172" s="546">
        <v>150000000</v>
      </c>
      <c r="CT172" s="546">
        <v>0</v>
      </c>
      <c r="CU172" s="546">
        <v>0</v>
      </c>
      <c r="CV172" s="546">
        <v>0</v>
      </c>
      <c r="CW172" s="546">
        <v>0</v>
      </c>
      <c r="CX172" s="546">
        <v>0</v>
      </c>
      <c r="CY172" s="546">
        <v>125000000</v>
      </c>
      <c r="CZ172" s="618">
        <v>0</v>
      </c>
      <c r="DA172" s="618">
        <v>0</v>
      </c>
      <c r="DB172" s="618">
        <v>0</v>
      </c>
      <c r="DC172" s="618">
        <v>0</v>
      </c>
      <c r="DD172" s="618">
        <v>0</v>
      </c>
      <c r="DE172" s="618">
        <v>0</v>
      </c>
      <c r="DF172" s="618">
        <v>0</v>
      </c>
      <c r="DG172" s="618">
        <v>0</v>
      </c>
      <c r="DH172" s="618">
        <v>0</v>
      </c>
      <c r="DI172" s="618">
        <v>0</v>
      </c>
      <c r="DJ172" s="618">
        <v>0</v>
      </c>
      <c r="DK172" s="1034">
        <f t="shared" si="173"/>
        <v>12358</v>
      </c>
      <c r="DL172" s="543">
        <f t="shared" si="148"/>
        <v>0.16500000000000001</v>
      </c>
      <c r="DM172" s="542">
        <f t="shared" si="149"/>
        <v>123.58</v>
      </c>
      <c r="DN172" s="594">
        <f t="shared" si="150"/>
        <v>100</v>
      </c>
      <c r="DO172" s="540">
        <f t="shared" si="151"/>
        <v>0.16500000000000001</v>
      </c>
      <c r="DP172" s="597">
        <f>+IF(((DN172*Q172)/100)&lt;Q172, ((DN172*Q172)/100),Q172)</f>
        <v>0.16500000000000001</v>
      </c>
      <c r="DQ172" s="538">
        <f t="shared" si="152"/>
        <v>0.16500000000000001</v>
      </c>
      <c r="DR172" s="617">
        <f t="shared" si="153"/>
        <v>1</v>
      </c>
      <c r="DS172" s="616">
        <f t="shared" si="154"/>
        <v>-1.3877787807814457E-17</v>
      </c>
      <c r="DT172" s="259">
        <v>200</v>
      </c>
      <c r="DU172" s="260" t="s">
        <v>556</v>
      </c>
      <c r="DV172" s="259">
        <v>202</v>
      </c>
      <c r="DW172" s="260" t="s">
        <v>279</v>
      </c>
      <c r="DX172" s="259"/>
      <c r="DY172" s="259"/>
      <c r="DZ172" s="259"/>
      <c r="EA172" s="987"/>
      <c r="EB172" s="1041" t="s">
        <v>2509</v>
      </c>
      <c r="EC172" s="802">
        <v>275000000</v>
      </c>
      <c r="EE172" s="1047"/>
    </row>
    <row r="173" spans="4:135" s="534" customFormat="1" ht="51" hidden="1" x14ac:dyDescent="0.3">
      <c r="D173" s="783">
        <v>170</v>
      </c>
      <c r="E173" s="799">
        <v>214</v>
      </c>
      <c r="F173" s="574" t="s">
        <v>200</v>
      </c>
      <c r="G173" s="574" t="s">
        <v>7</v>
      </c>
      <c r="H173" s="574" t="s">
        <v>2224</v>
      </c>
      <c r="I173" s="574" t="s">
        <v>656</v>
      </c>
      <c r="J173" s="573" t="s">
        <v>1439</v>
      </c>
      <c r="K173" s="573" t="s">
        <v>658</v>
      </c>
      <c r="L173" s="702" t="s">
        <v>1642</v>
      </c>
      <c r="M173" s="570" t="s">
        <v>2017</v>
      </c>
      <c r="N173" s="570">
        <v>3987</v>
      </c>
      <c r="O173" s="570">
        <f>+N173+P173</f>
        <v>4487</v>
      </c>
      <c r="P173" s="569">
        <v>500</v>
      </c>
      <c r="Q173" s="631">
        <v>0.16500000000000001</v>
      </c>
      <c r="R173" s="580">
        <f t="shared" si="118"/>
        <v>0</v>
      </c>
      <c r="S173" s="708">
        <v>0</v>
      </c>
      <c r="T173" s="625">
        <f t="shared" si="160"/>
        <v>0</v>
      </c>
      <c r="U173" s="992">
        <v>0</v>
      </c>
      <c r="V173" s="626">
        <f t="shared" si="161"/>
        <v>0</v>
      </c>
      <c r="W173" s="594">
        <f t="shared" si="162"/>
        <v>0</v>
      </c>
      <c r="X173" s="594">
        <f t="shared" si="122"/>
        <v>0</v>
      </c>
      <c r="Y173" s="594">
        <f t="shared" si="155"/>
        <v>0</v>
      </c>
      <c r="Z173" s="594">
        <f t="shared" si="123"/>
        <v>0</v>
      </c>
      <c r="AA173" s="546">
        <v>0</v>
      </c>
      <c r="AB173" s="546">
        <v>0</v>
      </c>
      <c r="AC173" s="546">
        <v>0</v>
      </c>
      <c r="AD173" s="546">
        <v>0</v>
      </c>
      <c r="AE173" s="546">
        <v>0</v>
      </c>
      <c r="AF173" s="546">
        <v>0</v>
      </c>
      <c r="AG173" s="546">
        <v>0</v>
      </c>
      <c r="AH173" s="546">
        <v>0</v>
      </c>
      <c r="AI173" s="546">
        <v>0</v>
      </c>
      <c r="AJ173" s="546">
        <v>0</v>
      </c>
      <c r="AK173" s="546">
        <v>0</v>
      </c>
      <c r="AL173" s="546">
        <v>0</v>
      </c>
      <c r="AM173" s="546">
        <v>0</v>
      </c>
      <c r="AN173" s="546">
        <v>0</v>
      </c>
      <c r="AO173" s="546">
        <v>0</v>
      </c>
      <c r="AP173" s="546">
        <v>0</v>
      </c>
      <c r="AQ173" s="546">
        <v>0</v>
      </c>
      <c r="AR173" s="546">
        <v>0</v>
      </c>
      <c r="AS173" s="546">
        <v>0</v>
      </c>
      <c r="AT173" s="630">
        <f t="shared" si="124"/>
        <v>6.6000000000000003E-2</v>
      </c>
      <c r="AU173" s="570">
        <v>200</v>
      </c>
      <c r="AV173" s="625">
        <f t="shared" si="163"/>
        <v>0.4</v>
      </c>
      <c r="AW173" s="1003">
        <v>219</v>
      </c>
      <c r="AX173" s="604">
        <f t="shared" si="164"/>
        <v>219</v>
      </c>
      <c r="AY173" s="604">
        <f t="shared" si="165"/>
        <v>109.5</v>
      </c>
      <c r="AZ173" s="604">
        <f t="shared" si="128"/>
        <v>100</v>
      </c>
      <c r="BA173" s="592">
        <f t="shared" si="129"/>
        <v>6.6000000000000003E-2</v>
      </c>
      <c r="BB173" s="592">
        <f t="shared" si="130"/>
        <v>100</v>
      </c>
      <c r="BC173" s="591">
        <v>65000000</v>
      </c>
      <c r="BD173" s="591">
        <v>0</v>
      </c>
      <c r="BE173" s="591">
        <v>65000000</v>
      </c>
      <c r="BF173" s="591">
        <v>0</v>
      </c>
      <c r="BG173" s="591">
        <v>0</v>
      </c>
      <c r="BH173" s="591">
        <v>0</v>
      </c>
      <c r="BI173" s="591">
        <v>0</v>
      </c>
      <c r="BJ173" s="591">
        <v>0</v>
      </c>
      <c r="BK173" s="700">
        <v>0</v>
      </c>
      <c r="BL173" s="589">
        <v>0</v>
      </c>
      <c r="BM173" s="589">
        <v>0</v>
      </c>
      <c r="BN173" s="589">
        <v>0</v>
      </c>
      <c r="BO173" s="589">
        <v>0</v>
      </c>
      <c r="BP173" s="589">
        <v>0</v>
      </c>
      <c r="BQ173" s="589">
        <v>0</v>
      </c>
      <c r="BR173" s="589">
        <v>0</v>
      </c>
      <c r="BS173" s="589">
        <v>0</v>
      </c>
      <c r="BT173" s="589">
        <v>0</v>
      </c>
      <c r="BU173" s="589">
        <v>0</v>
      </c>
      <c r="BV173" s="588">
        <f t="shared" si="131"/>
        <v>0</v>
      </c>
      <c r="BW173" s="588">
        <v>0</v>
      </c>
      <c r="BX173" s="623">
        <f t="shared" si="166"/>
        <v>0</v>
      </c>
      <c r="BY173" s="639">
        <v>0</v>
      </c>
      <c r="BZ173" s="638">
        <v>0</v>
      </c>
      <c r="CA173" s="1018">
        <v>0</v>
      </c>
      <c r="CB173" s="557">
        <f t="shared" si="167"/>
        <v>0</v>
      </c>
      <c r="CC173" s="557">
        <f t="shared" si="168"/>
        <v>0</v>
      </c>
      <c r="CD173" s="622">
        <f t="shared" si="135"/>
        <v>0</v>
      </c>
      <c r="CE173" s="621">
        <f t="shared" si="136"/>
        <v>0</v>
      </c>
      <c r="CF173" s="605">
        <f t="shared" si="137"/>
        <v>0</v>
      </c>
      <c r="CG173" s="621">
        <f t="shared" si="138"/>
        <v>0</v>
      </c>
      <c r="CH173" s="553">
        <f t="shared" si="139"/>
        <v>9.9000000000000005E-2</v>
      </c>
      <c r="CI173" s="552">
        <v>300</v>
      </c>
      <c r="CJ173" s="551">
        <f t="shared" si="169"/>
        <v>0.6</v>
      </c>
      <c r="CK173" s="874">
        <v>0</v>
      </c>
      <c r="CL173" s="533">
        <f t="shared" si="170"/>
        <v>300</v>
      </c>
      <c r="CM173" s="619">
        <f t="shared" si="171"/>
        <v>0</v>
      </c>
      <c r="CN173" s="619">
        <f t="shared" si="172"/>
        <v>0</v>
      </c>
      <c r="CO173" s="549">
        <f t="shared" si="144"/>
        <v>0</v>
      </c>
      <c r="CP173" s="619">
        <f t="shared" si="145"/>
        <v>0</v>
      </c>
      <c r="CQ173" s="619">
        <f t="shared" si="146"/>
        <v>0</v>
      </c>
      <c r="CR173" s="546">
        <v>150000000</v>
      </c>
      <c r="CS173" s="546">
        <v>150000000</v>
      </c>
      <c r="CT173" s="546">
        <v>0</v>
      </c>
      <c r="CU173" s="546">
        <v>0</v>
      </c>
      <c r="CV173" s="546">
        <v>0</v>
      </c>
      <c r="CW173" s="546">
        <v>0</v>
      </c>
      <c r="CX173" s="546">
        <v>0</v>
      </c>
      <c r="CY173" s="546">
        <v>0</v>
      </c>
      <c r="CZ173" s="618">
        <v>0</v>
      </c>
      <c r="DA173" s="618">
        <v>0</v>
      </c>
      <c r="DB173" s="618">
        <v>0</v>
      </c>
      <c r="DC173" s="618">
        <v>0</v>
      </c>
      <c r="DD173" s="618">
        <v>0</v>
      </c>
      <c r="DE173" s="618">
        <v>0</v>
      </c>
      <c r="DF173" s="618">
        <v>0</v>
      </c>
      <c r="DG173" s="618">
        <v>0</v>
      </c>
      <c r="DH173" s="618">
        <v>0</v>
      </c>
      <c r="DI173" s="618">
        <v>0</v>
      </c>
      <c r="DJ173" s="618">
        <v>0</v>
      </c>
      <c r="DK173" s="1034">
        <f t="shared" si="173"/>
        <v>219</v>
      </c>
      <c r="DL173" s="543">
        <f t="shared" si="148"/>
        <v>0.16500000000000001</v>
      </c>
      <c r="DM173" s="542">
        <f t="shared" si="149"/>
        <v>43.8</v>
      </c>
      <c r="DN173" s="594">
        <f t="shared" si="150"/>
        <v>43.8</v>
      </c>
      <c r="DO173" s="540">
        <f t="shared" si="151"/>
        <v>7.2270000000000001E-2</v>
      </c>
      <c r="DP173" s="597">
        <f>+IF(((DN173*Q173)/100)&lt;Q173, ((DN173*Q173)/100),Q173)</f>
        <v>7.2270000000000001E-2</v>
      </c>
      <c r="DQ173" s="538">
        <f t="shared" si="152"/>
        <v>7.2270000000000001E-2</v>
      </c>
      <c r="DR173" s="617">
        <f t="shared" si="153"/>
        <v>1</v>
      </c>
      <c r="DS173" s="616">
        <f t="shared" si="154"/>
        <v>0</v>
      </c>
      <c r="DT173" s="259">
        <v>202</v>
      </c>
      <c r="DU173" s="260" t="s">
        <v>279</v>
      </c>
      <c r="DV173" s="259"/>
      <c r="DW173" s="260" t="s">
        <v>242</v>
      </c>
      <c r="DX173" s="259"/>
      <c r="DY173" s="259"/>
      <c r="DZ173" s="259"/>
      <c r="EA173" s="987"/>
      <c r="EB173" s="1041" t="s">
        <v>2510</v>
      </c>
      <c r="EC173" s="802">
        <v>150000000</v>
      </c>
      <c r="EE173" s="1047"/>
    </row>
    <row r="174" spans="4:135" s="534" customFormat="1" ht="102" hidden="1" x14ac:dyDescent="0.3">
      <c r="D174" s="783">
        <v>171</v>
      </c>
      <c r="E174" s="799">
        <v>215</v>
      </c>
      <c r="F174" s="787" t="s">
        <v>200</v>
      </c>
      <c r="G174" s="787" t="s">
        <v>7</v>
      </c>
      <c r="H174" s="788" t="s">
        <v>2224</v>
      </c>
      <c r="I174" s="712" t="s">
        <v>656</v>
      </c>
      <c r="J174" s="573" t="s">
        <v>659</v>
      </c>
      <c r="K174" s="573" t="s">
        <v>660</v>
      </c>
      <c r="L174" s="702" t="s">
        <v>1642</v>
      </c>
      <c r="M174" s="570" t="s">
        <v>2017</v>
      </c>
      <c r="N174" s="570">
        <v>3545</v>
      </c>
      <c r="O174" s="570">
        <f>+N174+P174</f>
        <v>14545</v>
      </c>
      <c r="P174" s="569">
        <v>11000</v>
      </c>
      <c r="Q174" s="628">
        <v>0.16500000000000001</v>
      </c>
      <c r="R174" s="580">
        <f t="shared" si="118"/>
        <v>0</v>
      </c>
      <c r="S174" s="708">
        <v>0</v>
      </c>
      <c r="T174" s="625">
        <f t="shared" si="160"/>
        <v>0</v>
      </c>
      <c r="U174" s="992">
        <v>0</v>
      </c>
      <c r="V174" s="626">
        <f t="shared" si="161"/>
        <v>0</v>
      </c>
      <c r="W174" s="594">
        <f t="shared" si="162"/>
        <v>0</v>
      </c>
      <c r="X174" s="594">
        <f t="shared" si="122"/>
        <v>0</v>
      </c>
      <c r="Y174" s="594">
        <f t="shared" si="155"/>
        <v>0</v>
      </c>
      <c r="Z174" s="594">
        <f t="shared" si="123"/>
        <v>0</v>
      </c>
      <c r="AA174" s="546">
        <v>0</v>
      </c>
      <c r="AB174" s="546">
        <v>0</v>
      </c>
      <c r="AC174" s="546">
        <v>0</v>
      </c>
      <c r="AD174" s="546">
        <v>0</v>
      </c>
      <c r="AE174" s="546">
        <v>0</v>
      </c>
      <c r="AF174" s="546">
        <v>0</v>
      </c>
      <c r="AG174" s="546">
        <v>0</v>
      </c>
      <c r="AH174" s="546">
        <v>0</v>
      </c>
      <c r="AI174" s="546">
        <v>0</v>
      </c>
      <c r="AJ174" s="546">
        <v>0</v>
      </c>
      <c r="AK174" s="546">
        <v>0</v>
      </c>
      <c r="AL174" s="546">
        <v>0</v>
      </c>
      <c r="AM174" s="546">
        <v>0</v>
      </c>
      <c r="AN174" s="546">
        <v>0</v>
      </c>
      <c r="AO174" s="546">
        <v>0</v>
      </c>
      <c r="AP174" s="546">
        <v>0</v>
      </c>
      <c r="AQ174" s="546">
        <v>0</v>
      </c>
      <c r="AR174" s="546">
        <v>0</v>
      </c>
      <c r="AS174" s="546">
        <v>0</v>
      </c>
      <c r="AT174" s="570">
        <f t="shared" si="124"/>
        <v>0.09</v>
      </c>
      <c r="AU174" s="570">
        <v>6000</v>
      </c>
      <c r="AV174" s="625">
        <f t="shared" si="163"/>
        <v>0.54545454545454541</v>
      </c>
      <c r="AW174" s="1003">
        <v>6091</v>
      </c>
      <c r="AX174" s="604">
        <f t="shared" si="164"/>
        <v>6091</v>
      </c>
      <c r="AY174" s="604">
        <f t="shared" si="165"/>
        <v>101.51666666666667</v>
      </c>
      <c r="AZ174" s="604">
        <f t="shared" si="128"/>
        <v>100</v>
      </c>
      <c r="BA174" s="592">
        <f t="shared" si="129"/>
        <v>0.09</v>
      </c>
      <c r="BB174" s="592">
        <f t="shared" si="130"/>
        <v>100</v>
      </c>
      <c r="BC174" s="591">
        <v>57000000</v>
      </c>
      <c r="BD174" s="591">
        <v>0</v>
      </c>
      <c r="BE174" s="591">
        <v>57000000</v>
      </c>
      <c r="BF174" s="591">
        <v>0</v>
      </c>
      <c r="BG174" s="591">
        <v>0</v>
      </c>
      <c r="BH174" s="591">
        <v>0</v>
      </c>
      <c r="BI174" s="591">
        <v>0</v>
      </c>
      <c r="BJ174" s="591">
        <v>0</v>
      </c>
      <c r="BK174" s="700">
        <v>50000000</v>
      </c>
      <c r="BL174" s="589">
        <v>50000000</v>
      </c>
      <c r="BM174" s="589">
        <v>0</v>
      </c>
      <c r="BN174" s="589">
        <v>0</v>
      </c>
      <c r="BO174" s="589">
        <v>0</v>
      </c>
      <c r="BP174" s="589">
        <v>0</v>
      </c>
      <c r="BQ174" s="589">
        <v>0</v>
      </c>
      <c r="BR174" s="589">
        <v>0</v>
      </c>
      <c r="BS174" s="589">
        <v>0</v>
      </c>
      <c r="BT174" s="589">
        <v>0</v>
      </c>
      <c r="BU174" s="589">
        <v>0</v>
      </c>
      <c r="BV174" s="588">
        <f t="shared" si="131"/>
        <v>6.0000000000000005E-2</v>
      </c>
      <c r="BW174" s="588">
        <v>4000</v>
      </c>
      <c r="BX174" s="623">
        <f t="shared" si="166"/>
        <v>0.36363636363636365</v>
      </c>
      <c r="BY174" s="639">
        <v>600</v>
      </c>
      <c r="BZ174" s="638">
        <v>600</v>
      </c>
      <c r="CA174" s="1018">
        <v>9618</v>
      </c>
      <c r="CB174" s="557">
        <f t="shared" si="167"/>
        <v>9618</v>
      </c>
      <c r="CC174" s="557">
        <f t="shared" si="168"/>
        <v>240.45</v>
      </c>
      <c r="CD174" s="622">
        <f t="shared" si="135"/>
        <v>100</v>
      </c>
      <c r="CE174" s="621">
        <f t="shared" si="136"/>
        <v>6.0000000000000012E-2</v>
      </c>
      <c r="CF174" s="605">
        <f t="shared" si="137"/>
        <v>100</v>
      </c>
      <c r="CG174" s="621">
        <f t="shared" si="138"/>
        <v>0.14427000000000001</v>
      </c>
      <c r="CH174" s="553">
        <f t="shared" si="139"/>
        <v>1.5000000000000001E-2</v>
      </c>
      <c r="CI174" s="552">
        <v>1000</v>
      </c>
      <c r="CJ174" s="551">
        <f t="shared" si="169"/>
        <v>9.0909090909090912E-2</v>
      </c>
      <c r="CK174" s="874">
        <v>0</v>
      </c>
      <c r="CL174" s="533">
        <f t="shared" si="170"/>
        <v>1000</v>
      </c>
      <c r="CM174" s="619">
        <f t="shared" si="171"/>
        <v>0</v>
      </c>
      <c r="CN174" s="619">
        <f t="shared" si="172"/>
        <v>0</v>
      </c>
      <c r="CO174" s="549">
        <f t="shared" si="144"/>
        <v>0</v>
      </c>
      <c r="CP174" s="619">
        <f t="shared" si="145"/>
        <v>0</v>
      </c>
      <c r="CQ174" s="619">
        <f t="shared" si="146"/>
        <v>0</v>
      </c>
      <c r="CR174" s="546">
        <v>132000000</v>
      </c>
      <c r="CS174" s="546">
        <v>132000000</v>
      </c>
      <c r="CT174" s="546">
        <v>0</v>
      </c>
      <c r="CU174" s="546">
        <v>0</v>
      </c>
      <c r="CV174" s="546">
        <v>0</v>
      </c>
      <c r="CW174" s="546">
        <v>0</v>
      </c>
      <c r="CX174" s="546">
        <v>0</v>
      </c>
      <c r="CY174" s="546">
        <v>0</v>
      </c>
      <c r="CZ174" s="618">
        <v>0</v>
      </c>
      <c r="DA174" s="618">
        <v>0</v>
      </c>
      <c r="DB174" s="618">
        <v>0</v>
      </c>
      <c r="DC174" s="618">
        <v>0</v>
      </c>
      <c r="DD174" s="618">
        <v>0</v>
      </c>
      <c r="DE174" s="618">
        <v>0</v>
      </c>
      <c r="DF174" s="618">
        <v>0</v>
      </c>
      <c r="DG174" s="618">
        <v>0</v>
      </c>
      <c r="DH174" s="618">
        <v>0</v>
      </c>
      <c r="DI174" s="618">
        <v>0</v>
      </c>
      <c r="DJ174" s="618">
        <v>0</v>
      </c>
      <c r="DK174" s="1034">
        <f t="shared" si="173"/>
        <v>15709</v>
      </c>
      <c r="DL174" s="543">
        <f t="shared" si="148"/>
        <v>0.16500000000000001</v>
      </c>
      <c r="DM174" s="542">
        <f t="shared" si="149"/>
        <v>142.80909090909091</v>
      </c>
      <c r="DN174" s="594">
        <f t="shared" si="150"/>
        <v>100</v>
      </c>
      <c r="DO174" s="540">
        <f t="shared" si="151"/>
        <v>0.16500000000000001</v>
      </c>
      <c r="DP174" s="597">
        <f>+IF(((DN174*Q174)/100)&lt;Q174, ((DN174*Q174)/100),Q174)</f>
        <v>0.16500000000000001</v>
      </c>
      <c r="DQ174" s="538">
        <f t="shared" si="152"/>
        <v>0.16500000000000001</v>
      </c>
      <c r="DR174" s="617">
        <f t="shared" si="153"/>
        <v>1</v>
      </c>
      <c r="DS174" s="616">
        <f t="shared" si="154"/>
        <v>0</v>
      </c>
      <c r="DT174" s="259">
        <v>202</v>
      </c>
      <c r="DU174" s="260" t="s">
        <v>279</v>
      </c>
      <c r="DV174" s="259"/>
      <c r="DW174" s="260" t="s">
        <v>242</v>
      </c>
      <c r="DX174" s="259"/>
      <c r="DY174" s="259"/>
      <c r="DZ174" s="259"/>
      <c r="EA174" s="987"/>
      <c r="EB174" s="1041" t="s">
        <v>2511</v>
      </c>
      <c r="EC174" s="802">
        <v>132000000</v>
      </c>
      <c r="EE174" s="1047"/>
    </row>
    <row r="175" spans="4:135" s="534" customFormat="1" ht="114.75" hidden="1" x14ac:dyDescent="0.3">
      <c r="D175" s="783">
        <v>172</v>
      </c>
      <c r="E175" s="799">
        <v>216</v>
      </c>
      <c r="F175" s="787" t="s">
        <v>200</v>
      </c>
      <c r="G175" s="787" t="s">
        <v>7</v>
      </c>
      <c r="H175" s="788" t="s">
        <v>2224</v>
      </c>
      <c r="I175" s="712" t="s">
        <v>656</v>
      </c>
      <c r="J175" s="573" t="s">
        <v>661</v>
      </c>
      <c r="K175" s="573" t="s">
        <v>662</v>
      </c>
      <c r="L175" s="702" t="s">
        <v>1682</v>
      </c>
      <c r="M175" s="570" t="s">
        <v>2017</v>
      </c>
      <c r="N175" s="570">
        <v>2000</v>
      </c>
      <c r="O175" s="570">
        <f>+N175+P175</f>
        <v>7000</v>
      </c>
      <c r="P175" s="569">
        <v>5000</v>
      </c>
      <c r="Q175" s="628">
        <v>0.16500000000000001</v>
      </c>
      <c r="R175" s="580">
        <f t="shared" si="118"/>
        <v>1.221E-2</v>
      </c>
      <c r="S175" s="708">
        <v>370</v>
      </c>
      <c r="T175" s="625">
        <f t="shared" si="160"/>
        <v>7.3999999999999996E-2</v>
      </c>
      <c r="U175" s="992">
        <v>370</v>
      </c>
      <c r="V175" s="626">
        <f t="shared" si="161"/>
        <v>370</v>
      </c>
      <c r="W175" s="594">
        <f t="shared" si="162"/>
        <v>100</v>
      </c>
      <c r="X175" s="594">
        <f t="shared" si="122"/>
        <v>100</v>
      </c>
      <c r="Y175" s="594">
        <f t="shared" si="155"/>
        <v>1.221E-2</v>
      </c>
      <c r="Z175" s="594">
        <f t="shared" si="123"/>
        <v>100</v>
      </c>
      <c r="AA175" s="546">
        <v>274000000</v>
      </c>
      <c r="AB175" s="546">
        <v>134000000</v>
      </c>
      <c r="AC175" s="546">
        <v>0</v>
      </c>
      <c r="AD175" s="546">
        <v>0</v>
      </c>
      <c r="AE175" s="546">
        <v>0</v>
      </c>
      <c r="AF175" s="546">
        <v>0</v>
      </c>
      <c r="AG175" s="546">
        <v>0</v>
      </c>
      <c r="AH175" s="546">
        <v>140000000</v>
      </c>
      <c r="AI175" s="546">
        <v>144750000</v>
      </c>
      <c r="AJ175" s="546">
        <v>144750000</v>
      </c>
      <c r="AK175" s="546">
        <v>0</v>
      </c>
      <c r="AL175" s="546">
        <v>0</v>
      </c>
      <c r="AM175" s="546">
        <v>0</v>
      </c>
      <c r="AN175" s="546">
        <v>0</v>
      </c>
      <c r="AO175" s="546">
        <v>0</v>
      </c>
      <c r="AP175" s="546">
        <v>0</v>
      </c>
      <c r="AQ175" s="546">
        <v>0</v>
      </c>
      <c r="AR175" s="546">
        <v>210000000</v>
      </c>
      <c r="AS175" s="546" t="s">
        <v>2238</v>
      </c>
      <c r="AT175" s="570">
        <f t="shared" si="124"/>
        <v>3.993E-2</v>
      </c>
      <c r="AU175" s="570">
        <v>1210</v>
      </c>
      <c r="AV175" s="625">
        <f t="shared" si="163"/>
        <v>0.24199999999999999</v>
      </c>
      <c r="AW175" s="1003">
        <v>500</v>
      </c>
      <c r="AX175" s="604">
        <f t="shared" si="164"/>
        <v>500</v>
      </c>
      <c r="AY175" s="604">
        <f t="shared" si="165"/>
        <v>41.32231404958678</v>
      </c>
      <c r="AZ175" s="604">
        <f t="shared" si="128"/>
        <v>41.32231404958678</v>
      </c>
      <c r="BA175" s="592">
        <f t="shared" si="129"/>
        <v>1.6500000000000001E-2</v>
      </c>
      <c r="BB175" s="592">
        <f t="shared" si="130"/>
        <v>41.32231404958678</v>
      </c>
      <c r="BC175" s="591">
        <v>104000000</v>
      </c>
      <c r="BD175" s="591">
        <v>0</v>
      </c>
      <c r="BE175" s="591">
        <v>104000000</v>
      </c>
      <c r="BF175" s="591">
        <v>0</v>
      </c>
      <c r="BG175" s="591">
        <v>0</v>
      </c>
      <c r="BH175" s="591">
        <v>0</v>
      </c>
      <c r="BI175" s="591">
        <v>0</v>
      </c>
      <c r="BJ175" s="591">
        <v>0</v>
      </c>
      <c r="BK175" s="700">
        <v>60000000</v>
      </c>
      <c r="BL175" s="589">
        <v>60000000</v>
      </c>
      <c r="BM175" s="589">
        <v>0</v>
      </c>
      <c r="BN175" s="589">
        <v>0</v>
      </c>
      <c r="BO175" s="589">
        <v>0</v>
      </c>
      <c r="BP175" s="589">
        <v>0</v>
      </c>
      <c r="BQ175" s="589">
        <v>0</v>
      </c>
      <c r="BR175" s="589">
        <v>0</v>
      </c>
      <c r="BS175" s="589">
        <v>0</v>
      </c>
      <c r="BT175" s="589">
        <v>0</v>
      </c>
      <c r="BU175" s="589">
        <v>0</v>
      </c>
      <c r="BV175" s="588">
        <f t="shared" si="131"/>
        <v>5.6430000000000008E-2</v>
      </c>
      <c r="BW175" s="588">
        <v>1710</v>
      </c>
      <c r="BX175" s="623">
        <f t="shared" si="166"/>
        <v>0.34200000000000003</v>
      </c>
      <c r="BY175" s="639">
        <v>200</v>
      </c>
      <c r="BZ175" s="638">
        <v>200</v>
      </c>
      <c r="CA175" s="1018">
        <v>1646</v>
      </c>
      <c r="CB175" s="557">
        <f t="shared" si="167"/>
        <v>1646</v>
      </c>
      <c r="CC175" s="557">
        <f t="shared" si="168"/>
        <v>96.257309941520461</v>
      </c>
      <c r="CD175" s="622">
        <f t="shared" si="135"/>
        <v>96.257309941520461</v>
      </c>
      <c r="CE175" s="621">
        <f t="shared" si="136"/>
        <v>5.4317999999999998E-2</v>
      </c>
      <c r="CF175" s="605">
        <f t="shared" si="137"/>
        <v>96.257309941520461</v>
      </c>
      <c r="CG175" s="621">
        <f t="shared" si="138"/>
        <v>5.4317999999999998E-2</v>
      </c>
      <c r="CH175" s="553">
        <f t="shared" si="139"/>
        <v>5.6430000000000008E-2</v>
      </c>
      <c r="CI175" s="552">
        <v>1710</v>
      </c>
      <c r="CJ175" s="551">
        <f t="shared" si="169"/>
        <v>0.34200000000000003</v>
      </c>
      <c r="CK175" s="874">
        <v>1500</v>
      </c>
      <c r="CL175" s="533">
        <f t="shared" si="170"/>
        <v>210</v>
      </c>
      <c r="CM175" s="619">
        <f t="shared" si="171"/>
        <v>1500</v>
      </c>
      <c r="CN175" s="619">
        <f t="shared" si="172"/>
        <v>87.719298245614041</v>
      </c>
      <c r="CO175" s="549">
        <f t="shared" si="144"/>
        <v>87.719298245614041</v>
      </c>
      <c r="CP175" s="619">
        <f t="shared" si="145"/>
        <v>4.9500000000000009E-2</v>
      </c>
      <c r="CQ175" s="619">
        <f t="shared" si="146"/>
        <v>4.9500000000000009E-2</v>
      </c>
      <c r="CR175" s="546">
        <v>240000000</v>
      </c>
      <c r="CS175" s="546">
        <v>240000000</v>
      </c>
      <c r="CT175" s="546">
        <v>0</v>
      </c>
      <c r="CU175" s="546">
        <v>0</v>
      </c>
      <c r="CV175" s="546">
        <v>0</v>
      </c>
      <c r="CW175" s="546">
        <v>0</v>
      </c>
      <c r="CX175" s="546">
        <v>0</v>
      </c>
      <c r="CY175" s="546">
        <v>0</v>
      </c>
      <c r="CZ175" s="618">
        <v>0</v>
      </c>
      <c r="DA175" s="618">
        <v>0</v>
      </c>
      <c r="DB175" s="618">
        <v>0</v>
      </c>
      <c r="DC175" s="618">
        <v>0</v>
      </c>
      <c r="DD175" s="618">
        <v>0</v>
      </c>
      <c r="DE175" s="618">
        <v>0</v>
      </c>
      <c r="DF175" s="618">
        <v>0</v>
      </c>
      <c r="DG175" s="618">
        <v>0</v>
      </c>
      <c r="DH175" s="618">
        <v>0</v>
      </c>
      <c r="DI175" s="618">
        <v>0</v>
      </c>
      <c r="DJ175" s="618">
        <v>0</v>
      </c>
      <c r="DK175" s="1034">
        <f t="shared" si="173"/>
        <v>4016</v>
      </c>
      <c r="DL175" s="543">
        <f t="shared" si="148"/>
        <v>0.16500000000000001</v>
      </c>
      <c r="DM175" s="542">
        <f t="shared" si="149"/>
        <v>80.319999999999993</v>
      </c>
      <c r="DN175" s="594">
        <f t="shared" si="150"/>
        <v>80.319999999999993</v>
      </c>
      <c r="DO175" s="540">
        <f t="shared" si="151"/>
        <v>0.13252799999999998</v>
      </c>
      <c r="DP175" s="597">
        <f>+IF(((DN175*Q175)/100)&lt;Q175, ((DN175*Q175)/100),Q175)</f>
        <v>0.13252799999999998</v>
      </c>
      <c r="DQ175" s="538">
        <f t="shared" si="152"/>
        <v>0.13252799999999998</v>
      </c>
      <c r="DR175" s="617">
        <f t="shared" si="153"/>
        <v>1</v>
      </c>
      <c r="DS175" s="616">
        <f t="shared" si="154"/>
        <v>0</v>
      </c>
      <c r="DT175" s="259">
        <v>200</v>
      </c>
      <c r="DU175" s="260" t="s">
        <v>556</v>
      </c>
      <c r="DV175" s="259">
        <v>202</v>
      </c>
      <c r="DW175" s="260" t="s">
        <v>279</v>
      </c>
      <c r="DX175" s="259"/>
      <c r="DY175" s="259"/>
      <c r="DZ175" s="259"/>
      <c r="EA175" s="987"/>
      <c r="EB175" s="1041" t="s">
        <v>2512</v>
      </c>
      <c r="EC175" s="802">
        <v>240000000</v>
      </c>
      <c r="EE175" s="1047"/>
    </row>
    <row r="176" spans="4:135" s="534" customFormat="1" ht="63.75" hidden="1" x14ac:dyDescent="0.3">
      <c r="D176" s="783">
        <v>173</v>
      </c>
      <c r="E176" s="799">
        <v>217</v>
      </c>
      <c r="F176" s="787" t="s">
        <v>200</v>
      </c>
      <c r="G176" s="787" t="s">
        <v>9</v>
      </c>
      <c r="H176" s="788" t="s">
        <v>2224</v>
      </c>
      <c r="I176" s="712" t="s">
        <v>656</v>
      </c>
      <c r="J176" s="573" t="s">
        <v>663</v>
      </c>
      <c r="K176" s="573" t="s">
        <v>664</v>
      </c>
      <c r="L176" s="701" t="s">
        <v>2207</v>
      </c>
      <c r="M176" s="570" t="s">
        <v>2032</v>
      </c>
      <c r="N176" s="570">
        <v>0</v>
      </c>
      <c r="O176" s="570">
        <f>+P176</f>
        <v>100</v>
      </c>
      <c r="P176" s="569">
        <v>100</v>
      </c>
      <c r="Q176" s="628">
        <v>0.16500000000000001</v>
      </c>
      <c r="R176" s="580">
        <f t="shared" si="118"/>
        <v>4.1250000000000002E-2</v>
      </c>
      <c r="S176" s="708">
        <v>100</v>
      </c>
      <c r="T176" s="625">
        <f t="shared" si="160"/>
        <v>0.25</v>
      </c>
      <c r="U176" s="992">
        <v>100</v>
      </c>
      <c r="V176" s="626">
        <f t="shared" si="161"/>
        <v>25</v>
      </c>
      <c r="W176" s="594">
        <f t="shared" si="162"/>
        <v>100</v>
      </c>
      <c r="X176" s="594">
        <f t="shared" si="122"/>
        <v>100</v>
      </c>
      <c r="Y176" s="594">
        <f t="shared" si="155"/>
        <v>4.1250000000000002E-2</v>
      </c>
      <c r="Z176" s="594">
        <f t="shared" si="123"/>
        <v>100</v>
      </c>
      <c r="AA176" s="546">
        <v>0</v>
      </c>
      <c r="AB176" s="546">
        <v>0</v>
      </c>
      <c r="AC176" s="546">
        <v>0</v>
      </c>
      <c r="AD176" s="546">
        <v>0</v>
      </c>
      <c r="AE176" s="546">
        <v>0</v>
      </c>
      <c r="AF176" s="546">
        <v>0</v>
      </c>
      <c r="AG176" s="546">
        <v>0</v>
      </c>
      <c r="AH176" s="546">
        <v>0</v>
      </c>
      <c r="AI176" s="546">
        <v>0</v>
      </c>
      <c r="AJ176" s="546">
        <v>0</v>
      </c>
      <c r="AK176" s="546">
        <v>0</v>
      </c>
      <c r="AL176" s="546">
        <v>0</v>
      </c>
      <c r="AM176" s="546">
        <v>0</v>
      </c>
      <c r="AN176" s="546">
        <v>0</v>
      </c>
      <c r="AO176" s="546">
        <v>0</v>
      </c>
      <c r="AP176" s="546">
        <v>0</v>
      </c>
      <c r="AQ176" s="546">
        <v>0</v>
      </c>
      <c r="AR176" s="546">
        <v>0</v>
      </c>
      <c r="AS176" s="546">
        <v>0</v>
      </c>
      <c r="AT176" s="570">
        <f t="shared" si="124"/>
        <v>4.1250000000000002E-2</v>
      </c>
      <c r="AU176" s="570">
        <v>100</v>
      </c>
      <c r="AV176" s="625">
        <f t="shared" si="163"/>
        <v>0.25</v>
      </c>
      <c r="AW176" s="1003">
        <v>100</v>
      </c>
      <c r="AX176" s="604">
        <f t="shared" si="164"/>
        <v>25</v>
      </c>
      <c r="AY176" s="604">
        <f t="shared" si="165"/>
        <v>100</v>
      </c>
      <c r="AZ176" s="604">
        <f t="shared" si="128"/>
        <v>100</v>
      </c>
      <c r="BA176" s="592">
        <f t="shared" si="129"/>
        <v>4.1250000000000002E-2</v>
      </c>
      <c r="BB176" s="592">
        <f t="shared" si="130"/>
        <v>100</v>
      </c>
      <c r="BC176" s="591">
        <v>0</v>
      </c>
      <c r="BD176" s="591">
        <v>0</v>
      </c>
      <c r="BE176" s="591">
        <v>0</v>
      </c>
      <c r="BF176" s="591">
        <v>0</v>
      </c>
      <c r="BG176" s="591">
        <v>0</v>
      </c>
      <c r="BH176" s="591">
        <v>0</v>
      </c>
      <c r="BI176" s="591">
        <v>0</v>
      </c>
      <c r="BJ176" s="591">
        <v>0</v>
      </c>
      <c r="BK176" s="700">
        <v>0</v>
      </c>
      <c r="BL176" s="589">
        <v>0</v>
      </c>
      <c r="BM176" s="589">
        <v>0</v>
      </c>
      <c r="BN176" s="589">
        <v>0</v>
      </c>
      <c r="BO176" s="589">
        <v>0</v>
      </c>
      <c r="BP176" s="589">
        <v>0</v>
      </c>
      <c r="BQ176" s="589">
        <v>0</v>
      </c>
      <c r="BR176" s="589">
        <v>0</v>
      </c>
      <c r="BS176" s="589">
        <v>0</v>
      </c>
      <c r="BT176" s="589">
        <v>0</v>
      </c>
      <c r="BU176" s="589">
        <v>0</v>
      </c>
      <c r="BV176" s="588">
        <f t="shared" si="131"/>
        <v>4.1250000000000002E-2</v>
      </c>
      <c r="BW176" s="588">
        <v>100</v>
      </c>
      <c r="BX176" s="623">
        <f t="shared" si="166"/>
        <v>0.25</v>
      </c>
      <c r="BY176" s="607">
        <v>116</v>
      </c>
      <c r="BZ176" s="629">
        <v>100</v>
      </c>
      <c r="CA176" s="1017">
        <v>100</v>
      </c>
      <c r="CB176" s="557">
        <f t="shared" si="167"/>
        <v>25</v>
      </c>
      <c r="CC176" s="557">
        <f t="shared" si="168"/>
        <v>100</v>
      </c>
      <c r="CD176" s="622">
        <f t="shared" si="135"/>
        <v>100</v>
      </c>
      <c r="CE176" s="621">
        <f t="shared" si="136"/>
        <v>4.1250000000000002E-2</v>
      </c>
      <c r="CF176" s="605">
        <f t="shared" si="137"/>
        <v>100</v>
      </c>
      <c r="CG176" s="621">
        <f t="shared" si="138"/>
        <v>4.1250000000000002E-2</v>
      </c>
      <c r="CH176" s="553">
        <f t="shared" si="139"/>
        <v>4.1250000000000002E-2</v>
      </c>
      <c r="CI176" s="552">
        <v>0</v>
      </c>
      <c r="CJ176" s="551">
        <f t="shared" si="169"/>
        <v>0.25</v>
      </c>
      <c r="CK176" s="871">
        <v>0</v>
      </c>
      <c r="CL176" s="533">
        <f t="shared" si="170"/>
        <v>0</v>
      </c>
      <c r="CM176" s="619">
        <f t="shared" si="171"/>
        <v>0</v>
      </c>
      <c r="CN176" s="619">
        <f t="shared" si="172"/>
        <v>0</v>
      </c>
      <c r="CO176" s="619">
        <f t="shared" si="144"/>
        <v>0</v>
      </c>
      <c r="CP176" s="619">
        <f t="shared" si="145"/>
        <v>0</v>
      </c>
      <c r="CQ176" s="619">
        <f t="shared" si="146"/>
        <v>0</v>
      </c>
      <c r="CR176" s="546">
        <v>0</v>
      </c>
      <c r="CS176" s="546">
        <v>0</v>
      </c>
      <c r="CT176" s="546">
        <v>0</v>
      </c>
      <c r="CU176" s="546">
        <v>0</v>
      </c>
      <c r="CV176" s="546">
        <v>0</v>
      </c>
      <c r="CW176" s="546">
        <v>0</v>
      </c>
      <c r="CX176" s="546">
        <v>0</v>
      </c>
      <c r="CY176" s="546">
        <v>0</v>
      </c>
      <c r="CZ176" s="618">
        <v>0</v>
      </c>
      <c r="DA176" s="618">
        <v>0</v>
      </c>
      <c r="DB176" s="618">
        <v>0</v>
      </c>
      <c r="DC176" s="618">
        <v>0</v>
      </c>
      <c r="DD176" s="618">
        <v>0</v>
      </c>
      <c r="DE176" s="618">
        <v>0</v>
      </c>
      <c r="DF176" s="618">
        <v>0</v>
      </c>
      <c r="DG176" s="618">
        <v>0</v>
      </c>
      <c r="DH176" s="618">
        <v>0</v>
      </c>
      <c r="DI176" s="618">
        <v>0</v>
      </c>
      <c r="DJ176" s="618">
        <v>0</v>
      </c>
      <c r="DK176" s="1034">
        <f t="shared" si="173"/>
        <v>75</v>
      </c>
      <c r="DL176" s="543">
        <f t="shared" si="148"/>
        <v>0.16500000000000001</v>
      </c>
      <c r="DM176" s="542">
        <f t="shared" si="149"/>
        <v>75</v>
      </c>
      <c r="DN176" s="594">
        <f t="shared" si="150"/>
        <v>75</v>
      </c>
      <c r="DO176" s="540">
        <f t="shared" si="151"/>
        <v>0.12375</v>
      </c>
      <c r="DP176" s="597">
        <f>+IF(M176="M",DO176,0)</f>
        <v>0.12375</v>
      </c>
      <c r="DQ176" s="538">
        <f t="shared" si="152"/>
        <v>0.12375</v>
      </c>
      <c r="DR176" s="617">
        <f t="shared" si="153"/>
        <v>1</v>
      </c>
      <c r="DS176" s="616">
        <f t="shared" si="154"/>
        <v>0</v>
      </c>
      <c r="DT176" s="259">
        <v>202</v>
      </c>
      <c r="DU176" s="260" t="s">
        <v>279</v>
      </c>
      <c r="DV176" s="259"/>
      <c r="DW176" s="260" t="s">
        <v>242</v>
      </c>
      <c r="DX176" s="259"/>
      <c r="DY176" s="259"/>
      <c r="DZ176" s="259"/>
      <c r="EA176" s="987"/>
      <c r="EB176" s="1041" t="s">
        <v>2513</v>
      </c>
      <c r="EC176" s="802">
        <v>0</v>
      </c>
      <c r="EE176" s="1047"/>
    </row>
    <row r="177" spans="4:135" s="534" customFormat="1" ht="51" hidden="1" x14ac:dyDescent="0.3">
      <c r="D177" s="783">
        <v>174</v>
      </c>
      <c r="E177" s="799">
        <v>218</v>
      </c>
      <c r="F177" s="787" t="s">
        <v>200</v>
      </c>
      <c r="G177" s="739" t="s">
        <v>10</v>
      </c>
      <c r="H177" s="788" t="s">
        <v>2224</v>
      </c>
      <c r="I177" s="712" t="s">
        <v>656</v>
      </c>
      <c r="J177" s="573" t="s">
        <v>665</v>
      </c>
      <c r="K177" s="573" t="s">
        <v>666</v>
      </c>
      <c r="L177" s="701" t="s">
        <v>2237</v>
      </c>
      <c r="M177" s="571" t="s">
        <v>2017</v>
      </c>
      <c r="N177" s="571">
        <v>0</v>
      </c>
      <c r="O177" s="570">
        <f>+N177+P177</f>
        <v>1</v>
      </c>
      <c r="P177" s="569">
        <v>1</v>
      </c>
      <c r="Q177" s="628">
        <v>8.8999999999999996E-2</v>
      </c>
      <c r="R177" s="580">
        <f t="shared" si="118"/>
        <v>1.78E-2</v>
      </c>
      <c r="S177" s="627">
        <v>0.2</v>
      </c>
      <c r="T177" s="625">
        <f t="shared" si="160"/>
        <v>0.2</v>
      </c>
      <c r="U177" s="992">
        <v>0.2</v>
      </c>
      <c r="V177" s="626">
        <f t="shared" si="161"/>
        <v>0.2</v>
      </c>
      <c r="W177" s="594">
        <f t="shared" si="162"/>
        <v>100</v>
      </c>
      <c r="X177" s="594">
        <f t="shared" si="122"/>
        <v>100</v>
      </c>
      <c r="Y177" s="594">
        <f t="shared" si="155"/>
        <v>1.78E-2</v>
      </c>
      <c r="Z177" s="594">
        <f t="shared" si="123"/>
        <v>100</v>
      </c>
      <c r="AA177" s="593">
        <v>271798000</v>
      </c>
      <c r="AB177" s="593">
        <v>0</v>
      </c>
      <c r="AC177" s="593">
        <v>0</v>
      </c>
      <c r="AD177" s="593">
        <v>271798000</v>
      </c>
      <c r="AE177" s="593">
        <v>0</v>
      </c>
      <c r="AF177" s="593">
        <v>0</v>
      </c>
      <c r="AG177" s="593">
        <v>0</v>
      </c>
      <c r="AH177" s="593">
        <v>0</v>
      </c>
      <c r="AI177" s="593">
        <v>226346000</v>
      </c>
      <c r="AJ177" s="593">
        <v>0</v>
      </c>
      <c r="AK177" s="593">
        <v>0</v>
      </c>
      <c r="AL177" s="593">
        <v>0</v>
      </c>
      <c r="AM177" s="593">
        <v>0</v>
      </c>
      <c r="AN177" s="593">
        <v>0</v>
      </c>
      <c r="AO177" s="593">
        <v>0</v>
      </c>
      <c r="AP177" s="593">
        <v>226346000</v>
      </c>
      <c r="AQ177" s="593">
        <v>0</v>
      </c>
      <c r="AR177" s="593">
        <v>0</v>
      </c>
      <c r="AS177" s="593">
        <v>0</v>
      </c>
      <c r="AT177" s="570">
        <f t="shared" si="124"/>
        <v>2.6699999999999998E-2</v>
      </c>
      <c r="AU177" s="571">
        <v>0.3</v>
      </c>
      <c r="AV177" s="625">
        <f t="shared" si="163"/>
        <v>0.3</v>
      </c>
      <c r="AW177" s="1003">
        <v>0.3</v>
      </c>
      <c r="AX177" s="604">
        <f t="shared" si="164"/>
        <v>0.3</v>
      </c>
      <c r="AY177" s="604">
        <f t="shared" si="165"/>
        <v>100</v>
      </c>
      <c r="AZ177" s="604">
        <f t="shared" si="128"/>
        <v>100</v>
      </c>
      <c r="BA177" s="592">
        <f t="shared" si="129"/>
        <v>2.6699999999999998E-2</v>
      </c>
      <c r="BB177" s="592">
        <f t="shared" si="130"/>
        <v>100</v>
      </c>
      <c r="BC177" s="591">
        <v>90000000</v>
      </c>
      <c r="BD177" s="591">
        <v>0</v>
      </c>
      <c r="BE177" s="591">
        <v>90000000</v>
      </c>
      <c r="BF177" s="591">
        <v>0</v>
      </c>
      <c r="BG177" s="591">
        <v>0</v>
      </c>
      <c r="BH177" s="591">
        <v>0</v>
      </c>
      <c r="BI177" s="591">
        <v>0</v>
      </c>
      <c r="BJ177" s="591">
        <v>0</v>
      </c>
      <c r="BK177" s="700">
        <v>65552316</v>
      </c>
      <c r="BL177" s="589">
        <v>0</v>
      </c>
      <c r="BM177" s="589">
        <v>0</v>
      </c>
      <c r="BN177" s="589">
        <v>65552316</v>
      </c>
      <c r="BO177" s="589">
        <v>0</v>
      </c>
      <c r="BP177" s="589">
        <v>0</v>
      </c>
      <c r="BQ177" s="589">
        <v>0</v>
      </c>
      <c r="BR177" s="589">
        <v>0</v>
      </c>
      <c r="BS177" s="589">
        <v>0</v>
      </c>
      <c r="BT177" s="589">
        <v>0</v>
      </c>
      <c r="BU177" s="589">
        <v>0</v>
      </c>
      <c r="BV177" s="588">
        <f t="shared" si="131"/>
        <v>2.6699999999999998E-2</v>
      </c>
      <c r="BW177" s="588">
        <v>0.3</v>
      </c>
      <c r="BX177" s="623">
        <f t="shared" si="166"/>
        <v>0.3</v>
      </c>
      <c r="BY177" s="607">
        <v>5.000000074505806E-2</v>
      </c>
      <c r="BZ177" s="629">
        <v>0.23000000417232513</v>
      </c>
      <c r="CA177" s="1017">
        <v>0.30000001192092896</v>
      </c>
      <c r="CB177" s="557">
        <f t="shared" si="167"/>
        <v>0.30000001192092896</v>
      </c>
      <c r="CC177" s="557">
        <f t="shared" si="168"/>
        <v>100.00000397364299</v>
      </c>
      <c r="CD177" s="622">
        <f t="shared" si="135"/>
        <v>100</v>
      </c>
      <c r="CE177" s="621">
        <f t="shared" si="136"/>
        <v>2.6699999999999998E-2</v>
      </c>
      <c r="CF177" s="605">
        <f t="shared" si="137"/>
        <v>100</v>
      </c>
      <c r="CG177" s="621">
        <f t="shared" si="138"/>
        <v>2.6700001060962677E-2</v>
      </c>
      <c r="CH177" s="553">
        <f t="shared" si="139"/>
        <v>1.78E-2</v>
      </c>
      <c r="CI177" s="552">
        <v>0.2</v>
      </c>
      <c r="CJ177" s="551">
        <f t="shared" si="169"/>
        <v>0.2</v>
      </c>
      <c r="CK177" s="874">
        <v>0.10000000149011612</v>
      </c>
      <c r="CL177" s="533">
        <f t="shared" si="170"/>
        <v>9.9999998509883892E-2</v>
      </c>
      <c r="CM177" s="619">
        <f t="shared" si="171"/>
        <v>0.10000000149011612</v>
      </c>
      <c r="CN177" s="619">
        <f t="shared" si="172"/>
        <v>50.00000074505806</v>
      </c>
      <c r="CO177" s="549">
        <f t="shared" si="144"/>
        <v>50.00000074505806</v>
      </c>
      <c r="CP177" s="619">
        <f t="shared" si="145"/>
        <v>8.9000001326203348E-3</v>
      </c>
      <c r="CQ177" s="619">
        <f t="shared" si="146"/>
        <v>8.9000001326203348E-3</v>
      </c>
      <c r="CR177" s="546">
        <v>0</v>
      </c>
      <c r="CS177" s="546">
        <v>0</v>
      </c>
      <c r="CT177" s="546">
        <v>0</v>
      </c>
      <c r="CU177" s="546">
        <v>0</v>
      </c>
      <c r="CV177" s="546">
        <v>0</v>
      </c>
      <c r="CW177" s="546">
        <v>0</v>
      </c>
      <c r="CX177" s="546">
        <v>0</v>
      </c>
      <c r="CY177" s="546">
        <v>0</v>
      </c>
      <c r="CZ177" s="618">
        <v>0</v>
      </c>
      <c r="DA177" s="618">
        <v>0</v>
      </c>
      <c r="DB177" s="618">
        <v>0</v>
      </c>
      <c r="DC177" s="618">
        <v>0</v>
      </c>
      <c r="DD177" s="618">
        <v>0</v>
      </c>
      <c r="DE177" s="618">
        <v>0</v>
      </c>
      <c r="DF177" s="618">
        <v>0</v>
      </c>
      <c r="DG177" s="618">
        <v>0</v>
      </c>
      <c r="DH177" s="618">
        <v>0</v>
      </c>
      <c r="DI177" s="618">
        <v>0</v>
      </c>
      <c r="DJ177" s="618">
        <v>0</v>
      </c>
      <c r="DK177" s="1034">
        <f t="shared" si="173"/>
        <v>0.90000001341104507</v>
      </c>
      <c r="DL177" s="543">
        <f t="shared" si="148"/>
        <v>8.8999999999999996E-2</v>
      </c>
      <c r="DM177" s="542">
        <f t="shared" si="149"/>
        <v>90.000001341104507</v>
      </c>
      <c r="DN177" s="594">
        <f t="shared" si="150"/>
        <v>90.000001341104507</v>
      </c>
      <c r="DO177" s="540">
        <f t="shared" si="151"/>
        <v>8.0100001193583015E-2</v>
      </c>
      <c r="DP177" s="597">
        <f>+IF(((DN177*Q177)/100)&lt;Q177, ((DN177*Q177)/100),Q177)</f>
        <v>8.0100001193583015E-2</v>
      </c>
      <c r="DQ177" s="538">
        <f t="shared" si="152"/>
        <v>8.0100001193583015E-2</v>
      </c>
      <c r="DR177" s="617">
        <f t="shared" si="153"/>
        <v>1</v>
      </c>
      <c r="DS177" s="616">
        <f t="shared" si="154"/>
        <v>0</v>
      </c>
      <c r="DT177" s="259">
        <v>202</v>
      </c>
      <c r="DU177" s="260" t="s">
        <v>279</v>
      </c>
      <c r="DV177" s="259"/>
      <c r="DW177" s="260" t="s">
        <v>242</v>
      </c>
      <c r="DX177" s="259"/>
      <c r="DY177" s="259"/>
      <c r="DZ177" s="259"/>
      <c r="EA177" s="987"/>
      <c r="EB177" s="1041" t="s">
        <v>2514</v>
      </c>
      <c r="EC177" s="802">
        <v>90000000</v>
      </c>
      <c r="EE177" s="1047"/>
    </row>
    <row r="178" spans="4:135" s="534" customFormat="1" ht="84" hidden="1" x14ac:dyDescent="0.3">
      <c r="D178" s="783">
        <v>175</v>
      </c>
      <c r="E178" s="799">
        <v>219</v>
      </c>
      <c r="F178" s="787" t="s">
        <v>200</v>
      </c>
      <c r="G178" s="739" t="s">
        <v>10</v>
      </c>
      <c r="H178" s="788" t="s">
        <v>2224</v>
      </c>
      <c r="I178" s="712" t="s">
        <v>656</v>
      </c>
      <c r="J178" s="573" t="s">
        <v>667</v>
      </c>
      <c r="K178" s="573" t="s">
        <v>668</v>
      </c>
      <c r="L178" s="701" t="s">
        <v>1582</v>
      </c>
      <c r="M178" s="571" t="s">
        <v>2017</v>
      </c>
      <c r="N178" s="571">
        <v>12</v>
      </c>
      <c r="O178" s="570">
        <f>+N178+P178</f>
        <v>22</v>
      </c>
      <c r="P178" s="569">
        <v>10</v>
      </c>
      <c r="Q178" s="628">
        <v>8.8999999999999996E-2</v>
      </c>
      <c r="R178" s="580">
        <f t="shared" si="118"/>
        <v>1.78E-2</v>
      </c>
      <c r="S178" s="627">
        <v>2</v>
      </c>
      <c r="T178" s="625">
        <f t="shared" si="160"/>
        <v>0.2</v>
      </c>
      <c r="U178" s="992">
        <v>34</v>
      </c>
      <c r="V178" s="626">
        <f t="shared" si="161"/>
        <v>34</v>
      </c>
      <c r="W178" s="594">
        <f t="shared" si="162"/>
        <v>1700</v>
      </c>
      <c r="X178" s="594">
        <f t="shared" si="122"/>
        <v>100</v>
      </c>
      <c r="Y178" s="594">
        <f t="shared" si="155"/>
        <v>1.78E-2</v>
      </c>
      <c r="Z178" s="594">
        <f t="shared" si="123"/>
        <v>100</v>
      </c>
      <c r="AA178" s="593">
        <v>0</v>
      </c>
      <c r="AB178" s="593">
        <v>0</v>
      </c>
      <c r="AC178" s="593">
        <v>0</v>
      </c>
      <c r="AD178" s="593">
        <v>0</v>
      </c>
      <c r="AE178" s="593">
        <v>0</v>
      </c>
      <c r="AF178" s="593">
        <v>0</v>
      </c>
      <c r="AG178" s="593">
        <v>0</v>
      </c>
      <c r="AH178" s="593">
        <v>0</v>
      </c>
      <c r="AI178" s="593">
        <v>565864000</v>
      </c>
      <c r="AJ178" s="593">
        <v>0</v>
      </c>
      <c r="AK178" s="593">
        <v>0</v>
      </c>
      <c r="AL178" s="593">
        <v>0</v>
      </c>
      <c r="AM178" s="593">
        <v>0</v>
      </c>
      <c r="AN178" s="593">
        <v>0</v>
      </c>
      <c r="AO178" s="593">
        <v>0</v>
      </c>
      <c r="AP178" s="593">
        <v>565864000</v>
      </c>
      <c r="AQ178" s="593">
        <v>0</v>
      </c>
      <c r="AR178" s="593">
        <v>0</v>
      </c>
      <c r="AS178" s="593">
        <v>0</v>
      </c>
      <c r="AT178" s="570">
        <f t="shared" si="124"/>
        <v>2.6699999999999998E-2</v>
      </c>
      <c r="AU178" s="571">
        <v>3</v>
      </c>
      <c r="AV178" s="625">
        <f t="shared" si="163"/>
        <v>0.3</v>
      </c>
      <c r="AW178" s="1003">
        <v>4</v>
      </c>
      <c r="AX178" s="604">
        <f t="shared" si="164"/>
        <v>4</v>
      </c>
      <c r="AY178" s="604">
        <f t="shared" si="165"/>
        <v>133.33333333333334</v>
      </c>
      <c r="AZ178" s="604">
        <f t="shared" si="128"/>
        <v>100</v>
      </c>
      <c r="BA178" s="592">
        <f t="shared" si="129"/>
        <v>2.6699999999999998E-2</v>
      </c>
      <c r="BB178" s="592">
        <f t="shared" si="130"/>
        <v>100</v>
      </c>
      <c r="BC178" s="591">
        <v>192000000</v>
      </c>
      <c r="BD178" s="591">
        <v>192000000</v>
      </c>
      <c r="BE178" s="591">
        <v>0</v>
      </c>
      <c r="BF178" s="591">
        <v>0</v>
      </c>
      <c r="BG178" s="591">
        <v>0</v>
      </c>
      <c r="BH178" s="591">
        <v>0</v>
      </c>
      <c r="BI178" s="591">
        <v>0</v>
      </c>
      <c r="BJ178" s="591">
        <v>0</v>
      </c>
      <c r="BK178" s="700">
        <v>450313218</v>
      </c>
      <c r="BL178" s="589">
        <v>0</v>
      </c>
      <c r="BM178" s="589">
        <v>200000000</v>
      </c>
      <c r="BN178" s="589">
        <v>250313218</v>
      </c>
      <c r="BO178" s="589">
        <v>0</v>
      </c>
      <c r="BP178" s="589">
        <v>0</v>
      </c>
      <c r="BQ178" s="589">
        <v>0</v>
      </c>
      <c r="BR178" s="589">
        <v>0</v>
      </c>
      <c r="BS178" s="589">
        <v>0</v>
      </c>
      <c r="BT178" s="589">
        <v>0</v>
      </c>
      <c r="BU178" s="589">
        <v>0</v>
      </c>
      <c r="BV178" s="588">
        <f t="shared" si="131"/>
        <v>2.6699999999999998E-2</v>
      </c>
      <c r="BW178" s="588">
        <v>3</v>
      </c>
      <c r="BX178" s="623">
        <f t="shared" si="166"/>
        <v>0.3</v>
      </c>
      <c r="BY178" s="607">
        <v>2.0999999046325684</v>
      </c>
      <c r="BZ178" s="629">
        <v>2.25</v>
      </c>
      <c r="CA178" s="1017">
        <v>3</v>
      </c>
      <c r="CB178" s="557">
        <f t="shared" si="167"/>
        <v>3</v>
      </c>
      <c r="CC178" s="557">
        <f t="shared" si="168"/>
        <v>100</v>
      </c>
      <c r="CD178" s="622">
        <f t="shared" si="135"/>
        <v>100</v>
      </c>
      <c r="CE178" s="621">
        <f t="shared" si="136"/>
        <v>2.6699999999999998E-2</v>
      </c>
      <c r="CF178" s="605">
        <f t="shared" si="137"/>
        <v>100</v>
      </c>
      <c r="CG178" s="621">
        <f t="shared" si="138"/>
        <v>2.6699999999999998E-2</v>
      </c>
      <c r="CH178" s="553">
        <f t="shared" si="139"/>
        <v>1.78E-2</v>
      </c>
      <c r="CI178" s="552">
        <v>2</v>
      </c>
      <c r="CJ178" s="551">
        <f t="shared" si="169"/>
        <v>0.2</v>
      </c>
      <c r="CK178" s="874">
        <v>1</v>
      </c>
      <c r="CL178" s="533">
        <f t="shared" si="170"/>
        <v>1</v>
      </c>
      <c r="CM178" s="619">
        <f t="shared" si="171"/>
        <v>1</v>
      </c>
      <c r="CN178" s="619">
        <f t="shared" si="172"/>
        <v>50</v>
      </c>
      <c r="CO178" s="549">
        <f t="shared" si="144"/>
        <v>50</v>
      </c>
      <c r="CP178" s="619">
        <f t="shared" si="145"/>
        <v>8.8999999999999999E-3</v>
      </c>
      <c r="CQ178" s="619">
        <f t="shared" si="146"/>
        <v>8.8999999999999999E-3</v>
      </c>
      <c r="CR178" s="546">
        <v>192000000</v>
      </c>
      <c r="CS178" s="546">
        <v>0</v>
      </c>
      <c r="CT178" s="546">
        <v>192000000</v>
      </c>
      <c r="CU178" s="546">
        <v>0</v>
      </c>
      <c r="CV178" s="546">
        <v>0</v>
      </c>
      <c r="CW178" s="546">
        <v>0</v>
      </c>
      <c r="CX178" s="546">
        <v>0</v>
      </c>
      <c r="CY178" s="546">
        <v>0</v>
      </c>
      <c r="CZ178" s="618">
        <v>0</v>
      </c>
      <c r="DA178" s="618">
        <v>0</v>
      </c>
      <c r="DB178" s="618">
        <v>0</v>
      </c>
      <c r="DC178" s="618">
        <v>0</v>
      </c>
      <c r="DD178" s="618">
        <v>0</v>
      </c>
      <c r="DE178" s="618">
        <v>0</v>
      </c>
      <c r="DF178" s="618">
        <v>0</v>
      </c>
      <c r="DG178" s="618">
        <v>0</v>
      </c>
      <c r="DH178" s="618">
        <v>0</v>
      </c>
      <c r="DI178" s="618">
        <v>0</v>
      </c>
      <c r="DJ178" s="618">
        <v>0</v>
      </c>
      <c r="DK178" s="1034">
        <f t="shared" si="173"/>
        <v>42</v>
      </c>
      <c r="DL178" s="543">
        <f t="shared" si="148"/>
        <v>8.8999999999999996E-2</v>
      </c>
      <c r="DM178" s="542">
        <f t="shared" si="149"/>
        <v>420</v>
      </c>
      <c r="DN178" s="594">
        <f t="shared" si="150"/>
        <v>100</v>
      </c>
      <c r="DO178" s="540">
        <f t="shared" si="151"/>
        <v>8.900000000000001E-2</v>
      </c>
      <c r="DP178" s="597">
        <f>+IF(((DN178*Q178)/100)&lt;Q178, ((DN178*Q178)/100),Q178)</f>
        <v>8.8999999999999996E-2</v>
      </c>
      <c r="DQ178" s="538">
        <f t="shared" si="152"/>
        <v>8.8999999999999996E-2</v>
      </c>
      <c r="DR178" s="617">
        <f t="shared" si="153"/>
        <v>1</v>
      </c>
      <c r="DS178" s="616">
        <f t="shared" si="154"/>
        <v>0</v>
      </c>
      <c r="DT178" s="259">
        <v>203</v>
      </c>
      <c r="DU178" s="260" t="s">
        <v>278</v>
      </c>
      <c r="DV178" s="259"/>
      <c r="DW178" s="260" t="s">
        <v>242</v>
      </c>
      <c r="DX178" s="259"/>
      <c r="DY178" s="259"/>
      <c r="DZ178" s="259"/>
      <c r="EA178" s="987"/>
      <c r="EB178" s="1041" t="s">
        <v>2515</v>
      </c>
      <c r="EC178" s="802">
        <v>192000000</v>
      </c>
      <c r="EE178" s="1047"/>
    </row>
    <row r="179" spans="4:135" s="534" customFormat="1" ht="168" hidden="1" x14ac:dyDescent="0.3">
      <c r="D179" s="783">
        <v>176</v>
      </c>
      <c r="E179" s="799">
        <v>220</v>
      </c>
      <c r="F179" s="787" t="s">
        <v>200</v>
      </c>
      <c r="G179" s="739" t="s">
        <v>10</v>
      </c>
      <c r="H179" s="788" t="s">
        <v>2224</v>
      </c>
      <c r="I179" s="712" t="s">
        <v>656</v>
      </c>
      <c r="J179" s="573" t="s">
        <v>669</v>
      </c>
      <c r="K179" s="573" t="s">
        <v>670</v>
      </c>
      <c r="L179" s="701" t="s">
        <v>1582</v>
      </c>
      <c r="M179" s="571" t="s">
        <v>2070</v>
      </c>
      <c r="N179" s="571">
        <v>12</v>
      </c>
      <c r="O179" s="571">
        <v>10</v>
      </c>
      <c r="P179" s="569">
        <v>2</v>
      </c>
      <c r="Q179" s="628">
        <v>0.16500000000000001</v>
      </c>
      <c r="R179" s="580">
        <f t="shared" si="118"/>
        <v>4.1250000000000002E-2</v>
      </c>
      <c r="S179" s="654">
        <f>+N179-0.5</f>
        <v>11.5</v>
      </c>
      <c r="T179" s="625">
        <f>IF($M179="M",0.25,IF($M179="R",(N179-S179)/$P179,(IF($P179&gt;0,S179/$P179," "))))</f>
        <v>0.25</v>
      </c>
      <c r="U179" s="992">
        <f>+N179-2.8</f>
        <v>9.1999999999999993</v>
      </c>
      <c r="V179" s="626">
        <f>+IF($M179="I",(U179),IF($M179="M",U179/4, U179))</f>
        <v>9.1999999999999993</v>
      </c>
      <c r="W179" s="594">
        <f>IF(S179=0,0, IF($M179="R",(N179-U179)/(N179-S179)*100,U179*100/S179))</f>
        <v>560.00000000000011</v>
      </c>
      <c r="X179" s="594">
        <f t="shared" si="122"/>
        <v>100</v>
      </c>
      <c r="Y179" s="594">
        <f t="shared" si="155"/>
        <v>4.1250000000000002E-2</v>
      </c>
      <c r="Z179" s="594">
        <f t="shared" si="123"/>
        <v>100</v>
      </c>
      <c r="AA179" s="593">
        <v>1094304000</v>
      </c>
      <c r="AB179" s="593">
        <v>0</v>
      </c>
      <c r="AC179" s="593">
        <v>671000000</v>
      </c>
      <c r="AD179" s="593">
        <v>423304000</v>
      </c>
      <c r="AE179" s="593">
        <v>0</v>
      </c>
      <c r="AF179" s="593">
        <v>0</v>
      </c>
      <c r="AG179" s="593">
        <v>0</v>
      </c>
      <c r="AH179" s="593">
        <v>0</v>
      </c>
      <c r="AI179" s="593">
        <v>3257955000</v>
      </c>
      <c r="AJ179" s="593">
        <v>715256000</v>
      </c>
      <c r="AK179" s="593">
        <v>1750489000</v>
      </c>
      <c r="AL179" s="593">
        <v>0</v>
      </c>
      <c r="AM179" s="593">
        <v>0</v>
      </c>
      <c r="AN179" s="593">
        <v>0</v>
      </c>
      <c r="AO179" s="593">
        <v>0</v>
      </c>
      <c r="AP179" s="593">
        <v>792210000</v>
      </c>
      <c r="AQ179" s="593">
        <v>0</v>
      </c>
      <c r="AR179" s="593">
        <v>0</v>
      </c>
      <c r="AS179" s="593">
        <v>0</v>
      </c>
      <c r="AT179" s="570">
        <f t="shared" si="124"/>
        <v>4.1250000000000002E-2</v>
      </c>
      <c r="AU179" s="652">
        <v>11</v>
      </c>
      <c r="AV179" s="625">
        <f>IF($M179="M",0.25,IF($M179="R",(S179-AU179)/$P179,(IF($P179&gt;0,AU179/$P179," "))))</f>
        <v>0.25</v>
      </c>
      <c r="AW179" s="1003">
        <v>11</v>
      </c>
      <c r="AX179" s="649">
        <f>+IF($M179="I",(AW179),IF($M179="M",AW179/4, AW179))</f>
        <v>11</v>
      </c>
      <c r="AY179" s="592">
        <f>IF(AU179=0,0, IF($M179="R",(S179-AW179)/(S179-AU179)*100,AW179*100/AU179))</f>
        <v>100</v>
      </c>
      <c r="AZ179" s="604">
        <f t="shared" si="128"/>
        <v>100</v>
      </c>
      <c r="BA179" s="592">
        <f t="shared" si="129"/>
        <v>4.1250000000000002E-2</v>
      </c>
      <c r="BB179" s="592">
        <f t="shared" si="130"/>
        <v>100</v>
      </c>
      <c r="BC179" s="591">
        <v>677000000</v>
      </c>
      <c r="BD179" s="591">
        <v>677000000</v>
      </c>
      <c r="BE179" s="591">
        <v>0</v>
      </c>
      <c r="BF179" s="591">
        <v>0</v>
      </c>
      <c r="BG179" s="591">
        <v>0</v>
      </c>
      <c r="BH179" s="591">
        <v>0</v>
      </c>
      <c r="BI179" s="591">
        <v>0</v>
      </c>
      <c r="BJ179" s="591">
        <v>0</v>
      </c>
      <c r="BK179" s="700">
        <v>1163310214</v>
      </c>
      <c r="BL179" s="589">
        <v>0</v>
      </c>
      <c r="BM179" s="589">
        <v>614366168</v>
      </c>
      <c r="BN179" s="589">
        <v>548944046</v>
      </c>
      <c r="BO179" s="589">
        <v>0</v>
      </c>
      <c r="BP179" s="589">
        <v>0</v>
      </c>
      <c r="BQ179" s="589">
        <v>0</v>
      </c>
      <c r="BR179" s="589">
        <v>0</v>
      </c>
      <c r="BS179" s="589">
        <v>0</v>
      </c>
      <c r="BT179" s="589">
        <v>0</v>
      </c>
      <c r="BU179" s="589">
        <v>0</v>
      </c>
      <c r="BV179" s="588">
        <f t="shared" si="131"/>
        <v>4.1250000000000002E-2</v>
      </c>
      <c r="BW179" s="711">
        <f>+AU179-0.5</f>
        <v>10.5</v>
      </c>
      <c r="BX179" s="650">
        <f>IF($M179="M",0.25,IF($M179="R",(AU179-BW179)/$P179,(IF($P179&gt;0,BW179/$P179," "))))</f>
        <v>0.25</v>
      </c>
      <c r="BY179" s="607">
        <v>1.5</v>
      </c>
      <c r="BZ179" s="629">
        <v>1.8</v>
      </c>
      <c r="CA179" s="1017">
        <v>9.6999999999999993</v>
      </c>
      <c r="CB179" s="649">
        <f>+IF($M179="I",(CA179),IF($M179="M",CA179/4, CA179))</f>
        <v>9.6999999999999993</v>
      </c>
      <c r="CC179" s="592">
        <f>IF(CA179=0,0,IF($M179="R",((AU179-CA179)/(AU179-BW179))*100,CA179*100/BW179))</f>
        <v>260.00000000000011</v>
      </c>
      <c r="CD179" s="622">
        <f t="shared" si="135"/>
        <v>100</v>
      </c>
      <c r="CE179" s="621">
        <f t="shared" si="136"/>
        <v>4.1250000000000002E-2</v>
      </c>
      <c r="CF179" s="605">
        <f t="shared" si="137"/>
        <v>100</v>
      </c>
      <c r="CG179" s="621">
        <f t="shared" si="138"/>
        <v>0.10725000000000005</v>
      </c>
      <c r="CH179" s="553">
        <f t="shared" si="139"/>
        <v>4.1250000000000002E-2</v>
      </c>
      <c r="CI179" s="658">
        <f>+BW179-0.5</f>
        <v>10</v>
      </c>
      <c r="CJ179" s="648">
        <f>IF($M$179="M",0.25,IF($M$179="R",(BW179-CI179)/$P179,(IF($P179&gt;0,CI179/$P179," "))))</f>
        <v>0.25</v>
      </c>
      <c r="CK179" s="874">
        <v>0.25</v>
      </c>
      <c r="CL179" s="533">
        <f>+CA179-CK179</f>
        <v>9.4499999999999993</v>
      </c>
      <c r="CM179" s="626">
        <f>+IF($M179="I",(CK179),IF($M179="M",CK179/4, CK179))</f>
        <v>0.25</v>
      </c>
      <c r="CN179" s="594">
        <f>IF(CK179=0,0,IF($M179="R",((BW179-CK179)/(BW179-CI179))*100,CK179*100/CI179))</f>
        <v>2050</v>
      </c>
      <c r="CO179" s="619">
        <f t="shared" si="144"/>
        <v>100</v>
      </c>
      <c r="CP179" s="619">
        <f t="shared" si="145"/>
        <v>4.1250000000000002E-2</v>
      </c>
      <c r="CQ179" s="619">
        <f t="shared" si="146"/>
        <v>0.84562499999999996</v>
      </c>
      <c r="CR179" s="546">
        <v>677000000</v>
      </c>
      <c r="CS179" s="546">
        <v>0</v>
      </c>
      <c r="CT179" s="546">
        <v>677000000</v>
      </c>
      <c r="CU179" s="546">
        <v>0</v>
      </c>
      <c r="CV179" s="546">
        <v>0</v>
      </c>
      <c r="CW179" s="546">
        <v>0</v>
      </c>
      <c r="CX179" s="546">
        <v>0</v>
      </c>
      <c r="CY179" s="546">
        <v>0</v>
      </c>
      <c r="CZ179" s="618">
        <v>0</v>
      </c>
      <c r="DA179" s="618">
        <v>0</v>
      </c>
      <c r="DB179" s="618">
        <v>0</v>
      </c>
      <c r="DC179" s="618">
        <v>0</v>
      </c>
      <c r="DD179" s="618">
        <v>0</v>
      </c>
      <c r="DE179" s="618">
        <v>0</v>
      </c>
      <c r="DF179" s="618">
        <v>0</v>
      </c>
      <c r="DG179" s="618">
        <v>0</v>
      </c>
      <c r="DH179" s="618">
        <v>0</v>
      </c>
      <c r="DI179" s="618">
        <v>0</v>
      </c>
      <c r="DJ179" s="618">
        <v>0</v>
      </c>
      <c r="DK179" s="1035">
        <f>+IF(M179="I",(H179+AF179+BJ179),IF(M179="M",(H179+AF179+BJ179)/3,N179-CK179 ))</f>
        <v>11.75</v>
      </c>
      <c r="DL179" s="543">
        <f t="shared" si="148"/>
        <v>0.16500000000000001</v>
      </c>
      <c r="DM179" s="542">
        <f t="shared" si="149"/>
        <v>587.5</v>
      </c>
      <c r="DN179" s="594">
        <f t="shared" si="150"/>
        <v>100</v>
      </c>
      <c r="DO179" s="540">
        <f t="shared" si="151"/>
        <v>0.16500000000000001</v>
      </c>
      <c r="DP179" s="597">
        <f>+IF(((DN179*Q179)/100)&lt;Q179, ((DN179*Q179)/100),Q179)</f>
        <v>0.16500000000000001</v>
      </c>
      <c r="DQ179" s="538">
        <f t="shared" si="152"/>
        <v>0.16500000000000001</v>
      </c>
      <c r="DR179" s="617">
        <f t="shared" si="153"/>
        <v>1</v>
      </c>
      <c r="DS179" s="616">
        <f t="shared" si="154"/>
        <v>0</v>
      </c>
      <c r="DT179" s="259">
        <v>202</v>
      </c>
      <c r="DU179" s="260" t="s">
        <v>279</v>
      </c>
      <c r="DV179" s="259">
        <v>203</v>
      </c>
      <c r="DW179" s="260" t="s">
        <v>278</v>
      </c>
      <c r="DX179" s="259"/>
      <c r="DY179" s="259"/>
      <c r="DZ179" s="259"/>
      <c r="EA179" s="987"/>
      <c r="EB179" s="1041" t="s">
        <v>2516</v>
      </c>
      <c r="EC179" s="802">
        <v>677000000</v>
      </c>
      <c r="EE179" s="1047"/>
    </row>
    <row r="180" spans="4:135" s="534" customFormat="1" ht="89.25" hidden="1" x14ac:dyDescent="0.3">
      <c r="D180" s="783">
        <v>177</v>
      </c>
      <c r="E180" s="799">
        <v>221</v>
      </c>
      <c r="F180" s="574" t="s">
        <v>200</v>
      </c>
      <c r="G180" s="574" t="s">
        <v>10</v>
      </c>
      <c r="H180" s="574" t="s">
        <v>2224</v>
      </c>
      <c r="I180" s="574" t="s">
        <v>656</v>
      </c>
      <c r="J180" s="573" t="s">
        <v>1440</v>
      </c>
      <c r="K180" s="573" t="s">
        <v>671</v>
      </c>
      <c r="L180" s="702" t="s">
        <v>2236</v>
      </c>
      <c r="M180" s="571" t="s">
        <v>2017</v>
      </c>
      <c r="N180" s="571">
        <v>4000</v>
      </c>
      <c r="O180" s="570">
        <f>+N180+P180</f>
        <v>16000</v>
      </c>
      <c r="P180" s="569">
        <v>12000</v>
      </c>
      <c r="Q180" s="631">
        <v>8.8999999999999996E-2</v>
      </c>
      <c r="R180" s="659">
        <f t="shared" si="118"/>
        <v>2.2249999999999999E-2</v>
      </c>
      <c r="S180" s="627">
        <v>3000</v>
      </c>
      <c r="T180" s="625">
        <f t="shared" ref="T180:T243" si="174">IF($M180="M",0.25,(IF($P180&gt;0,S180/$P180," ")))</f>
        <v>0.25</v>
      </c>
      <c r="U180" s="992">
        <v>6706</v>
      </c>
      <c r="V180" s="626">
        <f t="shared" ref="V180:V243" si="175">+IF(M180="I",(+U180),IF(M180="M",(+U180)/4,))</f>
        <v>6706</v>
      </c>
      <c r="W180" s="594">
        <f t="shared" ref="W180:W243" si="176">IF(S180=0,0,+U180*100/S180)</f>
        <v>223.53333333333333</v>
      </c>
      <c r="X180" s="594">
        <f t="shared" si="122"/>
        <v>100</v>
      </c>
      <c r="Y180" s="594">
        <f t="shared" si="155"/>
        <v>2.2250000000000002E-2</v>
      </c>
      <c r="Z180" s="594">
        <f t="shared" si="123"/>
        <v>100</v>
      </c>
      <c r="AA180" s="593">
        <v>19000000</v>
      </c>
      <c r="AB180" s="593">
        <v>0</v>
      </c>
      <c r="AC180" s="593">
        <v>19000000</v>
      </c>
      <c r="AD180" s="593">
        <v>0</v>
      </c>
      <c r="AE180" s="593">
        <v>0</v>
      </c>
      <c r="AF180" s="593">
        <v>0</v>
      </c>
      <c r="AG180" s="593">
        <v>0</v>
      </c>
      <c r="AH180" s="593">
        <v>0</v>
      </c>
      <c r="AI180" s="593">
        <v>0</v>
      </c>
      <c r="AJ180" s="593">
        <v>0</v>
      </c>
      <c r="AK180" s="593">
        <v>0</v>
      </c>
      <c r="AL180" s="593">
        <v>0</v>
      </c>
      <c r="AM180" s="593">
        <v>0</v>
      </c>
      <c r="AN180" s="593">
        <v>0</v>
      </c>
      <c r="AO180" s="593">
        <v>0</v>
      </c>
      <c r="AP180" s="593">
        <v>0</v>
      </c>
      <c r="AQ180" s="593">
        <v>0</v>
      </c>
      <c r="AR180" s="593">
        <v>0</v>
      </c>
      <c r="AS180" s="593">
        <v>0</v>
      </c>
      <c r="AT180" s="630">
        <f t="shared" si="124"/>
        <v>2.2249999999999999E-2</v>
      </c>
      <c r="AU180" s="571">
        <v>3000</v>
      </c>
      <c r="AV180" s="625">
        <f t="shared" ref="AV180:AV243" si="177">IF($M180="M",0.25,(IF($P180&gt;0,AU180/$P180," ")))</f>
        <v>0.25</v>
      </c>
      <c r="AW180" s="1003">
        <v>2585</v>
      </c>
      <c r="AX180" s="604">
        <f t="shared" ref="AX180:AX243" si="178">+IF(M180="I",(+AW180),IF(M180="M",(+AW180)/4,))</f>
        <v>2585</v>
      </c>
      <c r="AY180" s="604">
        <f t="shared" ref="AY180:AY243" si="179">IF(AU180=0,0,+AW180*100/AU180)</f>
        <v>86.166666666666671</v>
      </c>
      <c r="AZ180" s="604">
        <f t="shared" si="128"/>
        <v>86.166666666666671</v>
      </c>
      <c r="BA180" s="592">
        <f t="shared" si="129"/>
        <v>1.9172083333333333E-2</v>
      </c>
      <c r="BB180" s="592">
        <f t="shared" si="130"/>
        <v>86.166666666666671</v>
      </c>
      <c r="BC180" s="591">
        <v>100000000</v>
      </c>
      <c r="BD180" s="591">
        <v>100000000</v>
      </c>
      <c r="BE180" s="591">
        <v>0</v>
      </c>
      <c r="BF180" s="591">
        <v>0</v>
      </c>
      <c r="BG180" s="591">
        <v>0</v>
      </c>
      <c r="BH180" s="591">
        <v>0</v>
      </c>
      <c r="BI180" s="591">
        <v>0</v>
      </c>
      <c r="BJ180" s="591">
        <v>0</v>
      </c>
      <c r="BK180" s="700">
        <v>100199954</v>
      </c>
      <c r="BL180" s="589">
        <v>0</v>
      </c>
      <c r="BM180" s="589">
        <v>100000000</v>
      </c>
      <c r="BN180" s="589">
        <v>199954</v>
      </c>
      <c r="BO180" s="589">
        <v>0</v>
      </c>
      <c r="BP180" s="589">
        <v>0</v>
      </c>
      <c r="BQ180" s="589">
        <v>0</v>
      </c>
      <c r="BR180" s="589">
        <v>0</v>
      </c>
      <c r="BS180" s="589">
        <v>0</v>
      </c>
      <c r="BT180" s="589">
        <v>0</v>
      </c>
      <c r="BU180" s="589">
        <v>0</v>
      </c>
      <c r="BV180" s="588">
        <f t="shared" si="131"/>
        <v>2.2249999999999999E-2</v>
      </c>
      <c r="BW180" s="588">
        <v>3000</v>
      </c>
      <c r="BX180" s="623">
        <f t="shared" ref="BX180:BX243" si="180">IF($M180="M",0.25,(IF($P180&gt;0,BW180/$P180," ")))</f>
        <v>0.25</v>
      </c>
      <c r="BY180" s="607">
        <v>1900</v>
      </c>
      <c r="BZ180" s="629">
        <v>4217</v>
      </c>
      <c r="CA180" s="1017">
        <v>6500</v>
      </c>
      <c r="CB180" s="557">
        <f t="shared" ref="CB180:CB243" si="181">+IF(M180="I",(+CA180),IF(M180="M",(+CA180)/4,))</f>
        <v>6500</v>
      </c>
      <c r="CC180" s="557">
        <f t="shared" ref="CC180:CC243" si="182">IF(BW180=0,0,+CA180*100/BW180)</f>
        <v>216.66666666666666</v>
      </c>
      <c r="CD180" s="622">
        <f t="shared" si="135"/>
        <v>100</v>
      </c>
      <c r="CE180" s="621">
        <f t="shared" si="136"/>
        <v>2.2250000000000002E-2</v>
      </c>
      <c r="CF180" s="605">
        <f t="shared" si="137"/>
        <v>100</v>
      </c>
      <c r="CG180" s="621">
        <f t="shared" si="138"/>
        <v>4.8208333333333325E-2</v>
      </c>
      <c r="CH180" s="553">
        <f t="shared" si="139"/>
        <v>2.2249999999999999E-2</v>
      </c>
      <c r="CI180" s="552">
        <v>3000</v>
      </c>
      <c r="CJ180" s="551">
        <f t="shared" ref="CJ180:CJ243" si="183">IF($M180="M",0.25,(IF($P180&gt;0,CI180/$P180," ")))</f>
        <v>0.25</v>
      </c>
      <c r="CK180" s="874">
        <v>1500</v>
      </c>
      <c r="CL180" s="533">
        <f t="shared" ref="CL180:CL243" si="184">+CI180-CK180</f>
        <v>1500</v>
      </c>
      <c r="CM180" s="619">
        <f t="shared" ref="CM180:CM243" si="185">+IF(M180="I",(+CK180),IF(M180="M",(+CK180)/4,))</f>
        <v>1500</v>
      </c>
      <c r="CN180" s="619">
        <f t="shared" ref="CN180:CN243" si="186">IF(CI180=0,0,+CK180*100/CI180)</f>
        <v>50</v>
      </c>
      <c r="CO180" s="549">
        <f t="shared" si="144"/>
        <v>50</v>
      </c>
      <c r="CP180" s="619">
        <f t="shared" si="145"/>
        <v>1.1125000000000001E-2</v>
      </c>
      <c r="CQ180" s="619">
        <f t="shared" si="146"/>
        <v>1.1125000000000001E-2</v>
      </c>
      <c r="CR180" s="546">
        <v>100000000</v>
      </c>
      <c r="CS180" s="546">
        <v>0</v>
      </c>
      <c r="CT180" s="546">
        <v>100000000</v>
      </c>
      <c r="CU180" s="546">
        <v>0</v>
      </c>
      <c r="CV180" s="546">
        <v>0</v>
      </c>
      <c r="CW180" s="546">
        <v>0</v>
      </c>
      <c r="CX180" s="546">
        <v>0</v>
      </c>
      <c r="CY180" s="546">
        <v>0</v>
      </c>
      <c r="CZ180" s="618">
        <v>0</v>
      </c>
      <c r="DA180" s="618">
        <v>0</v>
      </c>
      <c r="DB180" s="618">
        <v>0</v>
      </c>
      <c r="DC180" s="618">
        <v>0</v>
      </c>
      <c r="DD180" s="618">
        <v>0</v>
      </c>
      <c r="DE180" s="618">
        <v>0</v>
      </c>
      <c r="DF180" s="618">
        <v>0</v>
      </c>
      <c r="DG180" s="618">
        <v>0</v>
      </c>
      <c r="DH180" s="618">
        <v>0</v>
      </c>
      <c r="DI180" s="618">
        <v>0</v>
      </c>
      <c r="DJ180" s="618">
        <v>0</v>
      </c>
      <c r="DK180" s="1034">
        <f t="shared" ref="DK180:DK243" si="187">+IF(M180="I",(+U180+AW180+CA180+CK180),IF(M180="M",(+U180+AW180+CA180+CK180)/4,))</f>
        <v>17291</v>
      </c>
      <c r="DL180" s="543">
        <f t="shared" si="148"/>
        <v>8.8999999999999996E-2</v>
      </c>
      <c r="DM180" s="542">
        <f t="shared" si="149"/>
        <v>144.09166666666667</v>
      </c>
      <c r="DN180" s="594">
        <f t="shared" si="150"/>
        <v>100</v>
      </c>
      <c r="DO180" s="540">
        <f t="shared" si="151"/>
        <v>8.900000000000001E-2</v>
      </c>
      <c r="DP180" s="597">
        <f>+IF(((DN180*Q180)/100)&lt;Q180, ((DN180*Q180)/100),Q180)</f>
        <v>8.8999999999999996E-2</v>
      </c>
      <c r="DQ180" s="538">
        <f t="shared" si="152"/>
        <v>8.8999999999999996E-2</v>
      </c>
      <c r="DR180" s="617">
        <f t="shared" si="153"/>
        <v>1</v>
      </c>
      <c r="DS180" s="616">
        <f t="shared" si="154"/>
        <v>0</v>
      </c>
      <c r="DT180" s="259">
        <v>202</v>
      </c>
      <c r="DU180" s="260" t="s">
        <v>279</v>
      </c>
      <c r="DV180" s="259"/>
      <c r="DW180" s="260" t="s">
        <v>242</v>
      </c>
      <c r="DX180" s="259"/>
      <c r="DY180" s="259"/>
      <c r="DZ180" s="259"/>
      <c r="EA180" s="987"/>
      <c r="EB180" s="1041" t="s">
        <v>2517</v>
      </c>
      <c r="EC180" s="802">
        <v>100000000</v>
      </c>
      <c r="EE180" s="1047"/>
    </row>
    <row r="181" spans="4:135" s="534" customFormat="1" ht="168" hidden="1" x14ac:dyDescent="0.3">
      <c r="D181" s="783">
        <v>178</v>
      </c>
      <c r="E181" s="799">
        <v>222</v>
      </c>
      <c r="F181" s="787" t="s">
        <v>200</v>
      </c>
      <c r="G181" s="739" t="s">
        <v>10</v>
      </c>
      <c r="H181" s="788" t="s">
        <v>2224</v>
      </c>
      <c r="I181" s="712" t="s">
        <v>656</v>
      </c>
      <c r="J181" s="573" t="s">
        <v>672</v>
      </c>
      <c r="K181" s="573" t="s">
        <v>673</v>
      </c>
      <c r="L181" s="701" t="s">
        <v>1582</v>
      </c>
      <c r="M181" s="571" t="s">
        <v>2017</v>
      </c>
      <c r="N181" s="571">
        <v>10</v>
      </c>
      <c r="O181" s="570">
        <f>+N181+P181</f>
        <v>50</v>
      </c>
      <c r="P181" s="569">
        <v>40</v>
      </c>
      <c r="Q181" s="628">
        <v>0.16500000000000001</v>
      </c>
      <c r="R181" s="580">
        <f t="shared" si="118"/>
        <v>2.0625000000000001E-2</v>
      </c>
      <c r="S181" s="627">
        <v>5</v>
      </c>
      <c r="T181" s="625">
        <f t="shared" si="174"/>
        <v>0.125</v>
      </c>
      <c r="U181" s="992">
        <v>5</v>
      </c>
      <c r="V181" s="626">
        <f t="shared" si="175"/>
        <v>5</v>
      </c>
      <c r="W181" s="594">
        <f t="shared" si="176"/>
        <v>100</v>
      </c>
      <c r="X181" s="594">
        <f t="shared" si="122"/>
        <v>100</v>
      </c>
      <c r="Y181" s="594">
        <f t="shared" si="155"/>
        <v>2.0625000000000001E-2</v>
      </c>
      <c r="Z181" s="594">
        <f t="shared" si="123"/>
        <v>100</v>
      </c>
      <c r="AA181" s="593">
        <v>115596000000</v>
      </c>
      <c r="AB181" s="593">
        <v>0</v>
      </c>
      <c r="AC181" s="593">
        <v>100346000000</v>
      </c>
      <c r="AD181" s="593">
        <v>15250000000</v>
      </c>
      <c r="AE181" s="593">
        <v>0</v>
      </c>
      <c r="AF181" s="593">
        <v>0</v>
      </c>
      <c r="AG181" s="593">
        <v>0</v>
      </c>
      <c r="AH181" s="593">
        <v>0</v>
      </c>
      <c r="AI181" s="593">
        <v>9826762000</v>
      </c>
      <c r="AJ181" s="593">
        <v>2145769000</v>
      </c>
      <c r="AK181" s="593">
        <v>7001956000</v>
      </c>
      <c r="AL181" s="593">
        <v>0</v>
      </c>
      <c r="AM181" s="593">
        <v>0</v>
      </c>
      <c r="AN181" s="593">
        <v>0</v>
      </c>
      <c r="AO181" s="593">
        <v>0</v>
      </c>
      <c r="AP181" s="593">
        <v>679037000</v>
      </c>
      <c r="AQ181" s="593">
        <v>0</v>
      </c>
      <c r="AR181" s="593">
        <v>0</v>
      </c>
      <c r="AS181" s="593">
        <v>0</v>
      </c>
      <c r="AT181" s="570">
        <f t="shared" si="124"/>
        <v>6.1874999999999999E-2</v>
      </c>
      <c r="AU181" s="571">
        <v>15</v>
      </c>
      <c r="AV181" s="625">
        <f t="shared" si="177"/>
        <v>0.375</v>
      </c>
      <c r="AW181" s="1003">
        <v>15</v>
      </c>
      <c r="AX181" s="604">
        <f t="shared" si="178"/>
        <v>15</v>
      </c>
      <c r="AY181" s="604">
        <f t="shared" si="179"/>
        <v>100</v>
      </c>
      <c r="AZ181" s="604">
        <f t="shared" si="128"/>
        <v>100</v>
      </c>
      <c r="BA181" s="592">
        <f t="shared" si="129"/>
        <v>6.1874999999999999E-2</v>
      </c>
      <c r="BB181" s="592">
        <f t="shared" si="130"/>
        <v>100</v>
      </c>
      <c r="BC181" s="591">
        <v>351000000</v>
      </c>
      <c r="BD181" s="591">
        <v>0</v>
      </c>
      <c r="BE181" s="591">
        <v>351000000</v>
      </c>
      <c r="BF181" s="591">
        <v>0</v>
      </c>
      <c r="BG181" s="591">
        <v>0</v>
      </c>
      <c r="BH181" s="591">
        <v>0</v>
      </c>
      <c r="BI181" s="591">
        <v>0</v>
      </c>
      <c r="BJ181" s="591">
        <v>0</v>
      </c>
      <c r="BK181" s="700">
        <v>0</v>
      </c>
      <c r="BL181" s="589">
        <v>0</v>
      </c>
      <c r="BM181" s="589">
        <v>0</v>
      </c>
      <c r="BN181" s="589">
        <v>0</v>
      </c>
      <c r="BO181" s="589">
        <v>0</v>
      </c>
      <c r="BP181" s="589">
        <v>0</v>
      </c>
      <c r="BQ181" s="589">
        <v>0</v>
      </c>
      <c r="BR181" s="589">
        <v>0</v>
      </c>
      <c r="BS181" s="589">
        <v>0</v>
      </c>
      <c r="BT181" s="589">
        <v>0</v>
      </c>
      <c r="BU181" s="589">
        <v>0</v>
      </c>
      <c r="BV181" s="588">
        <f t="shared" si="131"/>
        <v>6.1874999999999999E-2</v>
      </c>
      <c r="BW181" s="588">
        <v>15</v>
      </c>
      <c r="BX181" s="623">
        <f t="shared" si="180"/>
        <v>0.375</v>
      </c>
      <c r="BY181" s="607">
        <v>5</v>
      </c>
      <c r="BZ181" s="629">
        <v>15</v>
      </c>
      <c r="CA181" s="1017">
        <v>15</v>
      </c>
      <c r="CB181" s="557">
        <f t="shared" si="181"/>
        <v>15</v>
      </c>
      <c r="CC181" s="557">
        <f t="shared" si="182"/>
        <v>100</v>
      </c>
      <c r="CD181" s="622">
        <f t="shared" si="135"/>
        <v>100</v>
      </c>
      <c r="CE181" s="621">
        <f t="shared" si="136"/>
        <v>6.1874999999999999E-2</v>
      </c>
      <c r="CF181" s="605">
        <f t="shared" si="137"/>
        <v>100</v>
      </c>
      <c r="CG181" s="621">
        <f t="shared" si="138"/>
        <v>6.1874999999999999E-2</v>
      </c>
      <c r="CH181" s="553">
        <f t="shared" si="139"/>
        <v>2.0625000000000001E-2</v>
      </c>
      <c r="CI181" s="552">
        <v>5</v>
      </c>
      <c r="CJ181" s="551">
        <f t="shared" si="183"/>
        <v>0.125</v>
      </c>
      <c r="CK181" s="874">
        <v>5</v>
      </c>
      <c r="CL181" s="533">
        <f t="shared" si="184"/>
        <v>0</v>
      </c>
      <c r="CM181" s="619">
        <f t="shared" si="185"/>
        <v>5</v>
      </c>
      <c r="CN181" s="619">
        <f t="shared" si="186"/>
        <v>100</v>
      </c>
      <c r="CO181" s="549">
        <f t="shared" si="144"/>
        <v>100</v>
      </c>
      <c r="CP181" s="619">
        <f t="shared" si="145"/>
        <v>2.0625000000000001E-2</v>
      </c>
      <c r="CQ181" s="619">
        <f t="shared" si="146"/>
        <v>2.0625000000000001E-2</v>
      </c>
      <c r="CR181" s="546">
        <v>810000000</v>
      </c>
      <c r="CS181" s="546">
        <v>810000000</v>
      </c>
      <c r="CT181" s="546">
        <v>0</v>
      </c>
      <c r="CU181" s="546">
        <v>0</v>
      </c>
      <c r="CV181" s="546">
        <v>0</v>
      </c>
      <c r="CW181" s="546">
        <v>0</v>
      </c>
      <c r="CX181" s="546">
        <v>0</v>
      </c>
      <c r="CY181" s="546">
        <v>0</v>
      </c>
      <c r="CZ181" s="618">
        <v>0</v>
      </c>
      <c r="DA181" s="618">
        <v>0</v>
      </c>
      <c r="DB181" s="618">
        <v>0</v>
      </c>
      <c r="DC181" s="618">
        <v>0</v>
      </c>
      <c r="DD181" s="618">
        <v>0</v>
      </c>
      <c r="DE181" s="618">
        <v>0</v>
      </c>
      <c r="DF181" s="618">
        <v>0</v>
      </c>
      <c r="DG181" s="618">
        <v>0</v>
      </c>
      <c r="DH181" s="618">
        <v>0</v>
      </c>
      <c r="DI181" s="618">
        <v>0</v>
      </c>
      <c r="DJ181" s="618">
        <v>0</v>
      </c>
      <c r="DK181" s="1034">
        <f t="shared" si="187"/>
        <v>40</v>
      </c>
      <c r="DL181" s="543">
        <f t="shared" si="148"/>
        <v>0.16500000000000001</v>
      </c>
      <c r="DM181" s="542">
        <f t="shared" si="149"/>
        <v>100</v>
      </c>
      <c r="DN181" s="594">
        <f t="shared" si="150"/>
        <v>100</v>
      </c>
      <c r="DO181" s="540">
        <f t="shared" si="151"/>
        <v>0.16500000000000001</v>
      </c>
      <c r="DP181" s="597">
        <f>+IF(((DN181*Q181)/100)&lt;Q181, ((DN181*Q181)/100),Q181)</f>
        <v>0.16500000000000001</v>
      </c>
      <c r="DQ181" s="538">
        <f t="shared" si="152"/>
        <v>0.16500000000000001</v>
      </c>
      <c r="DR181" s="617">
        <f t="shared" si="153"/>
        <v>1</v>
      </c>
      <c r="DS181" s="616">
        <f t="shared" si="154"/>
        <v>0</v>
      </c>
      <c r="DT181" s="259">
        <v>202</v>
      </c>
      <c r="DU181" s="260" t="s">
        <v>279</v>
      </c>
      <c r="DV181" s="259">
        <v>203</v>
      </c>
      <c r="DW181" s="260" t="s">
        <v>278</v>
      </c>
      <c r="DX181" s="259"/>
      <c r="DY181" s="259"/>
      <c r="DZ181" s="259"/>
      <c r="EA181" s="987"/>
      <c r="EB181" s="1041" t="s">
        <v>2518</v>
      </c>
      <c r="EC181" s="802">
        <v>810000000</v>
      </c>
      <c r="EE181" s="1047"/>
    </row>
    <row r="182" spans="4:135" s="534" customFormat="1" ht="89.25" hidden="1" x14ac:dyDescent="0.3">
      <c r="D182" s="783">
        <v>179</v>
      </c>
      <c r="E182" s="799">
        <v>223</v>
      </c>
      <c r="F182" s="787" t="s">
        <v>200</v>
      </c>
      <c r="G182" s="739" t="s">
        <v>10</v>
      </c>
      <c r="H182" s="788" t="s">
        <v>2224</v>
      </c>
      <c r="I182" s="712" t="s">
        <v>656</v>
      </c>
      <c r="J182" s="573" t="s">
        <v>674</v>
      </c>
      <c r="K182" s="573" t="s">
        <v>675</v>
      </c>
      <c r="L182" s="701" t="s">
        <v>2201</v>
      </c>
      <c r="M182" s="571" t="s">
        <v>2032</v>
      </c>
      <c r="N182" s="571">
        <v>1</v>
      </c>
      <c r="O182" s="570">
        <f>+P182</f>
        <v>100</v>
      </c>
      <c r="P182" s="569">
        <v>100</v>
      </c>
      <c r="Q182" s="628">
        <v>0.25</v>
      </c>
      <c r="R182" s="580">
        <f t="shared" si="118"/>
        <v>6.25E-2</v>
      </c>
      <c r="S182" s="627">
        <v>100</v>
      </c>
      <c r="T182" s="625">
        <f t="shared" si="174"/>
        <v>0.25</v>
      </c>
      <c r="U182" s="992">
        <v>100</v>
      </c>
      <c r="V182" s="626">
        <f t="shared" si="175"/>
        <v>25</v>
      </c>
      <c r="W182" s="594">
        <f t="shared" si="176"/>
        <v>100</v>
      </c>
      <c r="X182" s="594">
        <f t="shared" si="122"/>
        <v>100</v>
      </c>
      <c r="Y182" s="594">
        <f t="shared" si="155"/>
        <v>6.25E-2</v>
      </c>
      <c r="Z182" s="594">
        <f t="shared" si="123"/>
        <v>100</v>
      </c>
      <c r="AA182" s="593">
        <v>99807000</v>
      </c>
      <c r="AB182" s="593">
        <v>0</v>
      </c>
      <c r="AC182" s="593">
        <v>99807000</v>
      </c>
      <c r="AD182" s="593">
        <v>0</v>
      </c>
      <c r="AE182" s="593">
        <v>0</v>
      </c>
      <c r="AF182" s="593">
        <v>0</v>
      </c>
      <c r="AG182" s="593">
        <v>0</v>
      </c>
      <c r="AH182" s="593">
        <v>0</v>
      </c>
      <c r="AI182" s="593">
        <v>149358942000</v>
      </c>
      <c r="AJ182" s="593">
        <v>0</v>
      </c>
      <c r="AK182" s="593">
        <v>0</v>
      </c>
      <c r="AL182" s="593">
        <v>0</v>
      </c>
      <c r="AM182" s="593">
        <v>0</v>
      </c>
      <c r="AN182" s="593">
        <v>0</v>
      </c>
      <c r="AO182" s="593">
        <v>0</v>
      </c>
      <c r="AP182" s="593">
        <v>149358942000</v>
      </c>
      <c r="AQ182" s="593">
        <v>0</v>
      </c>
      <c r="AR182" s="593">
        <v>0</v>
      </c>
      <c r="AS182" s="593">
        <v>0</v>
      </c>
      <c r="AT182" s="570">
        <f t="shared" si="124"/>
        <v>6.25E-2</v>
      </c>
      <c r="AU182" s="571">
        <v>100</v>
      </c>
      <c r="AV182" s="625">
        <f t="shared" si="177"/>
        <v>0.25</v>
      </c>
      <c r="AW182" s="1003">
        <v>100</v>
      </c>
      <c r="AX182" s="604">
        <f t="shared" si="178"/>
        <v>25</v>
      </c>
      <c r="AY182" s="604">
        <f t="shared" si="179"/>
        <v>100</v>
      </c>
      <c r="AZ182" s="604">
        <f t="shared" si="128"/>
        <v>100</v>
      </c>
      <c r="BA182" s="592">
        <f t="shared" si="129"/>
        <v>6.25E-2</v>
      </c>
      <c r="BB182" s="592">
        <f t="shared" si="130"/>
        <v>100</v>
      </c>
      <c r="BC182" s="591">
        <v>110261000000</v>
      </c>
      <c r="BD182" s="591">
        <v>110261000</v>
      </c>
      <c r="BE182" s="591">
        <v>0</v>
      </c>
      <c r="BF182" s="591">
        <v>0</v>
      </c>
      <c r="BG182" s="591">
        <v>0</v>
      </c>
      <c r="BH182" s="591">
        <v>0</v>
      </c>
      <c r="BI182" s="591">
        <v>0</v>
      </c>
      <c r="BJ182" s="591">
        <v>0</v>
      </c>
      <c r="BK182" s="700">
        <v>70876829574</v>
      </c>
      <c r="BL182" s="589">
        <v>3165566739</v>
      </c>
      <c r="BM182" s="589">
        <v>60278745886</v>
      </c>
      <c r="BN182" s="589">
        <v>7432516949</v>
      </c>
      <c r="BO182" s="589">
        <v>0</v>
      </c>
      <c r="BP182" s="589">
        <v>0</v>
      </c>
      <c r="BQ182" s="589">
        <v>0</v>
      </c>
      <c r="BR182" s="589">
        <v>0</v>
      </c>
      <c r="BS182" s="589">
        <v>0</v>
      </c>
      <c r="BT182" s="589">
        <v>0</v>
      </c>
      <c r="BU182" s="589">
        <v>0</v>
      </c>
      <c r="BV182" s="588">
        <f t="shared" si="131"/>
        <v>6.25E-2</v>
      </c>
      <c r="BW182" s="588">
        <v>100</v>
      </c>
      <c r="BX182" s="623">
        <f t="shared" si="180"/>
        <v>0.25</v>
      </c>
      <c r="BY182" s="607">
        <v>100</v>
      </c>
      <c r="BZ182" s="629">
        <v>100</v>
      </c>
      <c r="CA182" s="1017">
        <v>100</v>
      </c>
      <c r="CB182" s="557">
        <f t="shared" si="181"/>
        <v>25</v>
      </c>
      <c r="CC182" s="557">
        <f t="shared" si="182"/>
        <v>100</v>
      </c>
      <c r="CD182" s="622">
        <f t="shared" si="135"/>
        <v>100</v>
      </c>
      <c r="CE182" s="621">
        <f t="shared" si="136"/>
        <v>6.25E-2</v>
      </c>
      <c r="CF182" s="605">
        <f t="shared" si="137"/>
        <v>100</v>
      </c>
      <c r="CG182" s="621">
        <f t="shared" si="138"/>
        <v>6.25E-2</v>
      </c>
      <c r="CH182" s="553">
        <f t="shared" si="139"/>
        <v>6.25E-2</v>
      </c>
      <c r="CI182" s="552">
        <v>100</v>
      </c>
      <c r="CJ182" s="551">
        <f t="shared" si="183"/>
        <v>0.25</v>
      </c>
      <c r="CK182" s="874">
        <v>100</v>
      </c>
      <c r="CL182" s="533">
        <f t="shared" si="184"/>
        <v>0</v>
      </c>
      <c r="CM182" s="619">
        <f t="shared" si="185"/>
        <v>25</v>
      </c>
      <c r="CN182" s="619">
        <f t="shared" si="186"/>
        <v>100</v>
      </c>
      <c r="CO182" s="619">
        <f t="shared" si="144"/>
        <v>100</v>
      </c>
      <c r="CP182" s="619">
        <f t="shared" si="145"/>
        <v>6.25E-2</v>
      </c>
      <c r="CQ182" s="619">
        <f t="shared" si="146"/>
        <v>6.25E-2</v>
      </c>
      <c r="CR182" s="546">
        <v>94134000000</v>
      </c>
      <c r="CS182" s="546">
        <v>0</v>
      </c>
      <c r="CT182" s="546">
        <v>94134000</v>
      </c>
      <c r="CU182" s="546">
        <v>0</v>
      </c>
      <c r="CV182" s="546">
        <v>0</v>
      </c>
      <c r="CW182" s="546">
        <v>0</v>
      </c>
      <c r="CX182" s="546">
        <v>0</v>
      </c>
      <c r="CY182" s="546">
        <v>0</v>
      </c>
      <c r="CZ182" s="618">
        <v>0</v>
      </c>
      <c r="DA182" s="618">
        <v>0</v>
      </c>
      <c r="DB182" s="618">
        <v>0</v>
      </c>
      <c r="DC182" s="618">
        <v>0</v>
      </c>
      <c r="DD182" s="618">
        <v>0</v>
      </c>
      <c r="DE182" s="618">
        <v>0</v>
      </c>
      <c r="DF182" s="618">
        <v>0</v>
      </c>
      <c r="DG182" s="618">
        <v>0</v>
      </c>
      <c r="DH182" s="618">
        <v>0</v>
      </c>
      <c r="DI182" s="618">
        <v>0</v>
      </c>
      <c r="DJ182" s="618">
        <v>0</v>
      </c>
      <c r="DK182" s="1034">
        <f t="shared" si="187"/>
        <v>100</v>
      </c>
      <c r="DL182" s="543">
        <f t="shared" si="148"/>
        <v>0.25</v>
      </c>
      <c r="DM182" s="542">
        <f t="shared" si="149"/>
        <v>100</v>
      </c>
      <c r="DN182" s="594">
        <f t="shared" si="150"/>
        <v>100</v>
      </c>
      <c r="DO182" s="540">
        <f t="shared" si="151"/>
        <v>0.25</v>
      </c>
      <c r="DP182" s="597">
        <f>+IF(M182="M",DO182,0)</f>
        <v>0.25</v>
      </c>
      <c r="DQ182" s="538">
        <f t="shared" si="152"/>
        <v>0.25</v>
      </c>
      <c r="DR182" s="617">
        <f t="shared" si="153"/>
        <v>1</v>
      </c>
      <c r="DS182" s="616">
        <f t="shared" si="154"/>
        <v>0</v>
      </c>
      <c r="DT182" s="259">
        <v>202</v>
      </c>
      <c r="DU182" s="260" t="s">
        <v>279</v>
      </c>
      <c r="DV182" s="259"/>
      <c r="DW182" s="260" t="s">
        <v>242</v>
      </c>
      <c r="DX182" s="259"/>
      <c r="DY182" s="259"/>
      <c r="DZ182" s="259"/>
      <c r="EA182" s="987"/>
      <c r="EB182" s="1041" t="s">
        <v>2519</v>
      </c>
      <c r="EC182" s="802">
        <v>98729000000</v>
      </c>
      <c r="EE182" s="1047"/>
    </row>
    <row r="183" spans="4:135" s="534" customFormat="1" ht="84" hidden="1" x14ac:dyDescent="0.3">
      <c r="D183" s="783">
        <v>180</v>
      </c>
      <c r="E183" s="799">
        <v>224</v>
      </c>
      <c r="F183" s="787" t="s">
        <v>200</v>
      </c>
      <c r="G183" s="739" t="s">
        <v>10</v>
      </c>
      <c r="H183" s="788" t="s">
        <v>2224</v>
      </c>
      <c r="I183" s="712" t="s">
        <v>656</v>
      </c>
      <c r="J183" s="573" t="s">
        <v>676</v>
      </c>
      <c r="K183" s="573" t="s">
        <v>677</v>
      </c>
      <c r="L183" s="701" t="s">
        <v>2235</v>
      </c>
      <c r="M183" s="571" t="s">
        <v>2017</v>
      </c>
      <c r="N183" s="571">
        <v>0</v>
      </c>
      <c r="O183" s="570">
        <f t="shared" ref="O183:O192" si="188">+N183+P183</f>
        <v>60</v>
      </c>
      <c r="P183" s="569">
        <v>60</v>
      </c>
      <c r="Q183" s="628">
        <v>0.16500000000000001</v>
      </c>
      <c r="R183" s="580">
        <f t="shared" si="118"/>
        <v>1.375E-2</v>
      </c>
      <c r="S183" s="627">
        <v>5</v>
      </c>
      <c r="T183" s="625">
        <f t="shared" si="174"/>
        <v>8.3333333333333329E-2</v>
      </c>
      <c r="U183" s="992">
        <v>5</v>
      </c>
      <c r="V183" s="626">
        <f t="shared" si="175"/>
        <v>5</v>
      </c>
      <c r="W183" s="594">
        <f t="shared" si="176"/>
        <v>100</v>
      </c>
      <c r="X183" s="594">
        <f t="shared" si="122"/>
        <v>100</v>
      </c>
      <c r="Y183" s="594">
        <f t="shared" si="155"/>
        <v>1.375E-2</v>
      </c>
      <c r="Z183" s="594">
        <f t="shared" si="123"/>
        <v>100</v>
      </c>
      <c r="AA183" s="593">
        <v>0</v>
      </c>
      <c r="AB183" s="593">
        <v>0</v>
      </c>
      <c r="AC183" s="593">
        <v>0</v>
      </c>
      <c r="AD183" s="593">
        <v>0</v>
      </c>
      <c r="AE183" s="593">
        <v>0</v>
      </c>
      <c r="AF183" s="593">
        <v>0</v>
      </c>
      <c r="AG183" s="593">
        <v>0</v>
      </c>
      <c r="AH183" s="593">
        <v>0</v>
      </c>
      <c r="AI183" s="593">
        <v>0</v>
      </c>
      <c r="AJ183" s="593">
        <v>0</v>
      </c>
      <c r="AK183" s="593">
        <v>0</v>
      </c>
      <c r="AL183" s="593">
        <v>0</v>
      </c>
      <c r="AM183" s="593">
        <v>0</v>
      </c>
      <c r="AN183" s="593">
        <v>0</v>
      </c>
      <c r="AO183" s="593">
        <v>0</v>
      </c>
      <c r="AP183" s="593">
        <v>0</v>
      </c>
      <c r="AQ183" s="593">
        <v>0</v>
      </c>
      <c r="AR183" s="593">
        <v>0</v>
      </c>
      <c r="AS183" s="593">
        <v>0</v>
      </c>
      <c r="AT183" s="570">
        <f t="shared" si="124"/>
        <v>2.75E-2</v>
      </c>
      <c r="AU183" s="571">
        <v>10</v>
      </c>
      <c r="AV183" s="625">
        <f t="shared" si="177"/>
        <v>0.16666666666666666</v>
      </c>
      <c r="AW183" s="1003">
        <v>10</v>
      </c>
      <c r="AX183" s="604">
        <f t="shared" si="178"/>
        <v>10</v>
      </c>
      <c r="AY183" s="604">
        <f t="shared" si="179"/>
        <v>100</v>
      </c>
      <c r="AZ183" s="604">
        <f t="shared" si="128"/>
        <v>100</v>
      </c>
      <c r="BA183" s="592">
        <f t="shared" si="129"/>
        <v>2.75E-2</v>
      </c>
      <c r="BB183" s="592">
        <f t="shared" si="130"/>
        <v>100</v>
      </c>
      <c r="BC183" s="591">
        <v>104000000</v>
      </c>
      <c r="BD183" s="591">
        <v>0</v>
      </c>
      <c r="BE183" s="591">
        <v>104000000</v>
      </c>
      <c r="BF183" s="591">
        <v>0</v>
      </c>
      <c r="BG183" s="591">
        <v>0</v>
      </c>
      <c r="BH183" s="591">
        <v>0</v>
      </c>
      <c r="BI183" s="591">
        <v>0</v>
      </c>
      <c r="BJ183" s="591">
        <v>0</v>
      </c>
      <c r="BK183" s="700">
        <v>0</v>
      </c>
      <c r="BL183" s="589">
        <v>0</v>
      </c>
      <c r="BM183" s="589">
        <v>0</v>
      </c>
      <c r="BN183" s="589">
        <v>0</v>
      </c>
      <c r="BO183" s="589">
        <v>0</v>
      </c>
      <c r="BP183" s="589">
        <v>0</v>
      </c>
      <c r="BQ183" s="589">
        <v>0</v>
      </c>
      <c r="BR183" s="589">
        <v>0</v>
      </c>
      <c r="BS183" s="589">
        <v>0</v>
      </c>
      <c r="BT183" s="589">
        <v>0</v>
      </c>
      <c r="BU183" s="589">
        <v>0</v>
      </c>
      <c r="BV183" s="588">
        <f t="shared" si="131"/>
        <v>6.8750000000000006E-2</v>
      </c>
      <c r="BW183" s="588">
        <v>25</v>
      </c>
      <c r="BX183" s="623">
        <f t="shared" si="180"/>
        <v>0.41666666666666669</v>
      </c>
      <c r="BY183" s="607">
        <v>5</v>
      </c>
      <c r="BZ183" s="629">
        <v>22</v>
      </c>
      <c r="CA183" s="1017">
        <v>25</v>
      </c>
      <c r="CB183" s="557">
        <f t="shared" si="181"/>
        <v>25</v>
      </c>
      <c r="CC183" s="557">
        <f t="shared" si="182"/>
        <v>100</v>
      </c>
      <c r="CD183" s="622">
        <f t="shared" si="135"/>
        <v>100</v>
      </c>
      <c r="CE183" s="621">
        <f t="shared" si="136"/>
        <v>6.8750000000000006E-2</v>
      </c>
      <c r="CF183" s="605">
        <f t="shared" si="137"/>
        <v>100</v>
      </c>
      <c r="CG183" s="621">
        <f t="shared" si="138"/>
        <v>6.8750000000000006E-2</v>
      </c>
      <c r="CH183" s="553">
        <f t="shared" si="139"/>
        <v>5.5E-2</v>
      </c>
      <c r="CI183" s="552">
        <v>20</v>
      </c>
      <c r="CJ183" s="551">
        <f t="shared" si="183"/>
        <v>0.33333333333333331</v>
      </c>
      <c r="CK183" s="874">
        <v>20</v>
      </c>
      <c r="CL183" s="533">
        <f t="shared" si="184"/>
        <v>0</v>
      </c>
      <c r="CM183" s="619">
        <f t="shared" si="185"/>
        <v>20</v>
      </c>
      <c r="CN183" s="619">
        <f t="shared" si="186"/>
        <v>100</v>
      </c>
      <c r="CO183" s="549">
        <f t="shared" si="144"/>
        <v>100</v>
      </c>
      <c r="CP183" s="619">
        <f t="shared" si="145"/>
        <v>5.5E-2</v>
      </c>
      <c r="CQ183" s="619">
        <f t="shared" si="146"/>
        <v>5.5E-2</v>
      </c>
      <c r="CR183" s="546">
        <v>240000000</v>
      </c>
      <c r="CS183" s="546">
        <v>240000000</v>
      </c>
      <c r="CT183" s="546">
        <v>0</v>
      </c>
      <c r="CU183" s="546">
        <v>0</v>
      </c>
      <c r="CV183" s="546">
        <v>0</v>
      </c>
      <c r="CW183" s="546">
        <v>0</v>
      </c>
      <c r="CX183" s="546">
        <v>0</v>
      </c>
      <c r="CY183" s="546">
        <v>0</v>
      </c>
      <c r="CZ183" s="618">
        <v>0</v>
      </c>
      <c r="DA183" s="618">
        <v>0</v>
      </c>
      <c r="DB183" s="618">
        <v>0</v>
      </c>
      <c r="DC183" s="618">
        <v>0</v>
      </c>
      <c r="DD183" s="618">
        <v>0</v>
      </c>
      <c r="DE183" s="618">
        <v>0</v>
      </c>
      <c r="DF183" s="618">
        <v>0</v>
      </c>
      <c r="DG183" s="618">
        <v>0</v>
      </c>
      <c r="DH183" s="618">
        <v>0</v>
      </c>
      <c r="DI183" s="618">
        <v>0</v>
      </c>
      <c r="DJ183" s="618">
        <v>0</v>
      </c>
      <c r="DK183" s="1034">
        <f t="shared" si="187"/>
        <v>60</v>
      </c>
      <c r="DL183" s="543">
        <f t="shared" si="148"/>
        <v>0.16500000000000001</v>
      </c>
      <c r="DM183" s="542">
        <f t="shared" si="149"/>
        <v>100</v>
      </c>
      <c r="DN183" s="594">
        <f t="shared" si="150"/>
        <v>100</v>
      </c>
      <c r="DO183" s="540">
        <f t="shared" si="151"/>
        <v>0.16500000000000001</v>
      </c>
      <c r="DP183" s="597">
        <f t="shared" ref="DP183:DP192" si="189">+IF(((DN183*Q183)/100)&lt;Q183, ((DN183*Q183)/100),Q183)</f>
        <v>0.16500000000000001</v>
      </c>
      <c r="DQ183" s="538">
        <f t="shared" si="152"/>
        <v>0.16500000000000001</v>
      </c>
      <c r="DR183" s="617">
        <f t="shared" si="153"/>
        <v>1</v>
      </c>
      <c r="DS183" s="616">
        <f t="shared" si="154"/>
        <v>0</v>
      </c>
      <c r="DT183" s="259">
        <v>203</v>
      </c>
      <c r="DU183" s="260" t="s">
        <v>278</v>
      </c>
      <c r="DV183" s="259"/>
      <c r="DW183" s="260" t="s">
        <v>242</v>
      </c>
      <c r="DX183" s="259"/>
      <c r="DY183" s="259"/>
      <c r="DZ183" s="259"/>
      <c r="EA183" s="987"/>
      <c r="EB183" s="1041" t="s">
        <v>2520</v>
      </c>
      <c r="EC183" s="802">
        <v>240000000</v>
      </c>
      <c r="EE183" s="1047"/>
    </row>
    <row r="184" spans="4:135" s="534" customFormat="1" ht="76.5" hidden="1" x14ac:dyDescent="0.3">
      <c r="D184" s="783">
        <v>181</v>
      </c>
      <c r="E184" s="799">
        <v>225</v>
      </c>
      <c r="F184" s="787" t="s">
        <v>200</v>
      </c>
      <c r="G184" s="787" t="s">
        <v>239</v>
      </c>
      <c r="H184" s="788" t="s">
        <v>2224</v>
      </c>
      <c r="I184" s="712" t="s">
        <v>678</v>
      </c>
      <c r="J184" s="573" t="s">
        <v>679</v>
      </c>
      <c r="K184" s="573" t="s">
        <v>680</v>
      </c>
      <c r="L184" s="702" t="s">
        <v>2047</v>
      </c>
      <c r="M184" s="570" t="s">
        <v>2017</v>
      </c>
      <c r="N184" s="570">
        <v>0</v>
      </c>
      <c r="O184" s="570">
        <f t="shared" si="188"/>
        <v>5</v>
      </c>
      <c r="P184" s="569">
        <v>5</v>
      </c>
      <c r="Q184" s="628">
        <v>0.16500000000000001</v>
      </c>
      <c r="R184" s="580">
        <f t="shared" si="118"/>
        <v>0</v>
      </c>
      <c r="S184" s="708">
        <v>0</v>
      </c>
      <c r="T184" s="625">
        <f t="shared" si="174"/>
        <v>0</v>
      </c>
      <c r="U184" s="992">
        <v>0</v>
      </c>
      <c r="V184" s="626">
        <f t="shared" si="175"/>
        <v>0</v>
      </c>
      <c r="W184" s="594">
        <f t="shared" si="176"/>
        <v>0</v>
      </c>
      <c r="X184" s="594">
        <f t="shared" si="122"/>
        <v>0</v>
      </c>
      <c r="Y184" s="594">
        <f t="shared" si="155"/>
        <v>0</v>
      </c>
      <c r="Z184" s="594">
        <f t="shared" si="123"/>
        <v>0</v>
      </c>
      <c r="AA184" s="546">
        <v>0</v>
      </c>
      <c r="AB184" s="546">
        <v>0</v>
      </c>
      <c r="AC184" s="546">
        <v>0</v>
      </c>
      <c r="AD184" s="546">
        <v>0</v>
      </c>
      <c r="AE184" s="546">
        <v>0</v>
      </c>
      <c r="AF184" s="546">
        <v>0</v>
      </c>
      <c r="AG184" s="546">
        <v>0</v>
      </c>
      <c r="AH184" s="546">
        <v>0</v>
      </c>
      <c r="AI184" s="546">
        <v>0</v>
      </c>
      <c r="AJ184" s="546">
        <v>0</v>
      </c>
      <c r="AK184" s="546">
        <v>0</v>
      </c>
      <c r="AL184" s="546">
        <v>0</v>
      </c>
      <c r="AM184" s="546">
        <v>0</v>
      </c>
      <c r="AN184" s="546">
        <v>0</v>
      </c>
      <c r="AO184" s="546">
        <v>0</v>
      </c>
      <c r="AP184" s="546">
        <v>0</v>
      </c>
      <c r="AQ184" s="546">
        <v>0</v>
      </c>
      <c r="AR184" s="546">
        <v>0</v>
      </c>
      <c r="AS184" s="546">
        <v>0</v>
      </c>
      <c r="AT184" s="570">
        <f t="shared" si="124"/>
        <v>6.6000000000000003E-2</v>
      </c>
      <c r="AU184" s="570">
        <v>2</v>
      </c>
      <c r="AV184" s="625">
        <f t="shared" si="177"/>
        <v>0.4</v>
      </c>
      <c r="AW184" s="1003">
        <v>2</v>
      </c>
      <c r="AX184" s="604">
        <f t="shared" si="178"/>
        <v>2</v>
      </c>
      <c r="AY184" s="604">
        <f t="shared" si="179"/>
        <v>100</v>
      </c>
      <c r="AZ184" s="604">
        <f t="shared" si="128"/>
        <v>100</v>
      </c>
      <c r="BA184" s="592">
        <f t="shared" si="129"/>
        <v>6.6000000000000003E-2</v>
      </c>
      <c r="BB184" s="592">
        <f t="shared" si="130"/>
        <v>100</v>
      </c>
      <c r="BC184" s="591">
        <v>20000000</v>
      </c>
      <c r="BD184" s="591">
        <v>0</v>
      </c>
      <c r="BE184" s="591">
        <v>20000000</v>
      </c>
      <c r="BF184" s="591">
        <v>0</v>
      </c>
      <c r="BG184" s="591">
        <v>0</v>
      </c>
      <c r="BH184" s="591">
        <v>0</v>
      </c>
      <c r="BI184" s="591">
        <v>0</v>
      </c>
      <c r="BJ184" s="591">
        <v>0</v>
      </c>
      <c r="BK184" s="700">
        <v>12000000</v>
      </c>
      <c r="BL184" s="589">
        <v>12000000</v>
      </c>
      <c r="BM184" s="589">
        <v>0</v>
      </c>
      <c r="BN184" s="589">
        <v>0</v>
      </c>
      <c r="BO184" s="589">
        <v>0</v>
      </c>
      <c r="BP184" s="589">
        <v>0</v>
      </c>
      <c r="BQ184" s="589">
        <v>0</v>
      </c>
      <c r="BR184" s="589">
        <v>0</v>
      </c>
      <c r="BS184" s="589">
        <v>0</v>
      </c>
      <c r="BT184" s="589">
        <v>0</v>
      </c>
      <c r="BU184" s="589">
        <v>0</v>
      </c>
      <c r="BV184" s="588">
        <f t="shared" si="131"/>
        <v>6.6000000000000003E-2</v>
      </c>
      <c r="BW184" s="588">
        <v>2</v>
      </c>
      <c r="BX184" s="623">
        <f t="shared" si="180"/>
        <v>0.4</v>
      </c>
      <c r="BY184" s="607">
        <v>2</v>
      </c>
      <c r="BZ184" s="629">
        <v>4</v>
      </c>
      <c r="CA184" s="1017">
        <v>2</v>
      </c>
      <c r="CB184" s="557">
        <f t="shared" si="181"/>
        <v>2</v>
      </c>
      <c r="CC184" s="557">
        <f t="shared" si="182"/>
        <v>100</v>
      </c>
      <c r="CD184" s="622">
        <f t="shared" si="135"/>
        <v>100</v>
      </c>
      <c r="CE184" s="621">
        <f t="shared" si="136"/>
        <v>6.6000000000000003E-2</v>
      </c>
      <c r="CF184" s="605">
        <f t="shared" si="137"/>
        <v>100</v>
      </c>
      <c r="CG184" s="621">
        <f t="shared" si="138"/>
        <v>6.6000000000000003E-2</v>
      </c>
      <c r="CH184" s="553">
        <f t="shared" si="139"/>
        <v>3.3000000000000002E-2</v>
      </c>
      <c r="CI184" s="552">
        <v>1</v>
      </c>
      <c r="CJ184" s="551">
        <f t="shared" si="183"/>
        <v>0.2</v>
      </c>
      <c r="CK184" s="874">
        <v>1</v>
      </c>
      <c r="CL184" s="533">
        <f t="shared" si="184"/>
        <v>0</v>
      </c>
      <c r="CM184" s="619">
        <f t="shared" si="185"/>
        <v>1</v>
      </c>
      <c r="CN184" s="619">
        <f t="shared" si="186"/>
        <v>100</v>
      </c>
      <c r="CO184" s="549">
        <f t="shared" si="144"/>
        <v>100</v>
      </c>
      <c r="CP184" s="619">
        <f t="shared" si="145"/>
        <v>3.3000000000000002E-2</v>
      </c>
      <c r="CQ184" s="619">
        <f t="shared" si="146"/>
        <v>3.3000000000000002E-2</v>
      </c>
      <c r="CR184" s="546">
        <v>11000000</v>
      </c>
      <c r="CS184" s="546">
        <v>11000000</v>
      </c>
      <c r="CT184" s="546">
        <v>0</v>
      </c>
      <c r="CU184" s="546">
        <v>0</v>
      </c>
      <c r="CV184" s="546">
        <v>0</v>
      </c>
      <c r="CW184" s="546">
        <v>0</v>
      </c>
      <c r="CX184" s="546">
        <v>0</v>
      </c>
      <c r="CY184" s="546">
        <v>0</v>
      </c>
      <c r="CZ184" s="618">
        <v>0</v>
      </c>
      <c r="DA184" s="618">
        <v>0</v>
      </c>
      <c r="DB184" s="618">
        <v>0</v>
      </c>
      <c r="DC184" s="618">
        <v>0</v>
      </c>
      <c r="DD184" s="618">
        <v>0</v>
      </c>
      <c r="DE184" s="618">
        <v>0</v>
      </c>
      <c r="DF184" s="618">
        <v>0</v>
      </c>
      <c r="DG184" s="618">
        <v>0</v>
      </c>
      <c r="DH184" s="618">
        <v>0</v>
      </c>
      <c r="DI184" s="618">
        <v>0</v>
      </c>
      <c r="DJ184" s="618">
        <v>0</v>
      </c>
      <c r="DK184" s="1034">
        <f t="shared" si="187"/>
        <v>5</v>
      </c>
      <c r="DL184" s="543">
        <f t="shared" si="148"/>
        <v>0.16500000000000001</v>
      </c>
      <c r="DM184" s="542">
        <f t="shared" si="149"/>
        <v>100</v>
      </c>
      <c r="DN184" s="594">
        <f t="shared" si="150"/>
        <v>100</v>
      </c>
      <c r="DO184" s="540">
        <f t="shared" si="151"/>
        <v>0.16500000000000001</v>
      </c>
      <c r="DP184" s="597">
        <f t="shared" si="189"/>
        <v>0.16500000000000001</v>
      </c>
      <c r="DQ184" s="538">
        <f t="shared" si="152"/>
        <v>0.16500000000000001</v>
      </c>
      <c r="DR184" s="617">
        <f t="shared" si="153"/>
        <v>1</v>
      </c>
      <c r="DS184" s="616">
        <f t="shared" si="154"/>
        <v>0</v>
      </c>
      <c r="DT184" s="259">
        <v>202</v>
      </c>
      <c r="DU184" s="260" t="s">
        <v>279</v>
      </c>
      <c r="DV184" s="259"/>
      <c r="DW184" s="260" t="s">
        <v>242</v>
      </c>
      <c r="DX184" s="259"/>
      <c r="DY184" s="259"/>
      <c r="DZ184" s="259"/>
      <c r="EA184" s="987"/>
      <c r="EB184" s="1041" t="s">
        <v>2521</v>
      </c>
      <c r="EC184" s="802">
        <v>20000000</v>
      </c>
      <c r="EE184" s="1047"/>
    </row>
    <row r="185" spans="4:135" s="534" customFormat="1" ht="51" hidden="1" x14ac:dyDescent="0.3">
      <c r="D185" s="783">
        <v>182</v>
      </c>
      <c r="E185" s="799">
        <v>226</v>
      </c>
      <c r="F185" s="574" t="s">
        <v>200</v>
      </c>
      <c r="G185" s="574" t="s">
        <v>7</v>
      </c>
      <c r="H185" s="574" t="s">
        <v>2224</v>
      </c>
      <c r="I185" s="574" t="s">
        <v>678</v>
      </c>
      <c r="J185" s="573" t="s">
        <v>2234</v>
      </c>
      <c r="K185" s="573" t="s">
        <v>681</v>
      </c>
      <c r="L185" s="701" t="s">
        <v>2233</v>
      </c>
      <c r="M185" s="570" t="s">
        <v>2017</v>
      </c>
      <c r="N185" s="570">
        <v>0</v>
      </c>
      <c r="O185" s="570">
        <f t="shared" si="188"/>
        <v>3</v>
      </c>
      <c r="P185" s="569">
        <v>3</v>
      </c>
      <c r="Q185" s="631">
        <v>0.16500000000000001</v>
      </c>
      <c r="R185" s="580">
        <f t="shared" si="118"/>
        <v>0</v>
      </c>
      <c r="S185" s="708">
        <v>0</v>
      </c>
      <c r="T185" s="625">
        <f t="shared" si="174"/>
        <v>0</v>
      </c>
      <c r="U185" s="992">
        <v>0</v>
      </c>
      <c r="V185" s="626">
        <f t="shared" si="175"/>
        <v>0</v>
      </c>
      <c r="W185" s="594">
        <f t="shared" si="176"/>
        <v>0</v>
      </c>
      <c r="X185" s="594">
        <f t="shared" si="122"/>
        <v>0</v>
      </c>
      <c r="Y185" s="594">
        <f t="shared" si="155"/>
        <v>0</v>
      </c>
      <c r="Z185" s="594">
        <f t="shared" si="123"/>
        <v>0</v>
      </c>
      <c r="AA185" s="546">
        <v>0</v>
      </c>
      <c r="AB185" s="546">
        <v>0</v>
      </c>
      <c r="AC185" s="546">
        <v>0</v>
      </c>
      <c r="AD185" s="546">
        <v>0</v>
      </c>
      <c r="AE185" s="546">
        <v>0</v>
      </c>
      <c r="AF185" s="546">
        <v>0</v>
      </c>
      <c r="AG185" s="546">
        <v>0</v>
      </c>
      <c r="AH185" s="546">
        <v>0</v>
      </c>
      <c r="AI185" s="546">
        <v>19980000</v>
      </c>
      <c r="AJ185" s="546">
        <v>19980000</v>
      </c>
      <c r="AK185" s="546">
        <v>0</v>
      </c>
      <c r="AL185" s="546">
        <v>0</v>
      </c>
      <c r="AM185" s="546">
        <v>0</v>
      </c>
      <c r="AN185" s="546">
        <v>0</v>
      </c>
      <c r="AO185" s="546">
        <v>0</v>
      </c>
      <c r="AP185" s="546">
        <v>0</v>
      </c>
      <c r="AQ185" s="546">
        <v>0</v>
      </c>
      <c r="AR185" s="546">
        <v>0</v>
      </c>
      <c r="AS185" s="546" t="s">
        <v>2045</v>
      </c>
      <c r="AT185" s="630">
        <f t="shared" si="124"/>
        <v>0</v>
      </c>
      <c r="AU185" s="570">
        <v>0</v>
      </c>
      <c r="AV185" s="625">
        <f t="shared" si="177"/>
        <v>0</v>
      </c>
      <c r="AW185" s="1003">
        <v>0</v>
      </c>
      <c r="AX185" s="604">
        <f t="shared" si="178"/>
        <v>0</v>
      </c>
      <c r="AY185" s="604">
        <f t="shared" si="179"/>
        <v>0</v>
      </c>
      <c r="AZ185" s="604">
        <f t="shared" si="128"/>
        <v>0</v>
      </c>
      <c r="BA185" s="592">
        <f t="shared" si="129"/>
        <v>0</v>
      </c>
      <c r="BB185" s="592">
        <f t="shared" si="130"/>
        <v>0</v>
      </c>
      <c r="BC185" s="591">
        <v>16000000</v>
      </c>
      <c r="BD185" s="591">
        <v>0</v>
      </c>
      <c r="BE185" s="591">
        <v>16000000</v>
      </c>
      <c r="BF185" s="591">
        <v>0</v>
      </c>
      <c r="BG185" s="591">
        <v>0</v>
      </c>
      <c r="BH185" s="591">
        <v>0</v>
      </c>
      <c r="BI185" s="591">
        <v>0</v>
      </c>
      <c r="BJ185" s="591">
        <v>0</v>
      </c>
      <c r="BK185" s="700">
        <v>0</v>
      </c>
      <c r="BL185" s="589">
        <v>0</v>
      </c>
      <c r="BM185" s="589">
        <v>0</v>
      </c>
      <c r="BN185" s="589">
        <v>0</v>
      </c>
      <c r="BO185" s="589">
        <v>0</v>
      </c>
      <c r="BP185" s="589">
        <v>0</v>
      </c>
      <c r="BQ185" s="589">
        <v>0</v>
      </c>
      <c r="BR185" s="589">
        <v>0</v>
      </c>
      <c r="BS185" s="589">
        <v>0</v>
      </c>
      <c r="BT185" s="589">
        <v>0</v>
      </c>
      <c r="BU185" s="589">
        <v>0</v>
      </c>
      <c r="BV185" s="588">
        <f t="shared" si="131"/>
        <v>0.16500000000000001</v>
      </c>
      <c r="BW185" s="588">
        <v>3</v>
      </c>
      <c r="BX185" s="623">
        <f t="shared" si="180"/>
        <v>1</v>
      </c>
      <c r="BY185" s="639">
        <v>0</v>
      </c>
      <c r="BZ185" s="638">
        <v>2</v>
      </c>
      <c r="CA185" s="1018">
        <v>2</v>
      </c>
      <c r="CB185" s="557">
        <f t="shared" si="181"/>
        <v>2</v>
      </c>
      <c r="CC185" s="557">
        <f t="shared" si="182"/>
        <v>66.666666666666671</v>
      </c>
      <c r="CD185" s="622">
        <f t="shared" si="135"/>
        <v>66.666666666666671</v>
      </c>
      <c r="CE185" s="621">
        <f t="shared" si="136"/>
        <v>0.11000000000000001</v>
      </c>
      <c r="CF185" s="605">
        <f t="shared" si="137"/>
        <v>66.666666666666671</v>
      </c>
      <c r="CG185" s="621">
        <f t="shared" si="138"/>
        <v>0.11000000000000001</v>
      </c>
      <c r="CH185" s="553">
        <f t="shared" si="139"/>
        <v>0</v>
      </c>
      <c r="CI185" s="552">
        <v>0</v>
      </c>
      <c r="CJ185" s="551">
        <f t="shared" si="183"/>
        <v>0</v>
      </c>
      <c r="CK185" s="874">
        <v>1</v>
      </c>
      <c r="CL185" s="533">
        <f t="shared" si="184"/>
        <v>-1</v>
      </c>
      <c r="CM185" s="619">
        <f t="shared" si="185"/>
        <v>1</v>
      </c>
      <c r="CN185" s="619">
        <f t="shared" si="186"/>
        <v>0</v>
      </c>
      <c r="CO185" s="549">
        <f t="shared" si="144"/>
        <v>0</v>
      </c>
      <c r="CP185" s="619">
        <f t="shared" si="145"/>
        <v>0</v>
      </c>
      <c r="CQ185" s="619">
        <f t="shared" si="146"/>
        <v>0</v>
      </c>
      <c r="CR185" s="546">
        <v>36000000</v>
      </c>
      <c r="CS185" s="546">
        <v>36000000</v>
      </c>
      <c r="CT185" s="546">
        <v>0</v>
      </c>
      <c r="CU185" s="546">
        <v>0</v>
      </c>
      <c r="CV185" s="546">
        <v>0</v>
      </c>
      <c r="CW185" s="546">
        <v>0</v>
      </c>
      <c r="CX185" s="546">
        <v>0</v>
      </c>
      <c r="CY185" s="546">
        <v>0</v>
      </c>
      <c r="CZ185" s="618">
        <v>0</v>
      </c>
      <c r="DA185" s="618">
        <v>0</v>
      </c>
      <c r="DB185" s="618">
        <v>0</v>
      </c>
      <c r="DC185" s="618">
        <v>0</v>
      </c>
      <c r="DD185" s="618">
        <v>0</v>
      </c>
      <c r="DE185" s="618">
        <v>0</v>
      </c>
      <c r="DF185" s="618">
        <v>0</v>
      </c>
      <c r="DG185" s="618">
        <v>0</v>
      </c>
      <c r="DH185" s="618">
        <v>0</v>
      </c>
      <c r="DI185" s="618">
        <v>0</v>
      </c>
      <c r="DJ185" s="618">
        <v>0</v>
      </c>
      <c r="DK185" s="1034">
        <f t="shared" si="187"/>
        <v>3</v>
      </c>
      <c r="DL185" s="543">
        <f t="shared" si="148"/>
        <v>0.16500000000000001</v>
      </c>
      <c r="DM185" s="542">
        <f t="shared" si="149"/>
        <v>100</v>
      </c>
      <c r="DN185" s="594">
        <f t="shared" si="150"/>
        <v>100</v>
      </c>
      <c r="DO185" s="540">
        <f t="shared" si="151"/>
        <v>0.16500000000000001</v>
      </c>
      <c r="DP185" s="597">
        <f t="shared" si="189"/>
        <v>0.16500000000000001</v>
      </c>
      <c r="DQ185" s="538">
        <f t="shared" si="152"/>
        <v>0.16500000000000001</v>
      </c>
      <c r="DR185" s="617">
        <f t="shared" si="153"/>
        <v>1</v>
      </c>
      <c r="DS185" s="616">
        <f t="shared" si="154"/>
        <v>0</v>
      </c>
      <c r="DT185" s="259">
        <v>202</v>
      </c>
      <c r="DU185" s="260" t="s">
        <v>279</v>
      </c>
      <c r="DV185" s="259"/>
      <c r="DW185" s="260" t="s">
        <v>242</v>
      </c>
      <c r="DX185" s="259"/>
      <c r="DY185" s="259"/>
      <c r="DZ185" s="259"/>
      <c r="EA185" s="987"/>
      <c r="EB185" s="1041" t="s">
        <v>2522</v>
      </c>
      <c r="EC185" s="802">
        <v>36000000</v>
      </c>
      <c r="EE185" s="1047"/>
    </row>
    <row r="186" spans="4:135" s="534" customFormat="1" ht="51" hidden="1" x14ac:dyDescent="0.3">
      <c r="D186" s="783">
        <v>183</v>
      </c>
      <c r="E186" s="799">
        <v>227</v>
      </c>
      <c r="F186" s="787" t="s">
        <v>200</v>
      </c>
      <c r="G186" s="787" t="s">
        <v>7</v>
      </c>
      <c r="H186" s="788" t="s">
        <v>2224</v>
      </c>
      <c r="I186" s="712" t="s">
        <v>678</v>
      </c>
      <c r="J186" s="573" t="s">
        <v>682</v>
      </c>
      <c r="K186" s="573" t="s">
        <v>683</v>
      </c>
      <c r="L186" s="701" t="s">
        <v>2138</v>
      </c>
      <c r="M186" s="570" t="s">
        <v>2017</v>
      </c>
      <c r="N186" s="570">
        <v>0</v>
      </c>
      <c r="O186" s="570">
        <f t="shared" si="188"/>
        <v>1</v>
      </c>
      <c r="P186" s="569">
        <v>1</v>
      </c>
      <c r="Q186" s="628">
        <v>0.16500000000000001</v>
      </c>
      <c r="R186" s="580">
        <f t="shared" si="118"/>
        <v>0.16500000000000001</v>
      </c>
      <c r="S186" s="708">
        <v>1</v>
      </c>
      <c r="T186" s="625">
        <f t="shared" si="174"/>
        <v>1</v>
      </c>
      <c r="U186" s="992">
        <v>0.5</v>
      </c>
      <c r="V186" s="626">
        <f t="shared" si="175"/>
        <v>0.5</v>
      </c>
      <c r="W186" s="594">
        <f t="shared" si="176"/>
        <v>50</v>
      </c>
      <c r="X186" s="594">
        <f t="shared" si="122"/>
        <v>50</v>
      </c>
      <c r="Y186" s="594">
        <f t="shared" si="155"/>
        <v>8.2500000000000004E-2</v>
      </c>
      <c r="Z186" s="594">
        <f t="shared" si="123"/>
        <v>50</v>
      </c>
      <c r="AA186" s="546">
        <v>20000000</v>
      </c>
      <c r="AB186" s="546">
        <v>20000000</v>
      </c>
      <c r="AC186" s="546">
        <v>0</v>
      </c>
      <c r="AD186" s="546">
        <v>0</v>
      </c>
      <c r="AE186" s="546">
        <v>0</v>
      </c>
      <c r="AF186" s="546">
        <v>0</v>
      </c>
      <c r="AG186" s="546">
        <v>0</v>
      </c>
      <c r="AH186" s="546">
        <v>0</v>
      </c>
      <c r="AI186" s="546">
        <v>79865000</v>
      </c>
      <c r="AJ186" s="546">
        <v>79865000</v>
      </c>
      <c r="AK186" s="546">
        <v>0</v>
      </c>
      <c r="AL186" s="546">
        <v>0</v>
      </c>
      <c r="AM186" s="546">
        <v>0</v>
      </c>
      <c r="AN186" s="546">
        <v>0</v>
      </c>
      <c r="AO186" s="546">
        <v>0</v>
      </c>
      <c r="AP186" s="546">
        <v>0</v>
      </c>
      <c r="AQ186" s="546">
        <v>0</v>
      </c>
      <c r="AR186" s="546">
        <v>0</v>
      </c>
      <c r="AS186" s="546">
        <v>0</v>
      </c>
      <c r="AT186" s="570">
        <f t="shared" si="124"/>
        <v>0</v>
      </c>
      <c r="AU186" s="570">
        <v>0</v>
      </c>
      <c r="AV186" s="625">
        <f t="shared" si="177"/>
        <v>0</v>
      </c>
      <c r="AW186" s="1003">
        <v>0</v>
      </c>
      <c r="AX186" s="604">
        <f t="shared" si="178"/>
        <v>0</v>
      </c>
      <c r="AY186" s="604">
        <f t="shared" si="179"/>
        <v>0</v>
      </c>
      <c r="AZ186" s="604">
        <f t="shared" si="128"/>
        <v>0</v>
      </c>
      <c r="BA186" s="592">
        <f t="shared" si="129"/>
        <v>0</v>
      </c>
      <c r="BB186" s="592">
        <f t="shared" si="130"/>
        <v>0</v>
      </c>
      <c r="BC186" s="591">
        <v>0</v>
      </c>
      <c r="BD186" s="591">
        <v>0</v>
      </c>
      <c r="BE186" s="591">
        <v>0</v>
      </c>
      <c r="BF186" s="591">
        <v>0</v>
      </c>
      <c r="BG186" s="591">
        <v>0</v>
      </c>
      <c r="BH186" s="591">
        <v>0</v>
      </c>
      <c r="BI186" s="591">
        <v>0</v>
      </c>
      <c r="BJ186" s="591">
        <v>0</v>
      </c>
      <c r="BK186" s="700">
        <v>0</v>
      </c>
      <c r="BL186" s="589">
        <v>0</v>
      </c>
      <c r="BM186" s="589">
        <v>0</v>
      </c>
      <c r="BN186" s="589">
        <v>0</v>
      </c>
      <c r="BO186" s="589">
        <v>0</v>
      </c>
      <c r="BP186" s="589">
        <v>0</v>
      </c>
      <c r="BQ186" s="589">
        <v>0</v>
      </c>
      <c r="BR186" s="589">
        <v>0</v>
      </c>
      <c r="BS186" s="589">
        <v>0</v>
      </c>
      <c r="BT186" s="589">
        <v>0</v>
      </c>
      <c r="BU186" s="589">
        <v>0</v>
      </c>
      <c r="BV186" s="588">
        <f t="shared" si="131"/>
        <v>0</v>
      </c>
      <c r="BW186" s="588">
        <v>0</v>
      </c>
      <c r="BX186" s="623">
        <f t="shared" si="180"/>
        <v>0</v>
      </c>
      <c r="BY186" s="639">
        <v>1</v>
      </c>
      <c r="BZ186" s="638">
        <v>0</v>
      </c>
      <c r="CA186" s="1018">
        <v>0</v>
      </c>
      <c r="CB186" s="557">
        <f t="shared" si="181"/>
        <v>0</v>
      </c>
      <c r="CC186" s="557">
        <f t="shared" si="182"/>
        <v>0</v>
      </c>
      <c r="CD186" s="622">
        <f t="shared" si="135"/>
        <v>0</v>
      </c>
      <c r="CE186" s="621">
        <f t="shared" si="136"/>
        <v>0</v>
      </c>
      <c r="CF186" s="605">
        <f t="shared" si="137"/>
        <v>0</v>
      </c>
      <c r="CG186" s="621">
        <f t="shared" si="138"/>
        <v>0</v>
      </c>
      <c r="CH186" s="553">
        <f t="shared" si="139"/>
        <v>0</v>
      </c>
      <c r="CI186" s="552">
        <v>0</v>
      </c>
      <c r="CJ186" s="551">
        <f t="shared" si="183"/>
        <v>0</v>
      </c>
      <c r="CK186" s="874">
        <v>0.3</v>
      </c>
      <c r="CL186" s="533">
        <f t="shared" si="184"/>
        <v>-0.3</v>
      </c>
      <c r="CM186" s="619">
        <f t="shared" si="185"/>
        <v>0.3</v>
      </c>
      <c r="CN186" s="619">
        <f t="shared" si="186"/>
        <v>0</v>
      </c>
      <c r="CO186" s="549">
        <f t="shared" si="144"/>
        <v>0</v>
      </c>
      <c r="CP186" s="619">
        <f t="shared" si="145"/>
        <v>0</v>
      </c>
      <c r="CQ186" s="619">
        <f t="shared" si="146"/>
        <v>0</v>
      </c>
      <c r="CR186" s="546">
        <v>0</v>
      </c>
      <c r="CS186" s="546">
        <v>0</v>
      </c>
      <c r="CT186" s="546">
        <v>0</v>
      </c>
      <c r="CU186" s="546">
        <v>0</v>
      </c>
      <c r="CV186" s="546">
        <v>0</v>
      </c>
      <c r="CW186" s="546">
        <v>0</v>
      </c>
      <c r="CX186" s="546">
        <v>0</v>
      </c>
      <c r="CY186" s="546">
        <v>0</v>
      </c>
      <c r="CZ186" s="618">
        <v>0</v>
      </c>
      <c r="DA186" s="618">
        <v>0</v>
      </c>
      <c r="DB186" s="618">
        <v>0</v>
      </c>
      <c r="DC186" s="618">
        <v>0</v>
      </c>
      <c r="DD186" s="618">
        <v>0</v>
      </c>
      <c r="DE186" s="618">
        <v>0</v>
      </c>
      <c r="DF186" s="618">
        <v>0</v>
      </c>
      <c r="DG186" s="618">
        <v>0</v>
      </c>
      <c r="DH186" s="618">
        <v>0</v>
      </c>
      <c r="DI186" s="618">
        <v>0</v>
      </c>
      <c r="DJ186" s="618">
        <v>0</v>
      </c>
      <c r="DK186" s="1034">
        <f t="shared" si="187"/>
        <v>0.8</v>
      </c>
      <c r="DL186" s="543">
        <f t="shared" si="148"/>
        <v>0.16500000000000001</v>
      </c>
      <c r="DM186" s="542">
        <f t="shared" si="149"/>
        <v>80</v>
      </c>
      <c r="DN186" s="594">
        <f t="shared" si="150"/>
        <v>80</v>
      </c>
      <c r="DO186" s="540">
        <f t="shared" si="151"/>
        <v>0.13200000000000001</v>
      </c>
      <c r="DP186" s="597">
        <f t="shared" si="189"/>
        <v>0.13200000000000001</v>
      </c>
      <c r="DQ186" s="538">
        <f t="shared" si="152"/>
        <v>0.13200000000000001</v>
      </c>
      <c r="DR186" s="617">
        <f t="shared" si="153"/>
        <v>1</v>
      </c>
      <c r="DS186" s="616">
        <f t="shared" si="154"/>
        <v>0</v>
      </c>
      <c r="DT186" s="259">
        <v>202</v>
      </c>
      <c r="DU186" s="260" t="s">
        <v>279</v>
      </c>
      <c r="DV186" s="259"/>
      <c r="DW186" s="260" t="s">
        <v>242</v>
      </c>
      <c r="DX186" s="259"/>
      <c r="DY186" s="259"/>
      <c r="DZ186" s="259"/>
      <c r="EA186" s="987"/>
      <c r="EB186" s="1041" t="s">
        <v>2523</v>
      </c>
      <c r="EC186" s="802">
        <v>50000000</v>
      </c>
      <c r="EE186" s="1047"/>
    </row>
    <row r="187" spans="4:135" s="534" customFormat="1" ht="114.75" hidden="1" x14ac:dyDescent="0.3">
      <c r="D187" s="783">
        <v>184</v>
      </c>
      <c r="E187" s="799">
        <v>228</v>
      </c>
      <c r="F187" s="787" t="s">
        <v>200</v>
      </c>
      <c r="G187" s="787" t="s">
        <v>7</v>
      </c>
      <c r="H187" s="788" t="s">
        <v>2224</v>
      </c>
      <c r="I187" s="712" t="s">
        <v>678</v>
      </c>
      <c r="J187" s="573" t="s">
        <v>684</v>
      </c>
      <c r="K187" s="573" t="s">
        <v>685</v>
      </c>
      <c r="L187" s="702" t="s">
        <v>2148</v>
      </c>
      <c r="M187" s="570" t="s">
        <v>2017</v>
      </c>
      <c r="N187" s="570">
        <v>0</v>
      </c>
      <c r="O187" s="570">
        <f t="shared" si="188"/>
        <v>6</v>
      </c>
      <c r="P187" s="569">
        <v>6</v>
      </c>
      <c r="Q187" s="628">
        <v>0.16500000000000001</v>
      </c>
      <c r="R187" s="580">
        <f t="shared" si="118"/>
        <v>2.75E-2</v>
      </c>
      <c r="S187" s="708">
        <v>1</v>
      </c>
      <c r="T187" s="625">
        <f t="shared" si="174"/>
        <v>0.16666666666666666</v>
      </c>
      <c r="U187" s="992">
        <v>1</v>
      </c>
      <c r="V187" s="626">
        <f t="shared" si="175"/>
        <v>1</v>
      </c>
      <c r="W187" s="594">
        <f t="shared" si="176"/>
        <v>100</v>
      </c>
      <c r="X187" s="594">
        <f t="shared" si="122"/>
        <v>100</v>
      </c>
      <c r="Y187" s="594">
        <f t="shared" si="155"/>
        <v>2.75E-2</v>
      </c>
      <c r="Z187" s="594">
        <f t="shared" si="123"/>
        <v>100</v>
      </c>
      <c r="AA187" s="546">
        <v>85000000</v>
      </c>
      <c r="AB187" s="546">
        <v>85000000</v>
      </c>
      <c r="AC187" s="546">
        <v>0</v>
      </c>
      <c r="AD187" s="546">
        <v>0</v>
      </c>
      <c r="AE187" s="546">
        <v>0</v>
      </c>
      <c r="AF187" s="546">
        <v>0</v>
      </c>
      <c r="AG187" s="546">
        <v>0</v>
      </c>
      <c r="AH187" s="546">
        <v>0</v>
      </c>
      <c r="AI187" s="546">
        <v>19960000</v>
      </c>
      <c r="AJ187" s="546">
        <v>19960000</v>
      </c>
      <c r="AK187" s="546">
        <v>0</v>
      </c>
      <c r="AL187" s="546">
        <v>0</v>
      </c>
      <c r="AM187" s="546">
        <v>0</v>
      </c>
      <c r="AN187" s="546">
        <v>0</v>
      </c>
      <c r="AO187" s="546">
        <v>0</v>
      </c>
      <c r="AP187" s="546">
        <v>0</v>
      </c>
      <c r="AQ187" s="546">
        <v>0</v>
      </c>
      <c r="AR187" s="546">
        <v>0</v>
      </c>
      <c r="AS187" s="546">
        <v>0</v>
      </c>
      <c r="AT187" s="570">
        <f t="shared" si="124"/>
        <v>2.75E-2</v>
      </c>
      <c r="AU187" s="570">
        <v>1</v>
      </c>
      <c r="AV187" s="625">
        <f t="shared" si="177"/>
        <v>0.16666666666666666</v>
      </c>
      <c r="AW187" s="1003">
        <v>1</v>
      </c>
      <c r="AX187" s="604">
        <f t="shared" si="178"/>
        <v>1</v>
      </c>
      <c r="AY187" s="604">
        <f t="shared" si="179"/>
        <v>100</v>
      </c>
      <c r="AZ187" s="604">
        <f t="shared" si="128"/>
        <v>100</v>
      </c>
      <c r="BA187" s="592">
        <f t="shared" si="129"/>
        <v>2.75E-2</v>
      </c>
      <c r="BB187" s="592">
        <f t="shared" si="130"/>
        <v>100</v>
      </c>
      <c r="BC187" s="591">
        <v>12000000</v>
      </c>
      <c r="BD187" s="591">
        <v>0</v>
      </c>
      <c r="BE187" s="591">
        <v>12000000</v>
      </c>
      <c r="BF187" s="591">
        <v>0</v>
      </c>
      <c r="BG187" s="591">
        <v>0</v>
      </c>
      <c r="BH187" s="591">
        <v>0</v>
      </c>
      <c r="BI187" s="591">
        <v>0</v>
      </c>
      <c r="BJ187" s="591">
        <v>0</v>
      </c>
      <c r="BK187" s="700">
        <v>0</v>
      </c>
      <c r="BL187" s="589">
        <v>0</v>
      </c>
      <c r="BM187" s="589">
        <v>0</v>
      </c>
      <c r="BN187" s="589">
        <v>0</v>
      </c>
      <c r="BO187" s="589">
        <v>0</v>
      </c>
      <c r="BP187" s="589">
        <v>0</v>
      </c>
      <c r="BQ187" s="589">
        <v>0</v>
      </c>
      <c r="BR187" s="589">
        <v>0</v>
      </c>
      <c r="BS187" s="589">
        <v>0</v>
      </c>
      <c r="BT187" s="589">
        <v>0</v>
      </c>
      <c r="BU187" s="589">
        <v>0</v>
      </c>
      <c r="BV187" s="588">
        <f t="shared" si="131"/>
        <v>5.5E-2</v>
      </c>
      <c r="BW187" s="588">
        <v>2</v>
      </c>
      <c r="BX187" s="623">
        <f t="shared" si="180"/>
        <v>0.33333333333333331</v>
      </c>
      <c r="BY187" s="639">
        <v>5</v>
      </c>
      <c r="BZ187" s="638">
        <v>5</v>
      </c>
      <c r="CA187" s="1018">
        <v>5</v>
      </c>
      <c r="CB187" s="557">
        <f t="shared" si="181"/>
        <v>5</v>
      </c>
      <c r="CC187" s="557">
        <f t="shared" si="182"/>
        <v>250</v>
      </c>
      <c r="CD187" s="622">
        <f t="shared" si="135"/>
        <v>100</v>
      </c>
      <c r="CE187" s="621">
        <f t="shared" si="136"/>
        <v>5.5E-2</v>
      </c>
      <c r="CF187" s="605">
        <f t="shared" si="137"/>
        <v>100</v>
      </c>
      <c r="CG187" s="621">
        <f t="shared" si="138"/>
        <v>0.13750000000000001</v>
      </c>
      <c r="CH187" s="553">
        <f t="shared" si="139"/>
        <v>5.5E-2</v>
      </c>
      <c r="CI187" s="552">
        <v>2</v>
      </c>
      <c r="CJ187" s="551">
        <f t="shared" si="183"/>
        <v>0.33333333333333331</v>
      </c>
      <c r="CK187" s="874">
        <v>0</v>
      </c>
      <c r="CL187" s="533">
        <f t="shared" si="184"/>
        <v>2</v>
      </c>
      <c r="CM187" s="619">
        <f t="shared" si="185"/>
        <v>0</v>
      </c>
      <c r="CN187" s="619">
        <f t="shared" si="186"/>
        <v>0</v>
      </c>
      <c r="CO187" s="549">
        <f t="shared" si="144"/>
        <v>0</v>
      </c>
      <c r="CP187" s="619">
        <f t="shared" si="145"/>
        <v>0</v>
      </c>
      <c r="CQ187" s="619">
        <f t="shared" si="146"/>
        <v>0</v>
      </c>
      <c r="CR187" s="546">
        <v>27000000</v>
      </c>
      <c r="CS187" s="546">
        <v>27000000</v>
      </c>
      <c r="CT187" s="546">
        <v>0</v>
      </c>
      <c r="CU187" s="546">
        <v>0</v>
      </c>
      <c r="CV187" s="546">
        <v>0</v>
      </c>
      <c r="CW187" s="546">
        <v>0</v>
      </c>
      <c r="CX187" s="546">
        <v>0</v>
      </c>
      <c r="CY187" s="546">
        <v>0</v>
      </c>
      <c r="CZ187" s="618">
        <v>0</v>
      </c>
      <c r="DA187" s="618">
        <v>0</v>
      </c>
      <c r="DB187" s="618">
        <v>0</v>
      </c>
      <c r="DC187" s="618">
        <v>0</v>
      </c>
      <c r="DD187" s="618">
        <v>0</v>
      </c>
      <c r="DE187" s="618">
        <v>0</v>
      </c>
      <c r="DF187" s="618">
        <v>0</v>
      </c>
      <c r="DG187" s="618">
        <v>0</v>
      </c>
      <c r="DH187" s="618">
        <v>0</v>
      </c>
      <c r="DI187" s="618">
        <v>0</v>
      </c>
      <c r="DJ187" s="618">
        <v>0</v>
      </c>
      <c r="DK187" s="1034">
        <f t="shared" si="187"/>
        <v>7</v>
      </c>
      <c r="DL187" s="543">
        <f t="shared" si="148"/>
        <v>0.16500000000000001</v>
      </c>
      <c r="DM187" s="542">
        <f t="shared" si="149"/>
        <v>116.66666666666667</v>
      </c>
      <c r="DN187" s="594">
        <f t="shared" si="150"/>
        <v>100</v>
      </c>
      <c r="DO187" s="540">
        <f t="shared" si="151"/>
        <v>0.16500000000000001</v>
      </c>
      <c r="DP187" s="597">
        <f t="shared" si="189"/>
        <v>0.16500000000000001</v>
      </c>
      <c r="DQ187" s="538">
        <f t="shared" si="152"/>
        <v>0.16500000000000001</v>
      </c>
      <c r="DR187" s="617">
        <f t="shared" si="153"/>
        <v>1</v>
      </c>
      <c r="DS187" s="616">
        <f t="shared" si="154"/>
        <v>0</v>
      </c>
      <c r="DT187" s="259">
        <v>202</v>
      </c>
      <c r="DU187" s="260" t="s">
        <v>279</v>
      </c>
      <c r="DV187" s="259"/>
      <c r="DW187" s="260" t="s">
        <v>242</v>
      </c>
      <c r="DX187" s="259"/>
      <c r="DY187" s="259"/>
      <c r="DZ187" s="259"/>
      <c r="EA187" s="987"/>
      <c r="EB187" s="1041" t="s">
        <v>2524</v>
      </c>
      <c r="EC187" s="802">
        <v>27000000</v>
      </c>
      <c r="EE187" s="1047"/>
    </row>
    <row r="188" spans="4:135" s="534" customFormat="1" ht="38.25" hidden="1" x14ac:dyDescent="0.3">
      <c r="D188" s="783">
        <v>185</v>
      </c>
      <c r="E188" s="799">
        <v>229</v>
      </c>
      <c r="F188" s="787" t="s">
        <v>200</v>
      </c>
      <c r="G188" s="787" t="s">
        <v>7</v>
      </c>
      <c r="H188" s="788" t="s">
        <v>2224</v>
      </c>
      <c r="I188" s="712" t="s">
        <v>678</v>
      </c>
      <c r="J188" s="573" t="s">
        <v>686</v>
      </c>
      <c r="K188" s="573" t="s">
        <v>687</v>
      </c>
      <c r="L188" s="702" t="s">
        <v>2047</v>
      </c>
      <c r="M188" s="570" t="s">
        <v>2017</v>
      </c>
      <c r="N188" s="570">
        <v>0</v>
      </c>
      <c r="O188" s="570">
        <f t="shared" si="188"/>
        <v>6</v>
      </c>
      <c r="P188" s="569">
        <v>6</v>
      </c>
      <c r="Q188" s="628">
        <v>0.16500000000000001</v>
      </c>
      <c r="R188" s="580">
        <f t="shared" si="118"/>
        <v>2.75E-2</v>
      </c>
      <c r="S188" s="708">
        <v>1</v>
      </c>
      <c r="T188" s="625">
        <f t="shared" si="174"/>
        <v>0.16666666666666666</v>
      </c>
      <c r="U188" s="992">
        <v>1</v>
      </c>
      <c r="V188" s="626">
        <f t="shared" si="175"/>
        <v>1</v>
      </c>
      <c r="W188" s="594">
        <f t="shared" si="176"/>
        <v>100</v>
      </c>
      <c r="X188" s="594">
        <f t="shared" si="122"/>
        <v>100</v>
      </c>
      <c r="Y188" s="594">
        <f t="shared" si="155"/>
        <v>2.75E-2</v>
      </c>
      <c r="Z188" s="594">
        <f t="shared" si="123"/>
        <v>100</v>
      </c>
      <c r="AA188" s="546">
        <v>0</v>
      </c>
      <c r="AB188" s="546">
        <v>0</v>
      </c>
      <c r="AC188" s="546">
        <v>0</v>
      </c>
      <c r="AD188" s="546">
        <v>0</v>
      </c>
      <c r="AE188" s="546">
        <v>0</v>
      </c>
      <c r="AF188" s="546">
        <v>0</v>
      </c>
      <c r="AG188" s="546">
        <v>0</v>
      </c>
      <c r="AH188" s="546">
        <v>0</v>
      </c>
      <c r="AI188" s="546">
        <v>0</v>
      </c>
      <c r="AJ188" s="546">
        <v>0</v>
      </c>
      <c r="AK188" s="546">
        <v>0</v>
      </c>
      <c r="AL188" s="546">
        <v>0</v>
      </c>
      <c r="AM188" s="546">
        <v>0</v>
      </c>
      <c r="AN188" s="546">
        <v>0</v>
      </c>
      <c r="AO188" s="546">
        <v>0</v>
      </c>
      <c r="AP188" s="546">
        <v>0</v>
      </c>
      <c r="AQ188" s="546">
        <v>0</v>
      </c>
      <c r="AR188" s="546">
        <v>0</v>
      </c>
      <c r="AS188" s="546">
        <v>0</v>
      </c>
      <c r="AT188" s="570">
        <f t="shared" si="124"/>
        <v>0</v>
      </c>
      <c r="AU188" s="570">
        <v>0</v>
      </c>
      <c r="AV188" s="625">
        <f t="shared" si="177"/>
        <v>0</v>
      </c>
      <c r="AW188" s="1003">
        <v>0</v>
      </c>
      <c r="AX188" s="604">
        <f t="shared" si="178"/>
        <v>0</v>
      </c>
      <c r="AY188" s="604">
        <f t="shared" si="179"/>
        <v>0</v>
      </c>
      <c r="AZ188" s="604">
        <f t="shared" si="128"/>
        <v>0</v>
      </c>
      <c r="BA188" s="592">
        <f t="shared" si="129"/>
        <v>0</v>
      </c>
      <c r="BB188" s="592">
        <f t="shared" si="130"/>
        <v>0</v>
      </c>
      <c r="BC188" s="591">
        <v>16000000</v>
      </c>
      <c r="BD188" s="591">
        <v>0</v>
      </c>
      <c r="BE188" s="591">
        <v>16000000</v>
      </c>
      <c r="BF188" s="591">
        <v>0</v>
      </c>
      <c r="BG188" s="591">
        <v>0</v>
      </c>
      <c r="BH188" s="591">
        <v>0</v>
      </c>
      <c r="BI188" s="591">
        <v>0</v>
      </c>
      <c r="BJ188" s="591">
        <v>0</v>
      </c>
      <c r="BK188" s="700">
        <v>0</v>
      </c>
      <c r="BL188" s="589">
        <v>0</v>
      </c>
      <c r="BM188" s="589">
        <v>0</v>
      </c>
      <c r="BN188" s="589">
        <v>0</v>
      </c>
      <c r="BO188" s="589">
        <v>0</v>
      </c>
      <c r="BP188" s="589">
        <v>0</v>
      </c>
      <c r="BQ188" s="589">
        <v>0</v>
      </c>
      <c r="BR188" s="589">
        <v>0</v>
      </c>
      <c r="BS188" s="589">
        <v>0</v>
      </c>
      <c r="BT188" s="589">
        <v>0</v>
      </c>
      <c r="BU188" s="589">
        <v>0</v>
      </c>
      <c r="BV188" s="588">
        <f t="shared" si="131"/>
        <v>0.11</v>
      </c>
      <c r="BW188" s="588">
        <v>4</v>
      </c>
      <c r="BX188" s="623">
        <f t="shared" si="180"/>
        <v>0.66666666666666663</v>
      </c>
      <c r="BY188" s="639">
        <v>6</v>
      </c>
      <c r="BZ188" s="638">
        <v>6</v>
      </c>
      <c r="CA188" s="1018">
        <v>8</v>
      </c>
      <c r="CB188" s="557">
        <f t="shared" si="181"/>
        <v>8</v>
      </c>
      <c r="CC188" s="557">
        <f t="shared" si="182"/>
        <v>200</v>
      </c>
      <c r="CD188" s="622">
        <f t="shared" si="135"/>
        <v>100</v>
      </c>
      <c r="CE188" s="621">
        <f t="shared" si="136"/>
        <v>0.11</v>
      </c>
      <c r="CF188" s="605">
        <f t="shared" si="137"/>
        <v>100</v>
      </c>
      <c r="CG188" s="621">
        <f t="shared" si="138"/>
        <v>0.22</v>
      </c>
      <c r="CH188" s="553">
        <f t="shared" si="139"/>
        <v>2.75E-2</v>
      </c>
      <c r="CI188" s="552">
        <v>1</v>
      </c>
      <c r="CJ188" s="551">
        <f t="shared" si="183"/>
        <v>0.16666666666666666</v>
      </c>
      <c r="CK188" s="874">
        <v>1</v>
      </c>
      <c r="CL188" s="533">
        <f t="shared" si="184"/>
        <v>0</v>
      </c>
      <c r="CM188" s="619">
        <f t="shared" si="185"/>
        <v>1</v>
      </c>
      <c r="CN188" s="619">
        <f t="shared" si="186"/>
        <v>100</v>
      </c>
      <c r="CO188" s="549">
        <f t="shared" si="144"/>
        <v>100</v>
      </c>
      <c r="CP188" s="619">
        <f t="shared" si="145"/>
        <v>2.75E-2</v>
      </c>
      <c r="CQ188" s="619">
        <f t="shared" si="146"/>
        <v>2.75E-2</v>
      </c>
      <c r="CR188" s="546">
        <v>36000000</v>
      </c>
      <c r="CS188" s="546">
        <v>36000000</v>
      </c>
      <c r="CT188" s="546">
        <v>0</v>
      </c>
      <c r="CU188" s="546">
        <v>0</v>
      </c>
      <c r="CV188" s="546">
        <v>0</v>
      </c>
      <c r="CW188" s="546">
        <v>0</v>
      </c>
      <c r="CX188" s="546">
        <v>0</v>
      </c>
      <c r="CY188" s="546">
        <v>0</v>
      </c>
      <c r="CZ188" s="618">
        <v>0</v>
      </c>
      <c r="DA188" s="618">
        <v>0</v>
      </c>
      <c r="DB188" s="618">
        <v>0</v>
      </c>
      <c r="DC188" s="618">
        <v>0</v>
      </c>
      <c r="DD188" s="618">
        <v>0</v>
      </c>
      <c r="DE188" s="618">
        <v>0</v>
      </c>
      <c r="DF188" s="618">
        <v>0</v>
      </c>
      <c r="DG188" s="618">
        <v>0</v>
      </c>
      <c r="DH188" s="618">
        <v>0</v>
      </c>
      <c r="DI188" s="618">
        <v>0</v>
      </c>
      <c r="DJ188" s="618">
        <v>0</v>
      </c>
      <c r="DK188" s="1034">
        <f t="shared" si="187"/>
        <v>10</v>
      </c>
      <c r="DL188" s="543">
        <f t="shared" si="148"/>
        <v>0.16500000000000001</v>
      </c>
      <c r="DM188" s="542">
        <f t="shared" si="149"/>
        <v>166.66666666666666</v>
      </c>
      <c r="DN188" s="594">
        <f t="shared" si="150"/>
        <v>100</v>
      </c>
      <c r="DO188" s="540">
        <f t="shared" si="151"/>
        <v>0.16500000000000001</v>
      </c>
      <c r="DP188" s="597">
        <f t="shared" si="189"/>
        <v>0.16500000000000001</v>
      </c>
      <c r="DQ188" s="538">
        <f t="shared" si="152"/>
        <v>0.16500000000000001</v>
      </c>
      <c r="DR188" s="617">
        <f t="shared" si="153"/>
        <v>0.99999999999999989</v>
      </c>
      <c r="DS188" s="616">
        <f t="shared" si="154"/>
        <v>0</v>
      </c>
      <c r="DT188" s="259">
        <v>202</v>
      </c>
      <c r="DU188" s="260" t="s">
        <v>279</v>
      </c>
      <c r="DV188" s="259"/>
      <c r="DW188" s="260" t="s">
        <v>242</v>
      </c>
      <c r="DX188" s="259"/>
      <c r="DY188" s="259"/>
      <c r="DZ188" s="259"/>
      <c r="EA188" s="987"/>
      <c r="EB188" s="1041" t="s">
        <v>2525</v>
      </c>
      <c r="EC188" s="802">
        <v>36000000</v>
      </c>
      <c r="EE188" s="1047"/>
    </row>
    <row r="189" spans="4:135" s="534" customFormat="1" ht="344.25" hidden="1" x14ac:dyDescent="0.3">
      <c r="D189" s="783">
        <v>186</v>
      </c>
      <c r="E189" s="799">
        <v>230</v>
      </c>
      <c r="F189" s="787" t="s">
        <v>200</v>
      </c>
      <c r="G189" s="787" t="s">
        <v>7</v>
      </c>
      <c r="H189" s="788" t="s">
        <v>2224</v>
      </c>
      <c r="I189" s="712" t="s">
        <v>688</v>
      </c>
      <c r="J189" s="573" t="s">
        <v>689</v>
      </c>
      <c r="K189" s="573" t="s">
        <v>690</v>
      </c>
      <c r="L189" s="702" t="s">
        <v>1682</v>
      </c>
      <c r="M189" s="570" t="s">
        <v>2017</v>
      </c>
      <c r="N189" s="570">
        <v>0</v>
      </c>
      <c r="O189" s="570">
        <f t="shared" si="188"/>
        <v>2000</v>
      </c>
      <c r="P189" s="569">
        <v>2000</v>
      </c>
      <c r="Q189" s="628">
        <v>0.16500000000000001</v>
      </c>
      <c r="R189" s="580">
        <f t="shared" si="118"/>
        <v>1.6500000000000001E-2</v>
      </c>
      <c r="S189" s="708">
        <v>200</v>
      </c>
      <c r="T189" s="625">
        <f t="shared" si="174"/>
        <v>0.1</v>
      </c>
      <c r="U189" s="992">
        <v>200</v>
      </c>
      <c r="V189" s="626">
        <f t="shared" si="175"/>
        <v>200</v>
      </c>
      <c r="W189" s="594">
        <f t="shared" si="176"/>
        <v>100</v>
      </c>
      <c r="X189" s="594">
        <f t="shared" si="122"/>
        <v>100</v>
      </c>
      <c r="Y189" s="594">
        <f t="shared" si="155"/>
        <v>1.6500000000000001E-2</v>
      </c>
      <c r="Z189" s="594">
        <f t="shared" si="123"/>
        <v>100</v>
      </c>
      <c r="AA189" s="546">
        <v>126600000</v>
      </c>
      <c r="AB189" s="546">
        <v>85600000</v>
      </c>
      <c r="AC189" s="546">
        <v>0</v>
      </c>
      <c r="AD189" s="546">
        <v>0</v>
      </c>
      <c r="AE189" s="546">
        <v>0</v>
      </c>
      <c r="AF189" s="546">
        <v>0</v>
      </c>
      <c r="AG189" s="546">
        <v>0</v>
      </c>
      <c r="AH189" s="546">
        <v>41000000</v>
      </c>
      <c r="AI189" s="546">
        <v>58140000</v>
      </c>
      <c r="AJ189" s="546">
        <v>58140000</v>
      </c>
      <c r="AK189" s="546">
        <v>0</v>
      </c>
      <c r="AL189" s="546">
        <v>0</v>
      </c>
      <c r="AM189" s="546">
        <v>0</v>
      </c>
      <c r="AN189" s="546">
        <v>0</v>
      </c>
      <c r="AO189" s="546">
        <v>0</v>
      </c>
      <c r="AP189" s="546">
        <v>0</v>
      </c>
      <c r="AQ189" s="546">
        <v>0</v>
      </c>
      <c r="AR189" s="546">
        <v>140000000</v>
      </c>
      <c r="AS189" s="546" t="s">
        <v>2232</v>
      </c>
      <c r="AT189" s="570">
        <f t="shared" si="124"/>
        <v>3.7125000000000005E-2</v>
      </c>
      <c r="AU189" s="570">
        <v>450</v>
      </c>
      <c r="AV189" s="625">
        <f t="shared" si="177"/>
        <v>0.22500000000000001</v>
      </c>
      <c r="AW189" s="1003">
        <v>456</v>
      </c>
      <c r="AX189" s="604">
        <f t="shared" si="178"/>
        <v>456</v>
      </c>
      <c r="AY189" s="604">
        <f t="shared" si="179"/>
        <v>101.33333333333333</v>
      </c>
      <c r="AZ189" s="604">
        <f t="shared" si="128"/>
        <v>100</v>
      </c>
      <c r="BA189" s="592">
        <f t="shared" si="129"/>
        <v>3.7125000000000005E-2</v>
      </c>
      <c r="BB189" s="592">
        <f t="shared" si="130"/>
        <v>100</v>
      </c>
      <c r="BC189" s="591">
        <v>33000000</v>
      </c>
      <c r="BD189" s="591">
        <v>0</v>
      </c>
      <c r="BE189" s="591">
        <v>33000000</v>
      </c>
      <c r="BF189" s="591">
        <v>0</v>
      </c>
      <c r="BG189" s="591">
        <v>0</v>
      </c>
      <c r="BH189" s="591">
        <v>0</v>
      </c>
      <c r="BI189" s="591">
        <v>0</v>
      </c>
      <c r="BJ189" s="591">
        <v>0</v>
      </c>
      <c r="BK189" s="700">
        <v>203761904</v>
      </c>
      <c r="BL189" s="589">
        <v>203761904</v>
      </c>
      <c r="BM189" s="589">
        <v>0</v>
      </c>
      <c r="BN189" s="589">
        <v>0</v>
      </c>
      <c r="BO189" s="589">
        <v>0</v>
      </c>
      <c r="BP189" s="589">
        <v>0</v>
      </c>
      <c r="BQ189" s="589">
        <v>0</v>
      </c>
      <c r="BR189" s="589">
        <v>0</v>
      </c>
      <c r="BS189" s="589">
        <v>0</v>
      </c>
      <c r="BT189" s="589">
        <v>136955382</v>
      </c>
      <c r="BU189" s="710" t="s">
        <v>2231</v>
      </c>
      <c r="BV189" s="588">
        <f t="shared" si="131"/>
        <v>4.9500000000000002E-2</v>
      </c>
      <c r="BW189" s="588">
        <v>600</v>
      </c>
      <c r="BX189" s="623">
        <f t="shared" si="180"/>
        <v>0.3</v>
      </c>
      <c r="BY189" s="639">
        <v>86</v>
      </c>
      <c r="BZ189" s="638">
        <v>146</v>
      </c>
      <c r="CA189" s="1018">
        <v>500</v>
      </c>
      <c r="CB189" s="557">
        <f t="shared" si="181"/>
        <v>500</v>
      </c>
      <c r="CC189" s="557">
        <f t="shared" si="182"/>
        <v>83.333333333333329</v>
      </c>
      <c r="CD189" s="622">
        <f t="shared" si="135"/>
        <v>83.333333333333329</v>
      </c>
      <c r="CE189" s="621">
        <f t="shared" si="136"/>
        <v>4.1250000000000002E-2</v>
      </c>
      <c r="CF189" s="605">
        <f t="shared" si="137"/>
        <v>83.333333333333329</v>
      </c>
      <c r="CG189" s="621">
        <f t="shared" si="138"/>
        <v>4.1250000000000002E-2</v>
      </c>
      <c r="CH189" s="553">
        <f t="shared" si="139"/>
        <v>6.1874999999999999E-2</v>
      </c>
      <c r="CI189" s="552">
        <v>750</v>
      </c>
      <c r="CJ189" s="551">
        <f t="shared" si="183"/>
        <v>0.375</v>
      </c>
      <c r="CK189" s="874">
        <v>0</v>
      </c>
      <c r="CL189" s="533">
        <f t="shared" si="184"/>
        <v>750</v>
      </c>
      <c r="CM189" s="619">
        <f t="shared" si="185"/>
        <v>0</v>
      </c>
      <c r="CN189" s="619">
        <f t="shared" si="186"/>
        <v>0</v>
      </c>
      <c r="CO189" s="549">
        <f t="shared" si="144"/>
        <v>0</v>
      </c>
      <c r="CP189" s="619">
        <f t="shared" si="145"/>
        <v>0</v>
      </c>
      <c r="CQ189" s="619">
        <f t="shared" si="146"/>
        <v>0</v>
      </c>
      <c r="CR189" s="546">
        <v>75000000</v>
      </c>
      <c r="CS189" s="546">
        <v>75000000</v>
      </c>
      <c r="CT189" s="546">
        <v>0</v>
      </c>
      <c r="CU189" s="546">
        <v>0</v>
      </c>
      <c r="CV189" s="546">
        <v>0</v>
      </c>
      <c r="CW189" s="546">
        <v>0</v>
      </c>
      <c r="CX189" s="546">
        <v>0</v>
      </c>
      <c r="CY189" s="546">
        <v>0</v>
      </c>
      <c r="CZ189" s="618">
        <v>0</v>
      </c>
      <c r="DA189" s="618">
        <v>0</v>
      </c>
      <c r="DB189" s="618">
        <v>0</v>
      </c>
      <c r="DC189" s="618">
        <v>0</v>
      </c>
      <c r="DD189" s="618">
        <v>0</v>
      </c>
      <c r="DE189" s="618">
        <v>0</v>
      </c>
      <c r="DF189" s="618">
        <v>0</v>
      </c>
      <c r="DG189" s="618">
        <v>0</v>
      </c>
      <c r="DH189" s="618">
        <v>0</v>
      </c>
      <c r="DI189" s="618">
        <v>0</v>
      </c>
      <c r="DJ189" s="618">
        <v>0</v>
      </c>
      <c r="DK189" s="1034">
        <f t="shared" si="187"/>
        <v>1156</v>
      </c>
      <c r="DL189" s="543">
        <f t="shared" si="148"/>
        <v>0.16500000000000001</v>
      </c>
      <c r="DM189" s="542">
        <f t="shared" si="149"/>
        <v>57.8</v>
      </c>
      <c r="DN189" s="594">
        <f t="shared" si="150"/>
        <v>57.8</v>
      </c>
      <c r="DO189" s="540">
        <f t="shared" si="151"/>
        <v>9.537000000000001E-2</v>
      </c>
      <c r="DP189" s="597">
        <f t="shared" si="189"/>
        <v>9.537000000000001E-2</v>
      </c>
      <c r="DQ189" s="538">
        <f t="shared" si="152"/>
        <v>9.537000000000001E-2</v>
      </c>
      <c r="DR189" s="617">
        <f t="shared" si="153"/>
        <v>1</v>
      </c>
      <c r="DS189" s="616">
        <f t="shared" si="154"/>
        <v>0</v>
      </c>
      <c r="DT189" s="259">
        <v>202</v>
      </c>
      <c r="DU189" s="260" t="s">
        <v>279</v>
      </c>
      <c r="DV189" s="259"/>
      <c r="DW189" s="260" t="s">
        <v>242</v>
      </c>
      <c r="DX189" s="259"/>
      <c r="DY189" s="259"/>
      <c r="DZ189" s="259"/>
      <c r="EA189" s="987"/>
      <c r="EB189" s="1041" t="s">
        <v>2526</v>
      </c>
      <c r="EC189" s="802">
        <v>75000000</v>
      </c>
      <c r="EE189" s="1047"/>
    </row>
    <row r="190" spans="4:135" s="534" customFormat="1" ht="178.5" hidden="1" x14ac:dyDescent="0.3">
      <c r="D190" s="783">
        <v>187</v>
      </c>
      <c r="E190" s="799">
        <v>231</v>
      </c>
      <c r="F190" s="787" t="s">
        <v>200</v>
      </c>
      <c r="G190" s="787" t="s">
        <v>7</v>
      </c>
      <c r="H190" s="788" t="s">
        <v>2224</v>
      </c>
      <c r="I190" s="712" t="s">
        <v>688</v>
      </c>
      <c r="J190" s="573" t="s">
        <v>691</v>
      </c>
      <c r="K190" s="573" t="s">
        <v>692</v>
      </c>
      <c r="L190" s="702" t="s">
        <v>1642</v>
      </c>
      <c r="M190" s="570" t="s">
        <v>2017</v>
      </c>
      <c r="N190" s="570">
        <v>0</v>
      </c>
      <c r="O190" s="570">
        <f t="shared" si="188"/>
        <v>400</v>
      </c>
      <c r="P190" s="569">
        <v>400</v>
      </c>
      <c r="Q190" s="628">
        <v>0.16500000000000001</v>
      </c>
      <c r="R190" s="580">
        <f t="shared" si="118"/>
        <v>2.0625000000000001E-2</v>
      </c>
      <c r="S190" s="708">
        <v>50</v>
      </c>
      <c r="T190" s="625">
        <f t="shared" si="174"/>
        <v>0.125</v>
      </c>
      <c r="U190" s="992">
        <v>50</v>
      </c>
      <c r="V190" s="626">
        <f t="shared" si="175"/>
        <v>50</v>
      </c>
      <c r="W190" s="594">
        <f t="shared" si="176"/>
        <v>100</v>
      </c>
      <c r="X190" s="594">
        <f t="shared" si="122"/>
        <v>100</v>
      </c>
      <c r="Y190" s="594">
        <f t="shared" si="155"/>
        <v>2.0625000000000001E-2</v>
      </c>
      <c r="Z190" s="594">
        <f t="shared" si="123"/>
        <v>100</v>
      </c>
      <c r="AA190" s="546">
        <v>346000000</v>
      </c>
      <c r="AB190" s="546">
        <v>211000000</v>
      </c>
      <c r="AC190" s="546">
        <v>0</v>
      </c>
      <c r="AD190" s="546">
        <v>0</v>
      </c>
      <c r="AE190" s="546">
        <v>0</v>
      </c>
      <c r="AF190" s="546">
        <v>0</v>
      </c>
      <c r="AG190" s="546">
        <v>0</v>
      </c>
      <c r="AH190" s="546">
        <v>135000000</v>
      </c>
      <c r="AI190" s="546">
        <v>191017000</v>
      </c>
      <c r="AJ190" s="546">
        <v>191017000</v>
      </c>
      <c r="AK190" s="546">
        <v>0</v>
      </c>
      <c r="AL190" s="546">
        <v>0</v>
      </c>
      <c r="AM190" s="546">
        <v>0</v>
      </c>
      <c r="AN190" s="546">
        <v>0</v>
      </c>
      <c r="AO190" s="546">
        <v>0</v>
      </c>
      <c r="AP190" s="546">
        <v>0</v>
      </c>
      <c r="AQ190" s="546">
        <v>0</v>
      </c>
      <c r="AR190" s="546">
        <v>32650000</v>
      </c>
      <c r="AS190" s="546" t="s">
        <v>2230</v>
      </c>
      <c r="AT190" s="570">
        <f t="shared" si="124"/>
        <v>7.8375E-2</v>
      </c>
      <c r="AU190" s="570">
        <v>190</v>
      </c>
      <c r="AV190" s="625">
        <f t="shared" si="177"/>
        <v>0.47499999999999998</v>
      </c>
      <c r="AW190" s="1003">
        <v>358</v>
      </c>
      <c r="AX190" s="604">
        <f t="shared" si="178"/>
        <v>358</v>
      </c>
      <c r="AY190" s="604">
        <f t="shared" si="179"/>
        <v>188.42105263157896</v>
      </c>
      <c r="AZ190" s="604">
        <f t="shared" si="128"/>
        <v>100</v>
      </c>
      <c r="BA190" s="592">
        <f t="shared" si="129"/>
        <v>7.8375E-2</v>
      </c>
      <c r="BB190" s="592">
        <f t="shared" si="130"/>
        <v>100</v>
      </c>
      <c r="BC190" s="591">
        <v>27000000</v>
      </c>
      <c r="BD190" s="591">
        <v>0</v>
      </c>
      <c r="BE190" s="591">
        <v>27000000</v>
      </c>
      <c r="BF190" s="591">
        <v>0</v>
      </c>
      <c r="BG190" s="591">
        <v>0</v>
      </c>
      <c r="BH190" s="591">
        <v>0</v>
      </c>
      <c r="BI190" s="591">
        <v>0</v>
      </c>
      <c r="BJ190" s="591">
        <v>0</v>
      </c>
      <c r="BK190" s="700">
        <v>109043083</v>
      </c>
      <c r="BL190" s="589">
        <v>109043083</v>
      </c>
      <c r="BM190" s="589">
        <v>0</v>
      </c>
      <c r="BN190" s="589">
        <v>0</v>
      </c>
      <c r="BO190" s="589">
        <v>0</v>
      </c>
      <c r="BP190" s="589">
        <v>0</v>
      </c>
      <c r="BQ190" s="589">
        <v>0</v>
      </c>
      <c r="BR190" s="589">
        <v>0</v>
      </c>
      <c r="BS190" s="589">
        <v>0</v>
      </c>
      <c r="BT190" s="589">
        <v>23123000</v>
      </c>
      <c r="BU190" s="589" t="s">
        <v>2229</v>
      </c>
      <c r="BV190" s="588">
        <f t="shared" si="131"/>
        <v>3.3000000000000002E-2</v>
      </c>
      <c r="BW190" s="588">
        <v>80</v>
      </c>
      <c r="BX190" s="623">
        <f t="shared" si="180"/>
        <v>0.2</v>
      </c>
      <c r="BY190" s="639">
        <v>30</v>
      </c>
      <c r="BZ190" s="638">
        <v>30</v>
      </c>
      <c r="CA190" s="1018">
        <v>50</v>
      </c>
      <c r="CB190" s="557">
        <f t="shared" si="181"/>
        <v>50</v>
      </c>
      <c r="CC190" s="557">
        <f t="shared" si="182"/>
        <v>62.5</v>
      </c>
      <c r="CD190" s="622">
        <f t="shared" si="135"/>
        <v>62.5</v>
      </c>
      <c r="CE190" s="621">
        <f t="shared" si="136"/>
        <v>2.0625000000000001E-2</v>
      </c>
      <c r="CF190" s="605">
        <f t="shared" si="137"/>
        <v>62.5</v>
      </c>
      <c r="CG190" s="621">
        <f t="shared" si="138"/>
        <v>2.0625000000000001E-2</v>
      </c>
      <c r="CH190" s="553">
        <f t="shared" si="139"/>
        <v>3.3000000000000002E-2</v>
      </c>
      <c r="CI190" s="552">
        <v>80</v>
      </c>
      <c r="CJ190" s="551">
        <f t="shared" si="183"/>
        <v>0.2</v>
      </c>
      <c r="CK190" s="874">
        <v>0</v>
      </c>
      <c r="CL190" s="533">
        <f t="shared" si="184"/>
        <v>80</v>
      </c>
      <c r="CM190" s="619">
        <f t="shared" si="185"/>
        <v>0</v>
      </c>
      <c r="CN190" s="619">
        <f t="shared" si="186"/>
        <v>0</v>
      </c>
      <c r="CO190" s="549">
        <f t="shared" si="144"/>
        <v>0</v>
      </c>
      <c r="CP190" s="619">
        <f t="shared" si="145"/>
        <v>0</v>
      </c>
      <c r="CQ190" s="619">
        <f t="shared" si="146"/>
        <v>0</v>
      </c>
      <c r="CR190" s="546">
        <v>63000000</v>
      </c>
      <c r="CS190" s="546">
        <v>63000000</v>
      </c>
      <c r="CT190" s="546">
        <v>0</v>
      </c>
      <c r="CU190" s="546">
        <v>0</v>
      </c>
      <c r="CV190" s="546">
        <v>0</v>
      </c>
      <c r="CW190" s="546">
        <v>0</v>
      </c>
      <c r="CX190" s="546">
        <v>0</v>
      </c>
      <c r="CY190" s="546">
        <v>0</v>
      </c>
      <c r="CZ190" s="618">
        <v>0</v>
      </c>
      <c r="DA190" s="618">
        <v>0</v>
      </c>
      <c r="DB190" s="618">
        <v>0</v>
      </c>
      <c r="DC190" s="618">
        <v>0</v>
      </c>
      <c r="DD190" s="618">
        <v>0</v>
      </c>
      <c r="DE190" s="618">
        <v>0</v>
      </c>
      <c r="DF190" s="618">
        <v>0</v>
      </c>
      <c r="DG190" s="618">
        <v>0</v>
      </c>
      <c r="DH190" s="618">
        <v>0</v>
      </c>
      <c r="DI190" s="618">
        <v>0</v>
      </c>
      <c r="DJ190" s="618">
        <v>0</v>
      </c>
      <c r="DK190" s="1034">
        <f t="shared" si="187"/>
        <v>458</v>
      </c>
      <c r="DL190" s="543">
        <f t="shared" si="148"/>
        <v>0.16500000000000001</v>
      </c>
      <c r="DM190" s="542">
        <f t="shared" si="149"/>
        <v>114.5</v>
      </c>
      <c r="DN190" s="594">
        <f t="shared" si="150"/>
        <v>100</v>
      </c>
      <c r="DO190" s="540">
        <f t="shared" si="151"/>
        <v>0.16500000000000001</v>
      </c>
      <c r="DP190" s="597">
        <f t="shared" si="189"/>
        <v>0.16500000000000001</v>
      </c>
      <c r="DQ190" s="538">
        <f t="shared" si="152"/>
        <v>0.16500000000000001</v>
      </c>
      <c r="DR190" s="617">
        <f t="shared" si="153"/>
        <v>1</v>
      </c>
      <c r="DS190" s="616">
        <f t="shared" si="154"/>
        <v>0</v>
      </c>
      <c r="DT190" s="259">
        <v>200</v>
      </c>
      <c r="DU190" s="260" t="s">
        <v>556</v>
      </c>
      <c r="DV190" s="259">
        <v>202</v>
      </c>
      <c r="DW190" s="260" t="s">
        <v>279</v>
      </c>
      <c r="DX190" s="259"/>
      <c r="DY190" s="259"/>
      <c r="DZ190" s="259"/>
      <c r="EA190" s="987"/>
      <c r="EB190" s="1041" t="s">
        <v>2527</v>
      </c>
      <c r="EC190" s="802">
        <v>63000000</v>
      </c>
      <c r="EE190" s="1047"/>
    </row>
    <row r="191" spans="4:135" s="534" customFormat="1" ht="51" hidden="1" x14ac:dyDescent="0.3">
      <c r="D191" s="783">
        <v>188</v>
      </c>
      <c r="E191" s="799">
        <v>232</v>
      </c>
      <c r="F191" s="787" t="s">
        <v>200</v>
      </c>
      <c r="G191" s="787" t="s">
        <v>239</v>
      </c>
      <c r="H191" s="788" t="s">
        <v>2224</v>
      </c>
      <c r="I191" s="712" t="s">
        <v>688</v>
      </c>
      <c r="J191" s="573" t="s">
        <v>693</v>
      </c>
      <c r="K191" s="573" t="s">
        <v>694</v>
      </c>
      <c r="L191" s="702" t="s">
        <v>2047</v>
      </c>
      <c r="M191" s="570" t="s">
        <v>2017</v>
      </c>
      <c r="N191" s="570">
        <v>0</v>
      </c>
      <c r="O191" s="570">
        <f t="shared" si="188"/>
        <v>5</v>
      </c>
      <c r="P191" s="569">
        <v>5</v>
      </c>
      <c r="Q191" s="628">
        <v>0.16500000000000001</v>
      </c>
      <c r="R191" s="580">
        <f t="shared" si="118"/>
        <v>0</v>
      </c>
      <c r="S191" s="708">
        <v>0</v>
      </c>
      <c r="T191" s="625">
        <f t="shared" si="174"/>
        <v>0</v>
      </c>
      <c r="U191" s="992">
        <v>0</v>
      </c>
      <c r="V191" s="626">
        <f t="shared" si="175"/>
        <v>0</v>
      </c>
      <c r="W191" s="594">
        <f t="shared" si="176"/>
        <v>0</v>
      </c>
      <c r="X191" s="594">
        <f t="shared" si="122"/>
        <v>0</v>
      </c>
      <c r="Y191" s="594">
        <f t="shared" si="155"/>
        <v>0</v>
      </c>
      <c r="Z191" s="594">
        <f t="shared" si="123"/>
        <v>0</v>
      </c>
      <c r="AA191" s="546">
        <v>0</v>
      </c>
      <c r="AB191" s="546">
        <v>0</v>
      </c>
      <c r="AC191" s="546">
        <v>0</v>
      </c>
      <c r="AD191" s="546">
        <v>0</v>
      </c>
      <c r="AE191" s="546">
        <v>0</v>
      </c>
      <c r="AF191" s="546">
        <v>0</v>
      </c>
      <c r="AG191" s="546">
        <v>0</v>
      </c>
      <c r="AH191" s="546">
        <v>0</v>
      </c>
      <c r="AI191" s="546">
        <v>0</v>
      </c>
      <c r="AJ191" s="546">
        <v>0</v>
      </c>
      <c r="AK191" s="546">
        <v>0</v>
      </c>
      <c r="AL191" s="546">
        <v>0</v>
      </c>
      <c r="AM191" s="546">
        <v>0</v>
      </c>
      <c r="AN191" s="546">
        <v>0</v>
      </c>
      <c r="AO191" s="546">
        <v>0</v>
      </c>
      <c r="AP191" s="546">
        <v>0</v>
      </c>
      <c r="AQ191" s="546">
        <v>0</v>
      </c>
      <c r="AR191" s="546">
        <v>0</v>
      </c>
      <c r="AS191" s="546">
        <v>0</v>
      </c>
      <c r="AT191" s="570">
        <f t="shared" si="124"/>
        <v>6.6000000000000003E-2</v>
      </c>
      <c r="AU191" s="570">
        <v>2</v>
      </c>
      <c r="AV191" s="625">
        <f t="shared" si="177"/>
        <v>0.4</v>
      </c>
      <c r="AW191" s="1003">
        <v>1</v>
      </c>
      <c r="AX191" s="604">
        <f t="shared" si="178"/>
        <v>1</v>
      </c>
      <c r="AY191" s="604">
        <f t="shared" si="179"/>
        <v>50</v>
      </c>
      <c r="AZ191" s="604">
        <f t="shared" si="128"/>
        <v>50</v>
      </c>
      <c r="BA191" s="592">
        <f t="shared" si="129"/>
        <v>3.3000000000000002E-2</v>
      </c>
      <c r="BB191" s="592">
        <f t="shared" si="130"/>
        <v>50</v>
      </c>
      <c r="BC191" s="591">
        <v>20000000</v>
      </c>
      <c r="BD191" s="591">
        <v>0</v>
      </c>
      <c r="BE191" s="591">
        <v>20000000</v>
      </c>
      <c r="BF191" s="591">
        <v>0</v>
      </c>
      <c r="BG191" s="591">
        <v>0</v>
      </c>
      <c r="BH191" s="591">
        <v>0</v>
      </c>
      <c r="BI191" s="591">
        <v>0</v>
      </c>
      <c r="BJ191" s="591">
        <v>0</v>
      </c>
      <c r="BK191" s="700">
        <v>33000000</v>
      </c>
      <c r="BL191" s="589">
        <v>33000000</v>
      </c>
      <c r="BM191" s="589">
        <v>0</v>
      </c>
      <c r="BN191" s="589">
        <v>0</v>
      </c>
      <c r="BO191" s="589">
        <v>0</v>
      </c>
      <c r="BP191" s="589">
        <v>0</v>
      </c>
      <c r="BQ191" s="589">
        <v>0</v>
      </c>
      <c r="BR191" s="589">
        <v>0</v>
      </c>
      <c r="BS191" s="589">
        <v>0</v>
      </c>
      <c r="BT191" s="589">
        <v>0</v>
      </c>
      <c r="BU191" s="589">
        <v>0</v>
      </c>
      <c r="BV191" s="588">
        <f t="shared" si="131"/>
        <v>6.6000000000000003E-2</v>
      </c>
      <c r="BW191" s="588">
        <v>2</v>
      </c>
      <c r="BX191" s="623">
        <f t="shared" si="180"/>
        <v>0.4</v>
      </c>
      <c r="BY191" s="607">
        <v>1</v>
      </c>
      <c r="BZ191" s="629">
        <v>2</v>
      </c>
      <c r="CA191" s="1017">
        <v>3</v>
      </c>
      <c r="CB191" s="557">
        <f t="shared" si="181"/>
        <v>3</v>
      </c>
      <c r="CC191" s="557">
        <f t="shared" si="182"/>
        <v>150</v>
      </c>
      <c r="CD191" s="622">
        <f t="shared" si="135"/>
        <v>100</v>
      </c>
      <c r="CE191" s="621">
        <f t="shared" si="136"/>
        <v>6.6000000000000003E-2</v>
      </c>
      <c r="CF191" s="605">
        <f t="shared" si="137"/>
        <v>100</v>
      </c>
      <c r="CG191" s="621">
        <f t="shared" si="138"/>
        <v>9.9000000000000005E-2</v>
      </c>
      <c r="CH191" s="553">
        <f t="shared" si="139"/>
        <v>3.3000000000000002E-2</v>
      </c>
      <c r="CI191" s="552">
        <v>1</v>
      </c>
      <c r="CJ191" s="551">
        <f t="shared" si="183"/>
        <v>0.2</v>
      </c>
      <c r="CK191" s="874">
        <v>0</v>
      </c>
      <c r="CL191" s="533">
        <f t="shared" si="184"/>
        <v>1</v>
      </c>
      <c r="CM191" s="619">
        <f t="shared" si="185"/>
        <v>0</v>
      </c>
      <c r="CN191" s="619">
        <f t="shared" si="186"/>
        <v>0</v>
      </c>
      <c r="CO191" s="549">
        <f t="shared" si="144"/>
        <v>0</v>
      </c>
      <c r="CP191" s="619">
        <f t="shared" si="145"/>
        <v>0</v>
      </c>
      <c r="CQ191" s="619">
        <f t="shared" si="146"/>
        <v>0</v>
      </c>
      <c r="CR191" s="546">
        <v>11000000</v>
      </c>
      <c r="CS191" s="546">
        <v>11000000</v>
      </c>
      <c r="CT191" s="546">
        <v>0</v>
      </c>
      <c r="CU191" s="546">
        <v>0</v>
      </c>
      <c r="CV191" s="546">
        <v>0</v>
      </c>
      <c r="CW191" s="546">
        <v>0</v>
      </c>
      <c r="CX191" s="546">
        <v>0</v>
      </c>
      <c r="CY191" s="546">
        <v>0</v>
      </c>
      <c r="CZ191" s="618">
        <v>0</v>
      </c>
      <c r="DA191" s="618">
        <v>0</v>
      </c>
      <c r="DB191" s="618">
        <v>0</v>
      </c>
      <c r="DC191" s="618">
        <v>0</v>
      </c>
      <c r="DD191" s="618">
        <v>0</v>
      </c>
      <c r="DE191" s="618">
        <v>0</v>
      </c>
      <c r="DF191" s="618">
        <v>0</v>
      </c>
      <c r="DG191" s="618">
        <v>0</v>
      </c>
      <c r="DH191" s="618">
        <v>0</v>
      </c>
      <c r="DI191" s="618">
        <v>0</v>
      </c>
      <c r="DJ191" s="618">
        <v>0</v>
      </c>
      <c r="DK191" s="1034">
        <f t="shared" si="187"/>
        <v>4</v>
      </c>
      <c r="DL191" s="543">
        <f t="shared" si="148"/>
        <v>0.16500000000000001</v>
      </c>
      <c r="DM191" s="542">
        <f t="shared" si="149"/>
        <v>80</v>
      </c>
      <c r="DN191" s="594">
        <f t="shared" si="150"/>
        <v>80</v>
      </c>
      <c r="DO191" s="540">
        <f t="shared" si="151"/>
        <v>0.13200000000000001</v>
      </c>
      <c r="DP191" s="597">
        <f t="shared" si="189"/>
        <v>0.13200000000000001</v>
      </c>
      <c r="DQ191" s="538">
        <f t="shared" si="152"/>
        <v>0.13200000000000001</v>
      </c>
      <c r="DR191" s="617">
        <f t="shared" si="153"/>
        <v>1</v>
      </c>
      <c r="DS191" s="616">
        <f t="shared" si="154"/>
        <v>0</v>
      </c>
      <c r="DT191" s="259">
        <v>202</v>
      </c>
      <c r="DU191" s="260" t="s">
        <v>279</v>
      </c>
      <c r="DV191" s="259"/>
      <c r="DW191" s="260" t="s">
        <v>242</v>
      </c>
      <c r="DX191" s="259"/>
      <c r="DY191" s="259"/>
      <c r="DZ191" s="259"/>
      <c r="EA191" s="987"/>
      <c r="EB191" s="1041" t="s">
        <v>2528</v>
      </c>
      <c r="EC191" s="802">
        <v>20000000</v>
      </c>
      <c r="EE191" s="1047"/>
    </row>
    <row r="192" spans="4:135" s="534" customFormat="1" ht="84" hidden="1" x14ac:dyDescent="0.3">
      <c r="D192" s="783">
        <v>189</v>
      </c>
      <c r="E192" s="799">
        <v>233</v>
      </c>
      <c r="F192" s="787" t="s">
        <v>200</v>
      </c>
      <c r="G192" s="787" t="s">
        <v>10</v>
      </c>
      <c r="H192" s="788" t="s">
        <v>2224</v>
      </c>
      <c r="I192" s="712" t="s">
        <v>688</v>
      </c>
      <c r="J192" s="573" t="s">
        <v>695</v>
      </c>
      <c r="K192" s="573" t="s">
        <v>696</v>
      </c>
      <c r="L192" s="701" t="s">
        <v>1582</v>
      </c>
      <c r="M192" s="570" t="s">
        <v>2017</v>
      </c>
      <c r="N192" s="570">
        <v>79</v>
      </c>
      <c r="O192" s="570">
        <f t="shared" si="188"/>
        <v>100</v>
      </c>
      <c r="P192" s="569">
        <v>21</v>
      </c>
      <c r="Q192" s="628">
        <v>0.16500000000000001</v>
      </c>
      <c r="R192" s="580">
        <f t="shared" si="118"/>
        <v>0</v>
      </c>
      <c r="S192" s="708">
        <v>0</v>
      </c>
      <c r="T192" s="625">
        <f t="shared" si="174"/>
        <v>0</v>
      </c>
      <c r="U192" s="992">
        <v>4</v>
      </c>
      <c r="V192" s="626">
        <f t="shared" si="175"/>
        <v>4</v>
      </c>
      <c r="W192" s="594">
        <f t="shared" si="176"/>
        <v>0</v>
      </c>
      <c r="X192" s="594">
        <f t="shared" si="122"/>
        <v>0</v>
      </c>
      <c r="Y192" s="594">
        <f t="shared" si="155"/>
        <v>0</v>
      </c>
      <c r="Z192" s="594">
        <f t="shared" si="123"/>
        <v>100</v>
      </c>
      <c r="AA192" s="546">
        <v>234274000</v>
      </c>
      <c r="AB192" s="546">
        <v>0</v>
      </c>
      <c r="AC192" s="546">
        <v>0</v>
      </c>
      <c r="AD192" s="546">
        <v>234274000</v>
      </c>
      <c r="AE192" s="546">
        <v>0</v>
      </c>
      <c r="AF192" s="546">
        <v>0</v>
      </c>
      <c r="AG192" s="546">
        <v>0</v>
      </c>
      <c r="AH192" s="546">
        <v>0</v>
      </c>
      <c r="AI192" s="546">
        <v>0</v>
      </c>
      <c r="AJ192" s="546">
        <v>0</v>
      </c>
      <c r="AK192" s="546">
        <v>0</v>
      </c>
      <c r="AL192" s="546">
        <v>0</v>
      </c>
      <c r="AM192" s="546">
        <v>0</v>
      </c>
      <c r="AN192" s="546">
        <v>0</v>
      </c>
      <c r="AO192" s="546">
        <v>0</v>
      </c>
      <c r="AP192" s="546">
        <v>0</v>
      </c>
      <c r="AQ192" s="546">
        <v>0</v>
      </c>
      <c r="AR192" s="546">
        <v>0</v>
      </c>
      <c r="AS192" s="546">
        <v>0</v>
      </c>
      <c r="AT192" s="570">
        <f t="shared" si="124"/>
        <v>3.1428571428571431E-2</v>
      </c>
      <c r="AU192" s="570">
        <v>4</v>
      </c>
      <c r="AV192" s="625">
        <f t="shared" si="177"/>
        <v>0.19047619047619047</v>
      </c>
      <c r="AW192" s="1003">
        <v>10</v>
      </c>
      <c r="AX192" s="604">
        <f t="shared" si="178"/>
        <v>10</v>
      </c>
      <c r="AY192" s="604">
        <f t="shared" si="179"/>
        <v>250</v>
      </c>
      <c r="AZ192" s="604">
        <f t="shared" si="128"/>
        <v>100</v>
      </c>
      <c r="BA192" s="592">
        <f t="shared" si="129"/>
        <v>3.1428571428571431E-2</v>
      </c>
      <c r="BB192" s="592">
        <f t="shared" si="130"/>
        <v>100</v>
      </c>
      <c r="BC192" s="591">
        <v>390000000</v>
      </c>
      <c r="BD192" s="591">
        <v>60000000</v>
      </c>
      <c r="BE192" s="591">
        <v>330000000</v>
      </c>
      <c r="BF192" s="591">
        <v>0</v>
      </c>
      <c r="BG192" s="591">
        <v>0</v>
      </c>
      <c r="BH192" s="591">
        <v>0</v>
      </c>
      <c r="BI192" s="591">
        <v>0</v>
      </c>
      <c r="BJ192" s="591">
        <v>0</v>
      </c>
      <c r="BK192" s="700">
        <v>91856660</v>
      </c>
      <c r="BL192" s="589">
        <v>51580000</v>
      </c>
      <c r="BM192" s="589">
        <v>40276660</v>
      </c>
      <c r="BN192" s="589">
        <v>0</v>
      </c>
      <c r="BO192" s="589">
        <v>0</v>
      </c>
      <c r="BP192" s="589">
        <v>0</v>
      </c>
      <c r="BQ192" s="589">
        <v>0</v>
      </c>
      <c r="BR192" s="589">
        <v>0</v>
      </c>
      <c r="BS192" s="589">
        <v>0</v>
      </c>
      <c r="BT192" s="589">
        <v>0</v>
      </c>
      <c r="BU192" s="589">
        <v>0</v>
      </c>
      <c r="BV192" s="588">
        <f t="shared" si="131"/>
        <v>7.0714285714285716E-2</v>
      </c>
      <c r="BW192" s="588">
        <v>9</v>
      </c>
      <c r="BX192" s="623">
        <f t="shared" si="180"/>
        <v>0.42857142857142855</v>
      </c>
      <c r="BY192" s="709">
        <v>9</v>
      </c>
      <c r="BZ192" s="656">
        <v>9</v>
      </c>
      <c r="CA192" s="1019">
        <v>30</v>
      </c>
      <c r="CB192" s="557">
        <f t="shared" si="181"/>
        <v>30</v>
      </c>
      <c r="CC192" s="557">
        <f t="shared" si="182"/>
        <v>333.33333333333331</v>
      </c>
      <c r="CD192" s="622">
        <f t="shared" si="135"/>
        <v>100</v>
      </c>
      <c r="CE192" s="621">
        <f t="shared" si="136"/>
        <v>7.0714285714285716E-2</v>
      </c>
      <c r="CF192" s="605">
        <f t="shared" si="137"/>
        <v>100</v>
      </c>
      <c r="CG192" s="621">
        <f t="shared" si="138"/>
        <v>0.23571428571428568</v>
      </c>
      <c r="CH192" s="553">
        <f t="shared" si="139"/>
        <v>6.2857142857142861E-2</v>
      </c>
      <c r="CI192" s="552">
        <v>8</v>
      </c>
      <c r="CJ192" s="551">
        <f t="shared" si="183"/>
        <v>0.38095238095238093</v>
      </c>
      <c r="CK192" s="874">
        <v>100</v>
      </c>
      <c r="CL192" s="533">
        <f t="shared" si="184"/>
        <v>-92</v>
      </c>
      <c r="CM192" s="619">
        <f t="shared" si="185"/>
        <v>100</v>
      </c>
      <c r="CN192" s="619">
        <f t="shared" si="186"/>
        <v>1250</v>
      </c>
      <c r="CO192" s="549">
        <f t="shared" si="144"/>
        <v>100</v>
      </c>
      <c r="CP192" s="619">
        <f t="shared" si="145"/>
        <v>6.2857142857142861E-2</v>
      </c>
      <c r="CQ192" s="619">
        <f t="shared" si="146"/>
        <v>0.78571428571428581</v>
      </c>
      <c r="CR192" s="546">
        <v>821000000</v>
      </c>
      <c r="CS192" s="546">
        <v>761000000</v>
      </c>
      <c r="CT192" s="546">
        <v>60000000</v>
      </c>
      <c r="CU192" s="546">
        <v>0</v>
      </c>
      <c r="CV192" s="546">
        <v>0</v>
      </c>
      <c r="CW192" s="546">
        <v>0</v>
      </c>
      <c r="CX192" s="546">
        <v>0</v>
      </c>
      <c r="CY192" s="546">
        <v>0</v>
      </c>
      <c r="CZ192" s="618">
        <v>0</v>
      </c>
      <c r="DA192" s="618">
        <v>0</v>
      </c>
      <c r="DB192" s="618">
        <v>0</v>
      </c>
      <c r="DC192" s="618">
        <v>0</v>
      </c>
      <c r="DD192" s="618">
        <v>0</v>
      </c>
      <c r="DE192" s="618">
        <v>0</v>
      </c>
      <c r="DF192" s="618">
        <v>0</v>
      </c>
      <c r="DG192" s="618">
        <v>0</v>
      </c>
      <c r="DH192" s="618">
        <v>0</v>
      </c>
      <c r="DI192" s="618">
        <v>0</v>
      </c>
      <c r="DJ192" s="618">
        <v>0</v>
      </c>
      <c r="DK192" s="1034">
        <f t="shared" si="187"/>
        <v>144</v>
      </c>
      <c r="DL192" s="543">
        <f t="shared" si="148"/>
        <v>0.16500000000000001</v>
      </c>
      <c r="DM192" s="542">
        <f t="shared" si="149"/>
        <v>685.71428571428567</v>
      </c>
      <c r="DN192" s="594">
        <f t="shared" si="150"/>
        <v>100</v>
      </c>
      <c r="DO192" s="540">
        <f t="shared" si="151"/>
        <v>0.16500000000000001</v>
      </c>
      <c r="DP192" s="597">
        <f t="shared" si="189"/>
        <v>0.16500000000000001</v>
      </c>
      <c r="DQ192" s="538">
        <f t="shared" si="152"/>
        <v>0.16500000000000001</v>
      </c>
      <c r="DR192" s="617">
        <f t="shared" si="153"/>
        <v>1</v>
      </c>
      <c r="DS192" s="616">
        <f t="shared" si="154"/>
        <v>0</v>
      </c>
      <c r="DT192" s="259">
        <v>200</v>
      </c>
      <c r="DU192" s="260" t="s">
        <v>556</v>
      </c>
      <c r="DV192" s="259">
        <v>202</v>
      </c>
      <c r="DW192" s="260" t="s">
        <v>279</v>
      </c>
      <c r="DX192" s="259"/>
      <c r="DY192" s="259"/>
      <c r="DZ192" s="259"/>
      <c r="EA192" s="987"/>
      <c r="EB192" s="1041" t="s">
        <v>2529</v>
      </c>
      <c r="EC192" s="802">
        <v>821000000</v>
      </c>
      <c r="EE192" s="1047"/>
    </row>
    <row r="193" spans="4:135" s="534" customFormat="1" ht="89.25" hidden="1" x14ac:dyDescent="0.3">
      <c r="D193" s="783">
        <v>190</v>
      </c>
      <c r="E193" s="799">
        <v>234</v>
      </c>
      <c r="F193" s="787" t="s">
        <v>200</v>
      </c>
      <c r="G193" s="787" t="s">
        <v>11</v>
      </c>
      <c r="H193" s="788" t="s">
        <v>2224</v>
      </c>
      <c r="I193" s="712" t="s">
        <v>688</v>
      </c>
      <c r="J193" s="573" t="s">
        <v>697</v>
      </c>
      <c r="K193" s="573" t="s">
        <v>698</v>
      </c>
      <c r="L193" s="701" t="s">
        <v>1682</v>
      </c>
      <c r="M193" s="570" t="s">
        <v>2032</v>
      </c>
      <c r="N193" s="570">
        <v>1154</v>
      </c>
      <c r="O193" s="570">
        <f>+P193</f>
        <v>1200</v>
      </c>
      <c r="P193" s="569">
        <v>1200</v>
      </c>
      <c r="Q193" s="628">
        <v>0.16500000000000001</v>
      </c>
      <c r="R193" s="580">
        <f t="shared" si="118"/>
        <v>4.1250000000000002E-2</v>
      </c>
      <c r="S193" s="708">
        <v>1200</v>
      </c>
      <c r="T193" s="625">
        <f t="shared" si="174"/>
        <v>0.25</v>
      </c>
      <c r="U193" s="992">
        <v>1174</v>
      </c>
      <c r="V193" s="626">
        <f t="shared" si="175"/>
        <v>293.5</v>
      </c>
      <c r="W193" s="594">
        <f t="shared" si="176"/>
        <v>97.833333333333329</v>
      </c>
      <c r="X193" s="594">
        <f t="shared" si="122"/>
        <v>97.833333333333329</v>
      </c>
      <c r="Y193" s="594">
        <f t="shared" si="155"/>
        <v>4.0356249999999996E-2</v>
      </c>
      <c r="Z193" s="594">
        <f t="shared" si="123"/>
        <v>97.833333333333329</v>
      </c>
      <c r="AA193" s="546">
        <v>11962000000</v>
      </c>
      <c r="AB193" s="546">
        <v>11962000000</v>
      </c>
      <c r="AC193" s="546">
        <v>0</v>
      </c>
      <c r="AD193" s="546">
        <v>0</v>
      </c>
      <c r="AE193" s="546">
        <v>0</v>
      </c>
      <c r="AF193" s="546">
        <v>0</v>
      </c>
      <c r="AG193" s="546">
        <v>0</v>
      </c>
      <c r="AH193" s="546">
        <v>0</v>
      </c>
      <c r="AI193" s="546">
        <v>12075022000</v>
      </c>
      <c r="AJ193" s="546">
        <v>12075022000</v>
      </c>
      <c r="AK193" s="546">
        <v>0</v>
      </c>
      <c r="AL193" s="546">
        <v>0</v>
      </c>
      <c r="AM193" s="546">
        <v>0</v>
      </c>
      <c r="AN193" s="546">
        <v>0</v>
      </c>
      <c r="AO193" s="546">
        <v>0</v>
      </c>
      <c r="AP193" s="546">
        <v>0</v>
      </c>
      <c r="AQ193" s="546">
        <v>0</v>
      </c>
      <c r="AR193" s="546">
        <v>0</v>
      </c>
      <c r="AS193" s="546">
        <v>0</v>
      </c>
      <c r="AT193" s="570">
        <f t="shared" si="124"/>
        <v>4.1250000000000002E-2</v>
      </c>
      <c r="AU193" s="570">
        <v>1200</v>
      </c>
      <c r="AV193" s="625">
        <f t="shared" si="177"/>
        <v>0.25</v>
      </c>
      <c r="AW193" s="1003">
        <v>1164</v>
      </c>
      <c r="AX193" s="604">
        <f t="shared" si="178"/>
        <v>291</v>
      </c>
      <c r="AY193" s="604">
        <f t="shared" si="179"/>
        <v>97</v>
      </c>
      <c r="AZ193" s="604">
        <f t="shared" si="128"/>
        <v>97</v>
      </c>
      <c r="BA193" s="592">
        <f t="shared" si="129"/>
        <v>4.0012499999999999E-2</v>
      </c>
      <c r="BB193" s="592">
        <f t="shared" si="130"/>
        <v>97</v>
      </c>
      <c r="BC193" s="591">
        <v>11700000000</v>
      </c>
      <c r="BD193" s="591">
        <v>0</v>
      </c>
      <c r="BE193" s="591">
        <v>11700000</v>
      </c>
      <c r="BF193" s="591">
        <v>0</v>
      </c>
      <c r="BG193" s="591">
        <v>0</v>
      </c>
      <c r="BH193" s="591">
        <v>0</v>
      </c>
      <c r="BI193" s="591">
        <v>0</v>
      </c>
      <c r="BJ193" s="591">
        <v>0</v>
      </c>
      <c r="BK193" s="700">
        <v>11643967583</v>
      </c>
      <c r="BL193" s="589">
        <v>11643967583</v>
      </c>
      <c r="BM193" s="589">
        <v>0</v>
      </c>
      <c r="BN193" s="589">
        <v>0</v>
      </c>
      <c r="BO193" s="589">
        <v>0</v>
      </c>
      <c r="BP193" s="589">
        <v>0</v>
      </c>
      <c r="BQ193" s="589">
        <v>0</v>
      </c>
      <c r="BR193" s="589">
        <v>0</v>
      </c>
      <c r="BS193" s="589">
        <v>0</v>
      </c>
      <c r="BT193" s="589">
        <v>0</v>
      </c>
      <c r="BU193" s="589">
        <v>0</v>
      </c>
      <c r="BV193" s="588">
        <f t="shared" si="131"/>
        <v>4.1250000000000002E-2</v>
      </c>
      <c r="BW193" s="588">
        <v>1200</v>
      </c>
      <c r="BX193" s="623">
        <f t="shared" si="180"/>
        <v>0.25</v>
      </c>
      <c r="BY193" s="607">
        <v>1117</v>
      </c>
      <c r="BZ193" s="629">
        <v>1127</v>
      </c>
      <c r="CA193" s="1017">
        <v>1145</v>
      </c>
      <c r="CB193" s="557">
        <f t="shared" si="181"/>
        <v>286.25</v>
      </c>
      <c r="CC193" s="557">
        <f t="shared" si="182"/>
        <v>95.416666666666671</v>
      </c>
      <c r="CD193" s="622">
        <f t="shared" si="135"/>
        <v>95.416666666666671</v>
      </c>
      <c r="CE193" s="621">
        <f t="shared" si="136"/>
        <v>3.9359375000000002E-2</v>
      </c>
      <c r="CF193" s="605">
        <f t="shared" si="137"/>
        <v>95.416666666666671</v>
      </c>
      <c r="CG193" s="621">
        <f t="shared" si="138"/>
        <v>3.9359375000000002E-2</v>
      </c>
      <c r="CH193" s="553">
        <f t="shared" si="139"/>
        <v>4.1250000000000002E-2</v>
      </c>
      <c r="CI193" s="552">
        <v>1200</v>
      </c>
      <c r="CJ193" s="551">
        <f t="shared" si="183"/>
        <v>0.25</v>
      </c>
      <c r="CK193" s="874">
        <v>1007</v>
      </c>
      <c r="CL193" s="533">
        <f t="shared" si="184"/>
        <v>193</v>
      </c>
      <c r="CM193" s="619">
        <f t="shared" si="185"/>
        <v>251.75</v>
      </c>
      <c r="CN193" s="619">
        <f t="shared" si="186"/>
        <v>83.916666666666671</v>
      </c>
      <c r="CO193" s="619">
        <f t="shared" si="144"/>
        <v>83.916666666666671</v>
      </c>
      <c r="CP193" s="619">
        <f t="shared" si="145"/>
        <v>3.4615625000000004E-2</v>
      </c>
      <c r="CQ193" s="619">
        <f t="shared" si="146"/>
        <v>3.4615625000000004E-2</v>
      </c>
      <c r="CR193" s="546">
        <v>12400000000</v>
      </c>
      <c r="CS193" s="546">
        <v>12400000</v>
      </c>
      <c r="CT193" s="546">
        <v>0</v>
      </c>
      <c r="CU193" s="546">
        <v>0</v>
      </c>
      <c r="CV193" s="546">
        <v>0</v>
      </c>
      <c r="CW193" s="546">
        <v>0</v>
      </c>
      <c r="CX193" s="546">
        <v>0</v>
      </c>
      <c r="CY193" s="546">
        <v>0</v>
      </c>
      <c r="CZ193" s="618">
        <v>0</v>
      </c>
      <c r="DA193" s="618">
        <v>0</v>
      </c>
      <c r="DB193" s="618">
        <v>0</v>
      </c>
      <c r="DC193" s="618">
        <v>0</v>
      </c>
      <c r="DD193" s="618">
        <v>0</v>
      </c>
      <c r="DE193" s="618">
        <v>0</v>
      </c>
      <c r="DF193" s="618">
        <v>0</v>
      </c>
      <c r="DG193" s="618">
        <v>0</v>
      </c>
      <c r="DH193" s="618">
        <v>0</v>
      </c>
      <c r="DI193" s="618">
        <v>0</v>
      </c>
      <c r="DJ193" s="618">
        <v>0</v>
      </c>
      <c r="DK193" s="1034">
        <f t="shared" si="187"/>
        <v>1122.5</v>
      </c>
      <c r="DL193" s="543">
        <f t="shared" si="148"/>
        <v>0.16500000000000001</v>
      </c>
      <c r="DM193" s="542">
        <f t="shared" si="149"/>
        <v>93.541666666666671</v>
      </c>
      <c r="DN193" s="594">
        <f t="shared" si="150"/>
        <v>93.541666666666671</v>
      </c>
      <c r="DO193" s="540">
        <f t="shared" si="151"/>
        <v>0.15434375</v>
      </c>
      <c r="DP193" s="597">
        <f>+IF(M193="M",DO193,0)</f>
        <v>0.15434375</v>
      </c>
      <c r="DQ193" s="538">
        <f t="shared" si="152"/>
        <v>0.15434375</v>
      </c>
      <c r="DR193" s="617">
        <f t="shared" si="153"/>
        <v>1</v>
      </c>
      <c r="DS193" s="616">
        <f t="shared" si="154"/>
        <v>0</v>
      </c>
      <c r="DT193" s="259">
        <v>201</v>
      </c>
      <c r="DU193" s="260" t="s">
        <v>280</v>
      </c>
      <c r="DV193" s="259"/>
      <c r="DW193" s="260" t="s">
        <v>242</v>
      </c>
      <c r="DX193" s="259"/>
      <c r="DY193" s="259"/>
      <c r="DZ193" s="259"/>
      <c r="EA193" s="987"/>
      <c r="EB193" s="1041" t="s">
        <v>2530</v>
      </c>
      <c r="EC193" s="802">
        <v>12000000000</v>
      </c>
      <c r="EE193" s="1047"/>
    </row>
    <row r="194" spans="4:135" s="534" customFormat="1" ht="76.5" hidden="1" x14ac:dyDescent="0.3">
      <c r="D194" s="783">
        <v>191</v>
      </c>
      <c r="E194" s="799">
        <v>235</v>
      </c>
      <c r="F194" s="787" t="s">
        <v>200</v>
      </c>
      <c r="G194" s="787" t="s">
        <v>8</v>
      </c>
      <c r="H194" s="788" t="s">
        <v>2224</v>
      </c>
      <c r="I194" s="712" t="s">
        <v>699</v>
      </c>
      <c r="J194" s="573" t="s">
        <v>700</v>
      </c>
      <c r="K194" s="573" t="s">
        <v>701</v>
      </c>
      <c r="L194" s="702" t="s">
        <v>2228</v>
      </c>
      <c r="M194" s="570" t="s">
        <v>2017</v>
      </c>
      <c r="N194" s="570">
        <v>0</v>
      </c>
      <c r="O194" s="570">
        <f>+N194+P194</f>
        <v>120</v>
      </c>
      <c r="P194" s="569">
        <v>120</v>
      </c>
      <c r="Q194" s="628">
        <v>0.25</v>
      </c>
      <c r="R194" s="580">
        <f t="shared" si="118"/>
        <v>0</v>
      </c>
      <c r="S194" s="708">
        <v>0</v>
      </c>
      <c r="T194" s="625">
        <f t="shared" si="174"/>
        <v>0</v>
      </c>
      <c r="U194" s="992">
        <v>30</v>
      </c>
      <c r="V194" s="626">
        <f t="shared" si="175"/>
        <v>30</v>
      </c>
      <c r="W194" s="594">
        <f t="shared" si="176"/>
        <v>0</v>
      </c>
      <c r="X194" s="594">
        <f t="shared" si="122"/>
        <v>0</v>
      </c>
      <c r="Y194" s="594">
        <f t="shared" si="155"/>
        <v>0</v>
      </c>
      <c r="Z194" s="594">
        <f t="shared" si="123"/>
        <v>100</v>
      </c>
      <c r="AA194" s="546">
        <v>0</v>
      </c>
      <c r="AB194" s="546">
        <v>0</v>
      </c>
      <c r="AC194" s="546">
        <v>0</v>
      </c>
      <c r="AD194" s="546">
        <v>0</v>
      </c>
      <c r="AE194" s="546">
        <v>0</v>
      </c>
      <c r="AF194" s="546">
        <v>0</v>
      </c>
      <c r="AG194" s="546">
        <v>0</v>
      </c>
      <c r="AH194" s="546">
        <v>0</v>
      </c>
      <c r="AI194" s="546">
        <v>0</v>
      </c>
      <c r="AJ194" s="546">
        <v>0</v>
      </c>
      <c r="AK194" s="546">
        <v>0</v>
      </c>
      <c r="AL194" s="546">
        <v>0</v>
      </c>
      <c r="AM194" s="546">
        <v>0</v>
      </c>
      <c r="AN194" s="546">
        <v>0</v>
      </c>
      <c r="AO194" s="546">
        <v>0</v>
      </c>
      <c r="AP194" s="546">
        <v>0</v>
      </c>
      <c r="AQ194" s="546">
        <v>0</v>
      </c>
      <c r="AR194" s="546">
        <v>0</v>
      </c>
      <c r="AS194" s="546">
        <v>0</v>
      </c>
      <c r="AT194" s="570">
        <f t="shared" si="124"/>
        <v>0.25</v>
      </c>
      <c r="AU194" s="570">
        <v>120</v>
      </c>
      <c r="AV194" s="625">
        <f t="shared" si="177"/>
        <v>1</v>
      </c>
      <c r="AW194" s="1003">
        <v>103</v>
      </c>
      <c r="AX194" s="604">
        <f t="shared" si="178"/>
        <v>103</v>
      </c>
      <c r="AY194" s="604">
        <f t="shared" si="179"/>
        <v>85.833333333333329</v>
      </c>
      <c r="AZ194" s="604">
        <f t="shared" si="128"/>
        <v>85.833333333333329</v>
      </c>
      <c r="BA194" s="592">
        <f t="shared" si="129"/>
        <v>0.21458333333333332</v>
      </c>
      <c r="BB194" s="592">
        <f t="shared" si="130"/>
        <v>85.833333333333329</v>
      </c>
      <c r="BC194" s="591">
        <v>0</v>
      </c>
      <c r="BD194" s="591">
        <v>0</v>
      </c>
      <c r="BE194" s="591">
        <v>0</v>
      </c>
      <c r="BF194" s="591">
        <v>0</v>
      </c>
      <c r="BG194" s="591">
        <v>0</v>
      </c>
      <c r="BH194" s="591">
        <v>0</v>
      </c>
      <c r="BI194" s="591">
        <v>0</v>
      </c>
      <c r="BJ194" s="591">
        <v>0</v>
      </c>
      <c r="BK194" s="700">
        <v>0</v>
      </c>
      <c r="BL194" s="589">
        <v>0</v>
      </c>
      <c r="BM194" s="589">
        <v>0</v>
      </c>
      <c r="BN194" s="589">
        <v>0</v>
      </c>
      <c r="BO194" s="589">
        <v>0</v>
      </c>
      <c r="BP194" s="589">
        <v>0</v>
      </c>
      <c r="BQ194" s="589">
        <v>0</v>
      </c>
      <c r="BR194" s="589">
        <v>0</v>
      </c>
      <c r="BS194" s="589">
        <v>0</v>
      </c>
      <c r="BT194" s="589">
        <v>0</v>
      </c>
      <c r="BU194" s="589">
        <v>0</v>
      </c>
      <c r="BV194" s="588">
        <f t="shared" si="131"/>
        <v>0</v>
      </c>
      <c r="BW194" s="588">
        <v>0</v>
      </c>
      <c r="BX194" s="623">
        <f t="shared" si="180"/>
        <v>0</v>
      </c>
      <c r="BY194" s="607">
        <v>66</v>
      </c>
      <c r="BZ194" s="629">
        <v>66</v>
      </c>
      <c r="CA194" s="1017">
        <v>50</v>
      </c>
      <c r="CB194" s="557">
        <f t="shared" si="181"/>
        <v>50</v>
      </c>
      <c r="CC194" s="557">
        <f t="shared" si="182"/>
        <v>0</v>
      </c>
      <c r="CD194" s="622">
        <f t="shared" si="135"/>
        <v>0</v>
      </c>
      <c r="CE194" s="621">
        <f t="shared" si="136"/>
        <v>0</v>
      </c>
      <c r="CF194" s="605">
        <f t="shared" si="137"/>
        <v>100</v>
      </c>
      <c r="CG194" s="621">
        <f t="shared" si="138"/>
        <v>0</v>
      </c>
      <c r="CH194" s="553">
        <f t="shared" si="139"/>
        <v>0</v>
      </c>
      <c r="CI194" s="552">
        <v>0</v>
      </c>
      <c r="CJ194" s="551">
        <f t="shared" si="183"/>
        <v>0</v>
      </c>
      <c r="CK194" s="874">
        <v>20</v>
      </c>
      <c r="CL194" s="533">
        <f t="shared" si="184"/>
        <v>-20</v>
      </c>
      <c r="CM194" s="619">
        <f t="shared" si="185"/>
        <v>20</v>
      </c>
      <c r="CN194" s="619">
        <f t="shared" si="186"/>
        <v>0</v>
      </c>
      <c r="CO194" s="549">
        <f t="shared" si="144"/>
        <v>0</v>
      </c>
      <c r="CP194" s="619">
        <f t="shared" si="145"/>
        <v>0</v>
      </c>
      <c r="CQ194" s="619">
        <f t="shared" si="146"/>
        <v>0</v>
      </c>
      <c r="CR194" s="546">
        <v>0</v>
      </c>
      <c r="CS194" s="546">
        <v>0</v>
      </c>
      <c r="CT194" s="546">
        <v>0</v>
      </c>
      <c r="CU194" s="546">
        <v>0</v>
      </c>
      <c r="CV194" s="546">
        <v>0</v>
      </c>
      <c r="CW194" s="546">
        <v>0</v>
      </c>
      <c r="CX194" s="546">
        <v>0</v>
      </c>
      <c r="CY194" s="546">
        <v>0</v>
      </c>
      <c r="CZ194" s="618">
        <v>0</v>
      </c>
      <c r="DA194" s="618">
        <v>0</v>
      </c>
      <c r="DB194" s="618">
        <v>0</v>
      </c>
      <c r="DC194" s="618">
        <v>0</v>
      </c>
      <c r="DD194" s="618">
        <v>0</v>
      </c>
      <c r="DE194" s="618">
        <v>0</v>
      </c>
      <c r="DF194" s="618">
        <v>0</v>
      </c>
      <c r="DG194" s="618">
        <v>0</v>
      </c>
      <c r="DH194" s="618">
        <v>0</v>
      </c>
      <c r="DI194" s="618">
        <v>0</v>
      </c>
      <c r="DJ194" s="618">
        <v>0</v>
      </c>
      <c r="DK194" s="1034">
        <f t="shared" si="187"/>
        <v>203</v>
      </c>
      <c r="DL194" s="543">
        <f t="shared" si="148"/>
        <v>0.25</v>
      </c>
      <c r="DM194" s="542">
        <f t="shared" si="149"/>
        <v>169.16666666666666</v>
      </c>
      <c r="DN194" s="594">
        <f t="shared" si="150"/>
        <v>100</v>
      </c>
      <c r="DO194" s="540">
        <f t="shared" si="151"/>
        <v>0.25</v>
      </c>
      <c r="DP194" s="597">
        <f>+IF(((DN194*Q194)/100)&lt;Q194, ((DN194*Q194)/100),Q194)</f>
        <v>0.25</v>
      </c>
      <c r="DQ194" s="538">
        <f t="shared" si="152"/>
        <v>0.25</v>
      </c>
      <c r="DR194" s="617">
        <f t="shared" si="153"/>
        <v>1</v>
      </c>
      <c r="DS194" s="616">
        <f t="shared" si="154"/>
        <v>0</v>
      </c>
      <c r="DT194" s="259">
        <v>202</v>
      </c>
      <c r="DU194" s="260" t="s">
        <v>279</v>
      </c>
      <c r="DV194" s="259"/>
      <c r="DW194" s="260" t="s">
        <v>242</v>
      </c>
      <c r="DX194" s="259"/>
      <c r="DY194" s="259"/>
      <c r="DZ194" s="259"/>
      <c r="EA194" s="987"/>
      <c r="EB194" s="1041" t="s">
        <v>2531</v>
      </c>
      <c r="EC194" s="802">
        <v>0</v>
      </c>
      <c r="EE194" s="1047"/>
    </row>
    <row r="195" spans="4:135" s="534" customFormat="1" ht="102" hidden="1" x14ac:dyDescent="0.3">
      <c r="D195" s="783">
        <v>192</v>
      </c>
      <c r="E195" s="799">
        <v>236</v>
      </c>
      <c r="F195" s="574" t="s">
        <v>200</v>
      </c>
      <c r="G195" s="574" t="s">
        <v>7</v>
      </c>
      <c r="H195" s="574" t="s">
        <v>2224</v>
      </c>
      <c r="I195" s="574" t="s">
        <v>699</v>
      </c>
      <c r="J195" s="573" t="s">
        <v>1441</v>
      </c>
      <c r="K195" s="573" t="s">
        <v>702</v>
      </c>
      <c r="L195" s="702" t="s">
        <v>1642</v>
      </c>
      <c r="M195" s="570" t="s">
        <v>2017</v>
      </c>
      <c r="N195" s="570">
        <v>0</v>
      </c>
      <c r="O195" s="570">
        <f>+N195+P195</f>
        <v>18000</v>
      </c>
      <c r="P195" s="569">
        <v>18000</v>
      </c>
      <c r="Q195" s="631">
        <v>0.25</v>
      </c>
      <c r="R195" s="580">
        <f t="shared" si="118"/>
        <v>0</v>
      </c>
      <c r="S195" s="708">
        <v>0</v>
      </c>
      <c r="T195" s="625">
        <f t="shared" si="174"/>
        <v>0</v>
      </c>
      <c r="U195" s="992">
        <v>0</v>
      </c>
      <c r="V195" s="626">
        <f t="shared" si="175"/>
        <v>0</v>
      </c>
      <c r="W195" s="594">
        <f t="shared" si="176"/>
        <v>0</v>
      </c>
      <c r="X195" s="594">
        <f t="shared" si="122"/>
        <v>0</v>
      </c>
      <c r="Y195" s="594">
        <f t="shared" si="155"/>
        <v>0</v>
      </c>
      <c r="Z195" s="594">
        <f t="shared" si="123"/>
        <v>0</v>
      </c>
      <c r="AA195" s="546">
        <v>0</v>
      </c>
      <c r="AB195" s="546">
        <v>0</v>
      </c>
      <c r="AC195" s="546">
        <v>0</v>
      </c>
      <c r="AD195" s="546">
        <v>0</v>
      </c>
      <c r="AE195" s="546">
        <v>0</v>
      </c>
      <c r="AF195" s="546">
        <v>0</v>
      </c>
      <c r="AG195" s="546">
        <v>0</v>
      </c>
      <c r="AH195" s="546">
        <v>0</v>
      </c>
      <c r="AI195" s="546">
        <v>0</v>
      </c>
      <c r="AJ195" s="546">
        <v>0</v>
      </c>
      <c r="AK195" s="546">
        <v>0</v>
      </c>
      <c r="AL195" s="546">
        <v>0</v>
      </c>
      <c r="AM195" s="546">
        <v>0</v>
      </c>
      <c r="AN195" s="546">
        <v>0</v>
      </c>
      <c r="AO195" s="546">
        <v>0</v>
      </c>
      <c r="AP195" s="546">
        <v>0</v>
      </c>
      <c r="AQ195" s="546">
        <v>0</v>
      </c>
      <c r="AR195" s="546">
        <v>0</v>
      </c>
      <c r="AS195" s="546">
        <v>0</v>
      </c>
      <c r="AT195" s="630">
        <f t="shared" si="124"/>
        <v>1.3888888888888888E-2</v>
      </c>
      <c r="AU195" s="570">
        <v>1000</v>
      </c>
      <c r="AV195" s="625">
        <f t="shared" si="177"/>
        <v>5.5555555555555552E-2</v>
      </c>
      <c r="AW195" s="1003">
        <v>1029</v>
      </c>
      <c r="AX195" s="604">
        <f t="shared" si="178"/>
        <v>1029</v>
      </c>
      <c r="AY195" s="604">
        <f t="shared" si="179"/>
        <v>102.9</v>
      </c>
      <c r="AZ195" s="604">
        <f t="shared" si="128"/>
        <v>100</v>
      </c>
      <c r="BA195" s="592">
        <f t="shared" si="129"/>
        <v>1.3888888888888888E-2</v>
      </c>
      <c r="BB195" s="592">
        <f t="shared" si="130"/>
        <v>100</v>
      </c>
      <c r="BC195" s="591">
        <v>33000000</v>
      </c>
      <c r="BD195" s="591">
        <v>0</v>
      </c>
      <c r="BE195" s="591">
        <v>33000000</v>
      </c>
      <c r="BF195" s="591">
        <v>0</v>
      </c>
      <c r="BG195" s="591">
        <v>0</v>
      </c>
      <c r="BH195" s="591">
        <v>0</v>
      </c>
      <c r="BI195" s="591">
        <v>0</v>
      </c>
      <c r="BJ195" s="591">
        <v>0</v>
      </c>
      <c r="BK195" s="700">
        <v>30000000</v>
      </c>
      <c r="BL195" s="589">
        <v>30000000</v>
      </c>
      <c r="BM195" s="589">
        <v>0</v>
      </c>
      <c r="BN195" s="589">
        <v>0</v>
      </c>
      <c r="BO195" s="589">
        <v>0</v>
      </c>
      <c r="BP195" s="589">
        <v>0</v>
      </c>
      <c r="BQ195" s="589">
        <v>0</v>
      </c>
      <c r="BR195" s="589">
        <v>0</v>
      </c>
      <c r="BS195" s="589">
        <v>0</v>
      </c>
      <c r="BT195" s="589">
        <v>0</v>
      </c>
      <c r="BU195" s="589">
        <v>0</v>
      </c>
      <c r="BV195" s="588">
        <f t="shared" si="131"/>
        <v>0.19444444444444445</v>
      </c>
      <c r="BW195" s="588">
        <v>14000</v>
      </c>
      <c r="BX195" s="623">
        <f t="shared" si="180"/>
        <v>0.77777777777777779</v>
      </c>
      <c r="BY195" s="639">
        <v>9738</v>
      </c>
      <c r="BZ195" s="638">
        <v>14670</v>
      </c>
      <c r="CA195" s="1018">
        <v>17326</v>
      </c>
      <c r="CB195" s="557">
        <f t="shared" si="181"/>
        <v>17326</v>
      </c>
      <c r="CC195" s="557">
        <f t="shared" si="182"/>
        <v>123.75714285714285</v>
      </c>
      <c r="CD195" s="622">
        <f t="shared" si="135"/>
        <v>100</v>
      </c>
      <c r="CE195" s="621">
        <f t="shared" si="136"/>
        <v>0.19444444444444448</v>
      </c>
      <c r="CF195" s="605">
        <f t="shared" si="137"/>
        <v>100</v>
      </c>
      <c r="CG195" s="621">
        <f t="shared" si="138"/>
        <v>0.2406388888888889</v>
      </c>
      <c r="CH195" s="553">
        <f t="shared" si="139"/>
        <v>4.1666666666666664E-2</v>
      </c>
      <c r="CI195" s="552">
        <v>3000</v>
      </c>
      <c r="CJ195" s="551">
        <f t="shared" si="183"/>
        <v>0.16666666666666666</v>
      </c>
      <c r="CK195" s="874">
        <v>6662</v>
      </c>
      <c r="CL195" s="533">
        <f t="shared" si="184"/>
        <v>-3662</v>
      </c>
      <c r="CM195" s="619">
        <f t="shared" si="185"/>
        <v>6662</v>
      </c>
      <c r="CN195" s="619">
        <f t="shared" si="186"/>
        <v>222.06666666666666</v>
      </c>
      <c r="CO195" s="549">
        <f t="shared" si="144"/>
        <v>100</v>
      </c>
      <c r="CP195" s="619">
        <f t="shared" si="145"/>
        <v>4.1666666666666657E-2</v>
      </c>
      <c r="CQ195" s="619">
        <f t="shared" si="146"/>
        <v>9.2527777777777764E-2</v>
      </c>
      <c r="CR195" s="546">
        <v>75000000</v>
      </c>
      <c r="CS195" s="546">
        <v>75000000</v>
      </c>
      <c r="CT195" s="546">
        <v>0</v>
      </c>
      <c r="CU195" s="546">
        <v>0</v>
      </c>
      <c r="CV195" s="546">
        <v>0</v>
      </c>
      <c r="CW195" s="546">
        <v>0</v>
      </c>
      <c r="CX195" s="546">
        <v>0</v>
      </c>
      <c r="CY195" s="546">
        <v>0</v>
      </c>
      <c r="CZ195" s="618">
        <v>0</v>
      </c>
      <c r="DA195" s="618">
        <v>0</v>
      </c>
      <c r="DB195" s="618">
        <v>0</v>
      </c>
      <c r="DC195" s="618">
        <v>0</v>
      </c>
      <c r="DD195" s="618">
        <v>0</v>
      </c>
      <c r="DE195" s="618">
        <v>0</v>
      </c>
      <c r="DF195" s="618">
        <v>0</v>
      </c>
      <c r="DG195" s="618">
        <v>0</v>
      </c>
      <c r="DH195" s="618">
        <v>0</v>
      </c>
      <c r="DI195" s="618">
        <v>0</v>
      </c>
      <c r="DJ195" s="618">
        <v>0</v>
      </c>
      <c r="DK195" s="1034">
        <f t="shared" si="187"/>
        <v>25017</v>
      </c>
      <c r="DL195" s="543">
        <f t="shared" si="148"/>
        <v>0.25</v>
      </c>
      <c r="DM195" s="542">
        <f t="shared" si="149"/>
        <v>138.98333333333332</v>
      </c>
      <c r="DN195" s="594">
        <f t="shared" si="150"/>
        <v>100</v>
      </c>
      <c r="DO195" s="540">
        <f t="shared" si="151"/>
        <v>0.25</v>
      </c>
      <c r="DP195" s="597">
        <f>+IF(((DN195*Q195)/100)&lt;Q195, ((DN195*Q195)/100),Q195)</f>
        <v>0.25</v>
      </c>
      <c r="DQ195" s="538">
        <f t="shared" si="152"/>
        <v>0.25</v>
      </c>
      <c r="DR195" s="617">
        <f t="shared" si="153"/>
        <v>1</v>
      </c>
      <c r="DS195" s="616">
        <f t="shared" si="154"/>
        <v>0</v>
      </c>
      <c r="DT195" s="259">
        <v>200</v>
      </c>
      <c r="DU195" s="260" t="s">
        <v>556</v>
      </c>
      <c r="DV195" s="259">
        <v>202</v>
      </c>
      <c r="DW195" s="260" t="s">
        <v>279</v>
      </c>
      <c r="DX195" s="259"/>
      <c r="DY195" s="259"/>
      <c r="DZ195" s="259"/>
      <c r="EA195" s="987"/>
      <c r="EB195" s="1041" t="s">
        <v>2532</v>
      </c>
      <c r="EC195" s="802">
        <v>75000000</v>
      </c>
      <c r="EE195" s="1047"/>
    </row>
    <row r="196" spans="4:135" s="534" customFormat="1" ht="89.25" hidden="1" x14ac:dyDescent="0.3">
      <c r="D196" s="783">
        <v>193</v>
      </c>
      <c r="E196" s="799">
        <v>237</v>
      </c>
      <c r="F196" s="787" t="s">
        <v>200</v>
      </c>
      <c r="G196" s="787" t="s">
        <v>7</v>
      </c>
      <c r="H196" s="788" t="s">
        <v>2224</v>
      </c>
      <c r="I196" s="712" t="s">
        <v>699</v>
      </c>
      <c r="J196" s="573" t="s">
        <v>703</v>
      </c>
      <c r="K196" s="573" t="s">
        <v>704</v>
      </c>
      <c r="L196" s="702" t="s">
        <v>2227</v>
      </c>
      <c r="M196" s="570" t="s">
        <v>2017</v>
      </c>
      <c r="N196" s="570">
        <v>0</v>
      </c>
      <c r="O196" s="570">
        <f>+N196+P196</f>
        <v>5</v>
      </c>
      <c r="P196" s="569">
        <v>5</v>
      </c>
      <c r="Q196" s="628">
        <v>0.16500000000000001</v>
      </c>
      <c r="R196" s="580">
        <f t="shared" si="118"/>
        <v>3.3000000000000002E-2</v>
      </c>
      <c r="S196" s="708">
        <v>1</v>
      </c>
      <c r="T196" s="625">
        <f t="shared" si="174"/>
        <v>0.2</v>
      </c>
      <c r="U196" s="992">
        <v>1</v>
      </c>
      <c r="V196" s="626">
        <f t="shared" si="175"/>
        <v>1</v>
      </c>
      <c r="W196" s="594">
        <f t="shared" si="176"/>
        <v>100</v>
      </c>
      <c r="X196" s="594">
        <f t="shared" si="122"/>
        <v>100</v>
      </c>
      <c r="Y196" s="594">
        <f t="shared" si="155"/>
        <v>3.3000000000000002E-2</v>
      </c>
      <c r="Z196" s="594">
        <f t="shared" si="123"/>
        <v>100</v>
      </c>
      <c r="AA196" s="546">
        <v>80000000</v>
      </c>
      <c r="AB196" s="546">
        <v>80000000</v>
      </c>
      <c r="AC196" s="546">
        <v>0</v>
      </c>
      <c r="AD196" s="546">
        <v>0</v>
      </c>
      <c r="AE196" s="546">
        <v>0</v>
      </c>
      <c r="AF196" s="546">
        <v>0</v>
      </c>
      <c r="AG196" s="546">
        <v>0</v>
      </c>
      <c r="AH196" s="546">
        <v>0</v>
      </c>
      <c r="AI196" s="546">
        <v>25000000</v>
      </c>
      <c r="AJ196" s="546">
        <v>25000000</v>
      </c>
      <c r="AK196" s="546">
        <v>0</v>
      </c>
      <c r="AL196" s="546">
        <v>0</v>
      </c>
      <c r="AM196" s="546">
        <v>0</v>
      </c>
      <c r="AN196" s="546">
        <v>0</v>
      </c>
      <c r="AO196" s="546">
        <v>0</v>
      </c>
      <c r="AP196" s="546">
        <v>0</v>
      </c>
      <c r="AQ196" s="546">
        <v>0</v>
      </c>
      <c r="AR196" s="546">
        <v>0</v>
      </c>
      <c r="AS196" s="546">
        <v>0</v>
      </c>
      <c r="AT196" s="570">
        <f t="shared" si="124"/>
        <v>0</v>
      </c>
      <c r="AU196" s="570">
        <v>0</v>
      </c>
      <c r="AV196" s="625">
        <f t="shared" si="177"/>
        <v>0</v>
      </c>
      <c r="AW196" s="1003">
        <v>0</v>
      </c>
      <c r="AX196" s="604">
        <f t="shared" si="178"/>
        <v>0</v>
      </c>
      <c r="AY196" s="604">
        <f t="shared" si="179"/>
        <v>0</v>
      </c>
      <c r="AZ196" s="604">
        <f t="shared" si="128"/>
        <v>0</v>
      </c>
      <c r="BA196" s="592">
        <f t="shared" si="129"/>
        <v>0</v>
      </c>
      <c r="BB196" s="592">
        <f t="shared" si="130"/>
        <v>0</v>
      </c>
      <c r="BC196" s="591">
        <v>33000000</v>
      </c>
      <c r="BD196" s="591">
        <v>0</v>
      </c>
      <c r="BE196" s="591">
        <v>33000000</v>
      </c>
      <c r="BF196" s="591">
        <v>0</v>
      </c>
      <c r="BG196" s="591">
        <v>0</v>
      </c>
      <c r="BH196" s="591">
        <v>0</v>
      </c>
      <c r="BI196" s="591">
        <v>0</v>
      </c>
      <c r="BJ196" s="591">
        <v>0</v>
      </c>
      <c r="BK196" s="700">
        <v>27250000</v>
      </c>
      <c r="BL196" s="589">
        <v>27250000</v>
      </c>
      <c r="BM196" s="589">
        <v>0</v>
      </c>
      <c r="BN196" s="589">
        <v>0</v>
      </c>
      <c r="BO196" s="589">
        <v>0</v>
      </c>
      <c r="BP196" s="589">
        <v>0</v>
      </c>
      <c r="BQ196" s="589">
        <v>0</v>
      </c>
      <c r="BR196" s="589">
        <v>0</v>
      </c>
      <c r="BS196" s="589">
        <v>0</v>
      </c>
      <c r="BT196" s="589">
        <v>0</v>
      </c>
      <c r="BU196" s="589">
        <v>0</v>
      </c>
      <c r="BV196" s="588">
        <f t="shared" si="131"/>
        <v>6.6000000000000003E-2</v>
      </c>
      <c r="BW196" s="588">
        <v>2</v>
      </c>
      <c r="BX196" s="623">
        <f t="shared" si="180"/>
        <v>0.4</v>
      </c>
      <c r="BY196" s="639">
        <v>1</v>
      </c>
      <c r="BZ196" s="638">
        <v>0</v>
      </c>
      <c r="CA196" s="1018">
        <v>0</v>
      </c>
      <c r="CB196" s="557">
        <f t="shared" si="181"/>
        <v>0</v>
      </c>
      <c r="CC196" s="557">
        <f t="shared" si="182"/>
        <v>0</v>
      </c>
      <c r="CD196" s="622">
        <f t="shared" si="135"/>
        <v>0</v>
      </c>
      <c r="CE196" s="621">
        <f t="shared" si="136"/>
        <v>0</v>
      </c>
      <c r="CF196" s="605">
        <f t="shared" si="137"/>
        <v>0</v>
      </c>
      <c r="CG196" s="621">
        <f t="shared" si="138"/>
        <v>0</v>
      </c>
      <c r="CH196" s="553">
        <f t="shared" si="139"/>
        <v>6.6000000000000003E-2</v>
      </c>
      <c r="CI196" s="552">
        <v>2</v>
      </c>
      <c r="CJ196" s="551">
        <f t="shared" si="183"/>
        <v>0.4</v>
      </c>
      <c r="CK196" s="874">
        <v>3</v>
      </c>
      <c r="CL196" s="533">
        <f t="shared" si="184"/>
        <v>-1</v>
      </c>
      <c r="CM196" s="619">
        <f t="shared" si="185"/>
        <v>3</v>
      </c>
      <c r="CN196" s="619">
        <f t="shared" si="186"/>
        <v>150</v>
      </c>
      <c r="CO196" s="549">
        <f t="shared" si="144"/>
        <v>100</v>
      </c>
      <c r="CP196" s="619">
        <f t="shared" si="145"/>
        <v>6.6000000000000003E-2</v>
      </c>
      <c r="CQ196" s="619">
        <f t="shared" si="146"/>
        <v>9.9000000000000005E-2</v>
      </c>
      <c r="CR196" s="546">
        <v>75000000</v>
      </c>
      <c r="CS196" s="546">
        <v>75000000</v>
      </c>
      <c r="CT196" s="546">
        <v>0</v>
      </c>
      <c r="CU196" s="546">
        <v>0</v>
      </c>
      <c r="CV196" s="546">
        <v>0</v>
      </c>
      <c r="CW196" s="546">
        <v>0</v>
      </c>
      <c r="CX196" s="546">
        <v>0</v>
      </c>
      <c r="CY196" s="546">
        <v>0</v>
      </c>
      <c r="CZ196" s="618">
        <v>0</v>
      </c>
      <c r="DA196" s="618">
        <v>0</v>
      </c>
      <c r="DB196" s="618">
        <v>0</v>
      </c>
      <c r="DC196" s="618">
        <v>0</v>
      </c>
      <c r="DD196" s="618">
        <v>0</v>
      </c>
      <c r="DE196" s="618">
        <v>0</v>
      </c>
      <c r="DF196" s="618">
        <v>0</v>
      </c>
      <c r="DG196" s="618">
        <v>0</v>
      </c>
      <c r="DH196" s="618">
        <v>0</v>
      </c>
      <c r="DI196" s="618">
        <v>0</v>
      </c>
      <c r="DJ196" s="618">
        <v>0</v>
      </c>
      <c r="DK196" s="1034">
        <f t="shared" si="187"/>
        <v>4</v>
      </c>
      <c r="DL196" s="543">
        <f t="shared" si="148"/>
        <v>0.16500000000000001</v>
      </c>
      <c r="DM196" s="542">
        <f t="shared" si="149"/>
        <v>80</v>
      </c>
      <c r="DN196" s="594">
        <f t="shared" si="150"/>
        <v>80</v>
      </c>
      <c r="DO196" s="540">
        <f t="shared" si="151"/>
        <v>0.13200000000000001</v>
      </c>
      <c r="DP196" s="597">
        <f>+IF(((DN196*Q196)/100)&lt;Q196, ((DN196*Q196)/100),Q196)</f>
        <v>0.13200000000000001</v>
      </c>
      <c r="DQ196" s="538">
        <f t="shared" si="152"/>
        <v>0.13200000000000001</v>
      </c>
      <c r="DR196" s="617">
        <f t="shared" si="153"/>
        <v>1</v>
      </c>
      <c r="DS196" s="616">
        <f t="shared" si="154"/>
        <v>0</v>
      </c>
      <c r="DT196" s="259">
        <v>200</v>
      </c>
      <c r="DU196" s="260" t="s">
        <v>556</v>
      </c>
      <c r="DV196" s="259">
        <v>202</v>
      </c>
      <c r="DW196" s="260" t="s">
        <v>279</v>
      </c>
      <c r="DX196" s="259"/>
      <c r="DY196" s="259"/>
      <c r="DZ196" s="259"/>
      <c r="EA196" s="987"/>
      <c r="EB196" s="1041" t="s">
        <v>2533</v>
      </c>
      <c r="EC196" s="802">
        <v>75000000</v>
      </c>
      <c r="EE196" s="1047"/>
    </row>
    <row r="197" spans="4:135" s="534" customFormat="1" ht="84" hidden="1" x14ac:dyDescent="0.3">
      <c r="D197" s="783">
        <v>194</v>
      </c>
      <c r="E197" s="799">
        <v>238</v>
      </c>
      <c r="F197" s="787" t="s">
        <v>200</v>
      </c>
      <c r="G197" s="739" t="s">
        <v>10</v>
      </c>
      <c r="H197" s="788" t="s">
        <v>138</v>
      </c>
      <c r="I197" s="712" t="s">
        <v>699</v>
      </c>
      <c r="J197" s="573" t="s">
        <v>705</v>
      </c>
      <c r="K197" s="573" t="s">
        <v>706</v>
      </c>
      <c r="L197" s="702" t="s">
        <v>1593</v>
      </c>
      <c r="M197" s="571" t="s">
        <v>2032</v>
      </c>
      <c r="N197" s="571">
        <v>0</v>
      </c>
      <c r="O197" s="570">
        <f>+P197</f>
        <v>116</v>
      </c>
      <c r="P197" s="569">
        <v>116</v>
      </c>
      <c r="Q197" s="628">
        <v>0.16500000000000001</v>
      </c>
      <c r="R197" s="580">
        <f t="shared" ref="R197:R260" si="190">+Q197*T197</f>
        <v>4.1250000000000002E-2</v>
      </c>
      <c r="S197" s="627">
        <v>116</v>
      </c>
      <c r="T197" s="625">
        <f t="shared" si="174"/>
        <v>0.25</v>
      </c>
      <c r="U197" s="992">
        <v>116</v>
      </c>
      <c r="V197" s="626">
        <f t="shared" si="175"/>
        <v>29</v>
      </c>
      <c r="W197" s="594">
        <f t="shared" si="176"/>
        <v>100</v>
      </c>
      <c r="X197" s="594">
        <f t="shared" ref="X197:X260" si="191">+IF(W197&lt;100,W197,100)</f>
        <v>100</v>
      </c>
      <c r="Y197" s="594">
        <f t="shared" si="155"/>
        <v>4.1250000000000002E-2</v>
      </c>
      <c r="Z197" s="594">
        <f t="shared" ref="Z197:Z260" si="192">+IF(U197&gt;S197,100,X197)</f>
        <v>100</v>
      </c>
      <c r="AA197" s="593">
        <v>2839000000</v>
      </c>
      <c r="AB197" s="593">
        <v>1070000000</v>
      </c>
      <c r="AC197" s="593">
        <v>1769000000</v>
      </c>
      <c r="AD197" s="593">
        <v>0</v>
      </c>
      <c r="AE197" s="593">
        <v>0</v>
      </c>
      <c r="AF197" s="593">
        <v>0</v>
      </c>
      <c r="AG197" s="593">
        <v>0</v>
      </c>
      <c r="AH197" s="593">
        <v>0</v>
      </c>
      <c r="AI197" s="593">
        <v>0</v>
      </c>
      <c r="AJ197" s="593">
        <v>0</v>
      </c>
      <c r="AK197" s="593">
        <v>0</v>
      </c>
      <c r="AL197" s="593">
        <v>0</v>
      </c>
      <c r="AM197" s="593">
        <v>0</v>
      </c>
      <c r="AN197" s="593">
        <v>0</v>
      </c>
      <c r="AO197" s="593">
        <v>0</v>
      </c>
      <c r="AP197" s="593">
        <v>0</v>
      </c>
      <c r="AQ197" s="593">
        <v>0</v>
      </c>
      <c r="AR197" s="593">
        <v>0</v>
      </c>
      <c r="AS197" s="593">
        <v>0</v>
      </c>
      <c r="AT197" s="570">
        <f t="shared" ref="AT197:AT260" si="193">+Q197*AV197</f>
        <v>4.1250000000000002E-2</v>
      </c>
      <c r="AU197" s="571">
        <v>116</v>
      </c>
      <c r="AV197" s="625">
        <f t="shared" si="177"/>
        <v>0.25</v>
      </c>
      <c r="AW197" s="1003">
        <v>116</v>
      </c>
      <c r="AX197" s="604">
        <f t="shared" si="178"/>
        <v>29</v>
      </c>
      <c r="AY197" s="604">
        <f t="shared" si="179"/>
        <v>100</v>
      </c>
      <c r="AZ197" s="604">
        <f t="shared" ref="AZ197:AZ260" si="194">+IF(AY197&lt;100,AY197,100)</f>
        <v>100</v>
      </c>
      <c r="BA197" s="592">
        <f t="shared" ref="BA197:BA260" si="195">+(AZ197*AT197)/100</f>
        <v>4.1250000000000002E-2</v>
      </c>
      <c r="BB197" s="592">
        <f t="shared" ref="BB197:BB260" si="196">+IF(AW197&gt;AU197,100,AZ197)</f>
        <v>100</v>
      </c>
      <c r="BC197" s="591">
        <v>650000000</v>
      </c>
      <c r="BD197" s="591">
        <v>450000000</v>
      </c>
      <c r="BE197" s="591">
        <v>200000000</v>
      </c>
      <c r="BF197" s="591">
        <v>0</v>
      </c>
      <c r="BG197" s="591">
        <v>0</v>
      </c>
      <c r="BH197" s="591">
        <v>0</v>
      </c>
      <c r="BI197" s="591">
        <v>0</v>
      </c>
      <c r="BJ197" s="591">
        <v>0</v>
      </c>
      <c r="BK197" s="700">
        <v>433626666</v>
      </c>
      <c r="BL197" s="589">
        <v>0</v>
      </c>
      <c r="BM197" s="589">
        <v>422193332</v>
      </c>
      <c r="BN197" s="589">
        <v>11433334</v>
      </c>
      <c r="BO197" s="589">
        <v>0</v>
      </c>
      <c r="BP197" s="589">
        <v>0</v>
      </c>
      <c r="BQ197" s="589">
        <v>0</v>
      </c>
      <c r="BR197" s="589">
        <v>0</v>
      </c>
      <c r="BS197" s="589">
        <v>0</v>
      </c>
      <c r="BT197" s="589">
        <v>0</v>
      </c>
      <c r="BU197" s="589">
        <v>0</v>
      </c>
      <c r="BV197" s="588">
        <f t="shared" ref="BV197:BV260" si="197">+Q197*BX197</f>
        <v>4.1250000000000002E-2</v>
      </c>
      <c r="BW197" s="588">
        <v>116</v>
      </c>
      <c r="BX197" s="623">
        <f t="shared" si="180"/>
        <v>0.25</v>
      </c>
      <c r="BY197" s="607">
        <v>100</v>
      </c>
      <c r="BZ197" s="629">
        <v>100</v>
      </c>
      <c r="CA197" s="1017">
        <v>100</v>
      </c>
      <c r="CB197" s="557">
        <f t="shared" si="181"/>
        <v>25</v>
      </c>
      <c r="CC197" s="557">
        <f t="shared" si="182"/>
        <v>86.206896551724142</v>
      </c>
      <c r="CD197" s="622">
        <f t="shared" ref="CD197:CD260" si="198">+IF(CC197&lt;100,CC197,100)</f>
        <v>86.206896551724142</v>
      </c>
      <c r="CE197" s="621">
        <f t="shared" ref="CE197:CE260" si="199">+(CD197*BV197)/100</f>
        <v>3.5560344827586209E-2</v>
      </c>
      <c r="CF197" s="605">
        <f t="shared" ref="CF197:CF260" si="200">+IF(BZ197&gt;BW197,100,CD197)</f>
        <v>86.206896551724142</v>
      </c>
      <c r="CG197" s="621">
        <f t="shared" ref="CG197:CG260" si="201">(CC197*BV197)/100</f>
        <v>3.5560344827586209E-2</v>
      </c>
      <c r="CH197" s="553">
        <f t="shared" ref="CH197:CH260" si="202">+Q197*CJ197</f>
        <v>4.1250000000000002E-2</v>
      </c>
      <c r="CI197" s="552">
        <v>116</v>
      </c>
      <c r="CJ197" s="551">
        <f t="shared" si="183"/>
        <v>0.25</v>
      </c>
      <c r="CK197" s="874">
        <v>116</v>
      </c>
      <c r="CL197" s="533">
        <f t="shared" si="184"/>
        <v>0</v>
      </c>
      <c r="CM197" s="619">
        <f t="shared" si="185"/>
        <v>29</v>
      </c>
      <c r="CN197" s="619">
        <f t="shared" si="186"/>
        <v>100</v>
      </c>
      <c r="CO197" s="619">
        <f t="shared" ref="CO197:CO260" si="203">+IF(CN197&lt;100,CN197,100)</f>
        <v>100</v>
      </c>
      <c r="CP197" s="619">
        <f t="shared" ref="CP197:CP260" si="204">+(CO197*CH197)/100</f>
        <v>4.1250000000000002E-2</v>
      </c>
      <c r="CQ197" s="619">
        <f t="shared" ref="CQ197:CQ260" si="205">+(CN197*CH197)/100</f>
        <v>4.1250000000000002E-2</v>
      </c>
      <c r="CR197" s="546">
        <v>826000000</v>
      </c>
      <c r="CS197" s="546">
        <v>400000000</v>
      </c>
      <c r="CT197" s="546">
        <v>426000000</v>
      </c>
      <c r="CU197" s="546">
        <v>0</v>
      </c>
      <c r="CV197" s="546">
        <v>0</v>
      </c>
      <c r="CW197" s="546">
        <v>0</v>
      </c>
      <c r="CX197" s="546">
        <v>0</v>
      </c>
      <c r="CY197" s="546">
        <v>0</v>
      </c>
      <c r="CZ197" s="618">
        <v>0</v>
      </c>
      <c r="DA197" s="618">
        <v>0</v>
      </c>
      <c r="DB197" s="618">
        <v>0</v>
      </c>
      <c r="DC197" s="618">
        <v>0</v>
      </c>
      <c r="DD197" s="618">
        <v>0</v>
      </c>
      <c r="DE197" s="618">
        <v>0</v>
      </c>
      <c r="DF197" s="618">
        <v>0</v>
      </c>
      <c r="DG197" s="618">
        <v>0</v>
      </c>
      <c r="DH197" s="618">
        <v>0</v>
      </c>
      <c r="DI197" s="618">
        <v>0</v>
      </c>
      <c r="DJ197" s="618">
        <v>0</v>
      </c>
      <c r="DK197" s="1034">
        <f t="shared" si="187"/>
        <v>112</v>
      </c>
      <c r="DL197" s="543">
        <f t="shared" ref="DL197:DL260" si="206">+R197+AT197+BV197+CH197</f>
        <v>0.16500000000000001</v>
      </c>
      <c r="DM197" s="542">
        <f t="shared" ref="DM197:DM260" si="207">+DK197*100/P197</f>
        <v>96.551724137931032</v>
      </c>
      <c r="DN197" s="594">
        <f t="shared" ref="DN197:DN260" si="208">+IF(DM197&lt;100,DM197,100)</f>
        <v>96.551724137931032</v>
      </c>
      <c r="DO197" s="540">
        <f t="shared" ref="DO197:DO260" si="209">+(DN197*Q197)/100</f>
        <v>0.15931034482758621</v>
      </c>
      <c r="DP197" s="597">
        <f>+IF(M197="M",DO197,0)</f>
        <v>0.15931034482758621</v>
      </c>
      <c r="DQ197" s="538">
        <f t="shared" ref="DQ197:DQ260" si="210">+IF(DL197&lt;DP197,DL197,DP197)</f>
        <v>0.15931034482758621</v>
      </c>
      <c r="DR197" s="617">
        <f t="shared" ref="DR197:DR260" si="211">+T197+AV197+BX197+CJ197</f>
        <v>1</v>
      </c>
      <c r="DS197" s="616">
        <f t="shared" ref="DS197:DS260" si="212">+Q197-R197-AT197-BV197-CH197</f>
        <v>0</v>
      </c>
      <c r="DT197" s="259">
        <v>203</v>
      </c>
      <c r="DU197" s="260" t="s">
        <v>278</v>
      </c>
      <c r="DV197" s="259"/>
      <c r="DW197" s="260" t="s">
        <v>242</v>
      </c>
      <c r="DX197" s="259"/>
      <c r="DY197" s="259"/>
      <c r="DZ197" s="259"/>
      <c r="EA197" s="987"/>
      <c r="EB197" s="1041" t="s">
        <v>2534</v>
      </c>
      <c r="EC197" s="802">
        <v>850000000</v>
      </c>
      <c r="EE197" s="1047"/>
    </row>
    <row r="198" spans="4:135" s="534" customFormat="1" ht="114.75" hidden="1" x14ac:dyDescent="0.3">
      <c r="D198" s="783">
        <v>195</v>
      </c>
      <c r="E198" s="799">
        <v>239</v>
      </c>
      <c r="F198" s="787" t="s">
        <v>200</v>
      </c>
      <c r="G198" s="739" t="s">
        <v>10</v>
      </c>
      <c r="H198" s="788" t="s">
        <v>2224</v>
      </c>
      <c r="I198" s="712" t="s">
        <v>699</v>
      </c>
      <c r="J198" s="573" t="s">
        <v>707</v>
      </c>
      <c r="K198" s="573" t="s">
        <v>708</v>
      </c>
      <c r="L198" s="701" t="s">
        <v>1593</v>
      </c>
      <c r="M198" s="571" t="s">
        <v>2032</v>
      </c>
      <c r="N198" s="571">
        <v>116</v>
      </c>
      <c r="O198" s="570">
        <f>+P198</f>
        <v>116</v>
      </c>
      <c r="P198" s="569">
        <v>116</v>
      </c>
      <c r="Q198" s="628">
        <v>0.25</v>
      </c>
      <c r="R198" s="580">
        <f t="shared" si="190"/>
        <v>6.25E-2</v>
      </c>
      <c r="S198" s="627">
        <v>116</v>
      </c>
      <c r="T198" s="625">
        <f t="shared" si="174"/>
        <v>0.25</v>
      </c>
      <c r="U198" s="992">
        <v>116</v>
      </c>
      <c r="V198" s="626">
        <f t="shared" si="175"/>
        <v>29</v>
      </c>
      <c r="W198" s="594">
        <f t="shared" si="176"/>
        <v>100</v>
      </c>
      <c r="X198" s="594">
        <f t="shared" si="191"/>
        <v>100</v>
      </c>
      <c r="Y198" s="594">
        <f t="shared" si="155"/>
        <v>6.25E-2</v>
      </c>
      <c r="Z198" s="594">
        <f t="shared" si="192"/>
        <v>100</v>
      </c>
      <c r="AA198" s="593">
        <v>70248000</v>
      </c>
      <c r="AB198" s="593">
        <v>70248000</v>
      </c>
      <c r="AC198" s="593">
        <v>0</v>
      </c>
      <c r="AD198" s="593">
        <v>0</v>
      </c>
      <c r="AE198" s="593">
        <v>0</v>
      </c>
      <c r="AF198" s="593">
        <v>0</v>
      </c>
      <c r="AG198" s="593">
        <v>0</v>
      </c>
      <c r="AH198" s="593">
        <v>0</v>
      </c>
      <c r="AI198" s="593">
        <v>71371170000</v>
      </c>
      <c r="AJ198" s="593">
        <v>0</v>
      </c>
      <c r="AK198" s="593">
        <v>0</v>
      </c>
      <c r="AL198" s="593">
        <v>0</v>
      </c>
      <c r="AM198" s="593">
        <v>0</v>
      </c>
      <c r="AN198" s="593">
        <v>0</v>
      </c>
      <c r="AO198" s="593">
        <v>0</v>
      </c>
      <c r="AP198" s="593">
        <v>71371170000</v>
      </c>
      <c r="AQ198" s="593">
        <v>0</v>
      </c>
      <c r="AR198" s="593">
        <v>0</v>
      </c>
      <c r="AS198" s="593">
        <v>0</v>
      </c>
      <c r="AT198" s="570">
        <f t="shared" si="193"/>
        <v>6.25E-2</v>
      </c>
      <c r="AU198" s="571">
        <v>116</v>
      </c>
      <c r="AV198" s="625">
        <f t="shared" si="177"/>
        <v>0.25</v>
      </c>
      <c r="AW198" s="1003">
        <v>116</v>
      </c>
      <c r="AX198" s="604">
        <f t="shared" si="178"/>
        <v>29</v>
      </c>
      <c r="AY198" s="604">
        <f t="shared" si="179"/>
        <v>100</v>
      </c>
      <c r="AZ198" s="604">
        <f t="shared" si="194"/>
        <v>100</v>
      </c>
      <c r="BA198" s="592">
        <f t="shared" si="195"/>
        <v>6.25E-2</v>
      </c>
      <c r="BB198" s="592">
        <f t="shared" si="196"/>
        <v>100</v>
      </c>
      <c r="BC198" s="591">
        <v>61257000000</v>
      </c>
      <c r="BD198" s="591">
        <v>61257000</v>
      </c>
      <c r="BE198" s="591">
        <v>0</v>
      </c>
      <c r="BF198" s="591">
        <v>0</v>
      </c>
      <c r="BG198" s="591">
        <v>0</v>
      </c>
      <c r="BH198" s="591">
        <v>0</v>
      </c>
      <c r="BI198" s="591">
        <v>0</v>
      </c>
      <c r="BJ198" s="591">
        <v>0</v>
      </c>
      <c r="BK198" s="700">
        <v>77220388147</v>
      </c>
      <c r="BL198" s="589">
        <v>77220388147</v>
      </c>
      <c r="BM198" s="589">
        <v>0</v>
      </c>
      <c r="BN198" s="589">
        <v>0</v>
      </c>
      <c r="BO198" s="589">
        <v>0</v>
      </c>
      <c r="BP198" s="589">
        <v>0</v>
      </c>
      <c r="BQ198" s="589">
        <v>0</v>
      </c>
      <c r="BR198" s="589">
        <v>0</v>
      </c>
      <c r="BS198" s="589">
        <v>0</v>
      </c>
      <c r="BT198" s="589">
        <v>0</v>
      </c>
      <c r="BU198" s="589">
        <v>0</v>
      </c>
      <c r="BV198" s="588">
        <f t="shared" si="197"/>
        <v>6.25E-2</v>
      </c>
      <c r="BW198" s="588">
        <v>116</v>
      </c>
      <c r="BX198" s="623">
        <f t="shared" si="180"/>
        <v>0.25</v>
      </c>
      <c r="BY198" s="607">
        <v>50</v>
      </c>
      <c r="BZ198" s="629">
        <v>67</v>
      </c>
      <c r="CA198" s="1017">
        <v>116</v>
      </c>
      <c r="CB198" s="557">
        <f t="shared" si="181"/>
        <v>29</v>
      </c>
      <c r="CC198" s="557">
        <f t="shared" si="182"/>
        <v>100</v>
      </c>
      <c r="CD198" s="622">
        <f t="shared" si="198"/>
        <v>100</v>
      </c>
      <c r="CE198" s="621">
        <f t="shared" si="199"/>
        <v>6.25E-2</v>
      </c>
      <c r="CF198" s="605">
        <f t="shared" si="200"/>
        <v>100</v>
      </c>
      <c r="CG198" s="621">
        <f t="shared" si="201"/>
        <v>6.25E-2</v>
      </c>
      <c r="CH198" s="553">
        <f t="shared" si="202"/>
        <v>6.25E-2</v>
      </c>
      <c r="CI198" s="552">
        <v>116</v>
      </c>
      <c r="CJ198" s="551">
        <f t="shared" si="183"/>
        <v>0.25</v>
      </c>
      <c r="CK198" s="874">
        <v>116</v>
      </c>
      <c r="CL198" s="533">
        <f t="shared" si="184"/>
        <v>0</v>
      </c>
      <c r="CM198" s="619">
        <f t="shared" si="185"/>
        <v>29</v>
      </c>
      <c r="CN198" s="619">
        <f t="shared" si="186"/>
        <v>100</v>
      </c>
      <c r="CO198" s="619">
        <f t="shared" si="203"/>
        <v>100</v>
      </c>
      <c r="CP198" s="619">
        <f t="shared" si="204"/>
        <v>6.25E-2</v>
      </c>
      <c r="CQ198" s="619">
        <f t="shared" si="205"/>
        <v>6.25E-2</v>
      </c>
      <c r="CR198" s="546">
        <v>64644000000</v>
      </c>
      <c r="CS198" s="546">
        <v>0</v>
      </c>
      <c r="CT198" s="546">
        <v>64644000</v>
      </c>
      <c r="CU198" s="546">
        <v>0</v>
      </c>
      <c r="CV198" s="546">
        <v>0</v>
      </c>
      <c r="CW198" s="546">
        <v>0</v>
      </c>
      <c r="CX198" s="546">
        <v>0</v>
      </c>
      <c r="CY198" s="546">
        <v>0</v>
      </c>
      <c r="CZ198" s="618">
        <v>0</v>
      </c>
      <c r="DA198" s="618">
        <v>0</v>
      </c>
      <c r="DB198" s="618">
        <v>0</v>
      </c>
      <c r="DC198" s="618">
        <v>0</v>
      </c>
      <c r="DD198" s="618">
        <v>0</v>
      </c>
      <c r="DE198" s="618">
        <v>0</v>
      </c>
      <c r="DF198" s="618">
        <v>0</v>
      </c>
      <c r="DG198" s="618">
        <v>0</v>
      </c>
      <c r="DH198" s="618">
        <v>0</v>
      </c>
      <c r="DI198" s="618">
        <v>0</v>
      </c>
      <c r="DJ198" s="618">
        <v>0</v>
      </c>
      <c r="DK198" s="1034">
        <f t="shared" si="187"/>
        <v>116</v>
      </c>
      <c r="DL198" s="543">
        <f t="shared" si="206"/>
        <v>0.25</v>
      </c>
      <c r="DM198" s="542">
        <f t="shared" si="207"/>
        <v>100</v>
      </c>
      <c r="DN198" s="594">
        <f t="shared" si="208"/>
        <v>100</v>
      </c>
      <c r="DO198" s="540">
        <f t="shared" si="209"/>
        <v>0.25</v>
      </c>
      <c r="DP198" s="597">
        <f>+IF(M198="M",DO198,0)</f>
        <v>0.25</v>
      </c>
      <c r="DQ198" s="538">
        <f t="shared" si="210"/>
        <v>0.25</v>
      </c>
      <c r="DR198" s="617">
        <f t="shared" si="211"/>
        <v>1</v>
      </c>
      <c r="DS198" s="616">
        <f t="shared" si="212"/>
        <v>0</v>
      </c>
      <c r="DT198" s="259">
        <v>203</v>
      </c>
      <c r="DU198" s="260" t="s">
        <v>278</v>
      </c>
      <c r="DV198" s="259"/>
      <c r="DW198" s="260" t="s">
        <v>242</v>
      </c>
      <c r="DX198" s="259"/>
      <c r="DY198" s="259"/>
      <c r="DZ198" s="259"/>
      <c r="EA198" s="987"/>
      <c r="EB198" s="1041" t="s">
        <v>2535</v>
      </c>
      <c r="EC198" s="802">
        <v>62926000000</v>
      </c>
      <c r="EE198" s="1047"/>
    </row>
    <row r="199" spans="4:135" s="534" customFormat="1" ht="114.75" hidden="1" x14ac:dyDescent="0.3">
      <c r="D199" s="783">
        <v>196</v>
      </c>
      <c r="E199" s="799">
        <v>240</v>
      </c>
      <c r="F199" s="787" t="s">
        <v>200</v>
      </c>
      <c r="G199" s="739" t="s">
        <v>10</v>
      </c>
      <c r="H199" s="788" t="s">
        <v>2224</v>
      </c>
      <c r="I199" s="712" t="s">
        <v>699</v>
      </c>
      <c r="J199" s="573" t="s">
        <v>709</v>
      </c>
      <c r="K199" s="573" t="s">
        <v>710</v>
      </c>
      <c r="L199" s="702" t="s">
        <v>1593</v>
      </c>
      <c r="M199" s="571" t="s">
        <v>2017</v>
      </c>
      <c r="N199" s="571">
        <v>0</v>
      </c>
      <c r="O199" s="570">
        <f>+N199+P199</f>
        <v>116</v>
      </c>
      <c r="P199" s="569">
        <v>116</v>
      </c>
      <c r="Q199" s="628">
        <v>0.25</v>
      </c>
      <c r="R199" s="580">
        <f t="shared" si="190"/>
        <v>1.0775862068965518E-2</v>
      </c>
      <c r="S199" s="627">
        <v>5</v>
      </c>
      <c r="T199" s="625">
        <f t="shared" si="174"/>
        <v>4.3103448275862072E-2</v>
      </c>
      <c r="U199" s="992">
        <v>5</v>
      </c>
      <c r="V199" s="626">
        <f t="shared" si="175"/>
        <v>5</v>
      </c>
      <c r="W199" s="594">
        <f t="shared" si="176"/>
        <v>100</v>
      </c>
      <c r="X199" s="594">
        <f t="shared" si="191"/>
        <v>100</v>
      </c>
      <c r="Y199" s="594">
        <f t="shared" si="155"/>
        <v>1.0775862068965518E-2</v>
      </c>
      <c r="Z199" s="594">
        <f t="shared" si="192"/>
        <v>100</v>
      </c>
      <c r="AA199" s="593">
        <v>0</v>
      </c>
      <c r="AB199" s="593">
        <v>0</v>
      </c>
      <c r="AC199" s="593">
        <v>0</v>
      </c>
      <c r="AD199" s="593">
        <v>0</v>
      </c>
      <c r="AE199" s="593">
        <v>0</v>
      </c>
      <c r="AF199" s="593">
        <v>0</v>
      </c>
      <c r="AG199" s="593">
        <v>0</v>
      </c>
      <c r="AH199" s="593">
        <v>0</v>
      </c>
      <c r="AI199" s="593">
        <v>1510185000</v>
      </c>
      <c r="AJ199" s="593">
        <v>1510185000</v>
      </c>
      <c r="AK199" s="593">
        <v>0</v>
      </c>
      <c r="AL199" s="593">
        <v>0</v>
      </c>
      <c r="AM199" s="593">
        <v>0</v>
      </c>
      <c r="AN199" s="593">
        <v>0</v>
      </c>
      <c r="AO199" s="593">
        <v>0</v>
      </c>
      <c r="AP199" s="593">
        <v>0</v>
      </c>
      <c r="AQ199" s="593">
        <v>0</v>
      </c>
      <c r="AR199" s="593">
        <v>0</v>
      </c>
      <c r="AS199" s="593">
        <v>0</v>
      </c>
      <c r="AT199" s="570">
        <f t="shared" si="193"/>
        <v>3.2327586206896554E-2</v>
      </c>
      <c r="AU199" s="571">
        <v>15</v>
      </c>
      <c r="AV199" s="625">
        <f t="shared" si="177"/>
        <v>0.12931034482758622</v>
      </c>
      <c r="AW199" s="1003">
        <v>109</v>
      </c>
      <c r="AX199" s="604">
        <f t="shared" si="178"/>
        <v>109</v>
      </c>
      <c r="AY199" s="604">
        <f t="shared" si="179"/>
        <v>726.66666666666663</v>
      </c>
      <c r="AZ199" s="604">
        <f t="shared" si="194"/>
        <v>100</v>
      </c>
      <c r="BA199" s="592">
        <f t="shared" si="195"/>
        <v>3.2327586206896554E-2</v>
      </c>
      <c r="BB199" s="592">
        <f t="shared" si="196"/>
        <v>100</v>
      </c>
      <c r="BC199" s="591">
        <v>416000000</v>
      </c>
      <c r="BD199" s="591">
        <v>0</v>
      </c>
      <c r="BE199" s="591">
        <v>416000000</v>
      </c>
      <c r="BF199" s="591">
        <v>0</v>
      </c>
      <c r="BG199" s="591">
        <v>0</v>
      </c>
      <c r="BH199" s="591">
        <v>0</v>
      </c>
      <c r="BI199" s="591">
        <v>0</v>
      </c>
      <c r="BJ199" s="591">
        <v>0</v>
      </c>
      <c r="BK199" s="700">
        <v>674651332</v>
      </c>
      <c r="BL199" s="589">
        <v>674651332</v>
      </c>
      <c r="BM199" s="589">
        <v>0</v>
      </c>
      <c r="BN199" s="589">
        <v>0</v>
      </c>
      <c r="BO199" s="589">
        <v>0</v>
      </c>
      <c r="BP199" s="589">
        <v>0</v>
      </c>
      <c r="BQ199" s="589">
        <v>0</v>
      </c>
      <c r="BR199" s="589">
        <v>0</v>
      </c>
      <c r="BS199" s="589">
        <v>0</v>
      </c>
      <c r="BT199" s="589">
        <v>0</v>
      </c>
      <c r="BU199" s="589">
        <v>0</v>
      </c>
      <c r="BV199" s="588">
        <f t="shared" si="197"/>
        <v>9.6982758620689655E-2</v>
      </c>
      <c r="BW199" s="588">
        <v>45</v>
      </c>
      <c r="BX199" s="623">
        <f t="shared" si="180"/>
        <v>0.38793103448275862</v>
      </c>
      <c r="BY199" s="607">
        <v>104</v>
      </c>
      <c r="BZ199" s="629">
        <v>2</v>
      </c>
      <c r="CA199" s="1017">
        <v>116</v>
      </c>
      <c r="CB199" s="557">
        <f t="shared" si="181"/>
        <v>116</v>
      </c>
      <c r="CC199" s="557">
        <f t="shared" si="182"/>
        <v>257.77777777777777</v>
      </c>
      <c r="CD199" s="622">
        <f t="shared" si="198"/>
        <v>100</v>
      </c>
      <c r="CE199" s="621">
        <f t="shared" si="199"/>
        <v>9.6982758620689669E-2</v>
      </c>
      <c r="CF199" s="605">
        <f t="shared" si="200"/>
        <v>100</v>
      </c>
      <c r="CG199" s="621">
        <f t="shared" si="201"/>
        <v>0.25</v>
      </c>
      <c r="CH199" s="553">
        <f t="shared" si="202"/>
        <v>0.10991379310344827</v>
      </c>
      <c r="CI199" s="552">
        <v>51</v>
      </c>
      <c r="CJ199" s="551">
        <f t="shared" si="183"/>
        <v>0.43965517241379309</v>
      </c>
      <c r="CK199" s="874">
        <v>116</v>
      </c>
      <c r="CL199" s="533">
        <f t="shared" si="184"/>
        <v>-65</v>
      </c>
      <c r="CM199" s="619">
        <f t="shared" si="185"/>
        <v>116</v>
      </c>
      <c r="CN199" s="619">
        <f t="shared" si="186"/>
        <v>227.45098039215685</v>
      </c>
      <c r="CO199" s="549">
        <f t="shared" si="203"/>
        <v>100</v>
      </c>
      <c r="CP199" s="619">
        <f t="shared" si="204"/>
        <v>0.10991379310344827</v>
      </c>
      <c r="CQ199" s="619">
        <f t="shared" si="205"/>
        <v>0.24999999999999997</v>
      </c>
      <c r="CR199" s="546">
        <v>960000000</v>
      </c>
      <c r="CS199" s="546">
        <v>960000000</v>
      </c>
      <c r="CT199" s="546">
        <v>0</v>
      </c>
      <c r="CU199" s="546">
        <v>0</v>
      </c>
      <c r="CV199" s="546">
        <v>0</v>
      </c>
      <c r="CW199" s="546">
        <v>0</v>
      </c>
      <c r="CX199" s="546">
        <v>0</v>
      </c>
      <c r="CY199" s="546">
        <v>0</v>
      </c>
      <c r="CZ199" s="618">
        <v>0</v>
      </c>
      <c r="DA199" s="618">
        <v>0</v>
      </c>
      <c r="DB199" s="618">
        <v>0</v>
      </c>
      <c r="DC199" s="618">
        <v>0</v>
      </c>
      <c r="DD199" s="618">
        <v>0</v>
      </c>
      <c r="DE199" s="618">
        <v>0</v>
      </c>
      <c r="DF199" s="618">
        <v>0</v>
      </c>
      <c r="DG199" s="618">
        <v>0</v>
      </c>
      <c r="DH199" s="618">
        <v>0</v>
      </c>
      <c r="DI199" s="618">
        <v>0</v>
      </c>
      <c r="DJ199" s="618">
        <v>0</v>
      </c>
      <c r="DK199" s="1034">
        <f t="shared" si="187"/>
        <v>346</v>
      </c>
      <c r="DL199" s="543">
        <f t="shared" si="206"/>
        <v>0.25</v>
      </c>
      <c r="DM199" s="542">
        <f t="shared" si="207"/>
        <v>298.27586206896552</v>
      </c>
      <c r="DN199" s="594">
        <f t="shared" si="208"/>
        <v>100</v>
      </c>
      <c r="DO199" s="540">
        <f t="shared" si="209"/>
        <v>0.25</v>
      </c>
      <c r="DP199" s="597">
        <f>+IF(((DN199*Q199)/100)&lt;Q199, ((DN199*Q199)/100),Q199)</f>
        <v>0.25</v>
      </c>
      <c r="DQ199" s="538">
        <f t="shared" si="210"/>
        <v>0.25</v>
      </c>
      <c r="DR199" s="617">
        <f t="shared" si="211"/>
        <v>1</v>
      </c>
      <c r="DS199" s="616">
        <f t="shared" si="212"/>
        <v>0</v>
      </c>
      <c r="DT199" s="259">
        <v>203</v>
      </c>
      <c r="DU199" s="260" t="s">
        <v>278</v>
      </c>
      <c r="DV199" s="259"/>
      <c r="DW199" s="260" t="s">
        <v>242</v>
      </c>
      <c r="DX199" s="259"/>
      <c r="DY199" s="259"/>
      <c r="DZ199" s="259"/>
      <c r="EA199" s="987"/>
      <c r="EB199" s="1041" t="s">
        <v>2536</v>
      </c>
      <c r="EC199" s="802">
        <v>960000000</v>
      </c>
      <c r="EE199" s="1047"/>
    </row>
    <row r="200" spans="4:135" s="534" customFormat="1" ht="63.75" hidden="1" x14ac:dyDescent="0.3">
      <c r="D200" s="783">
        <v>197</v>
      </c>
      <c r="E200" s="799">
        <v>241</v>
      </c>
      <c r="F200" s="787" t="s">
        <v>200</v>
      </c>
      <c r="G200" s="787" t="s">
        <v>239</v>
      </c>
      <c r="H200" s="788" t="s">
        <v>2224</v>
      </c>
      <c r="I200" s="712" t="s">
        <v>699</v>
      </c>
      <c r="J200" s="573" t="s">
        <v>711</v>
      </c>
      <c r="K200" s="573" t="s">
        <v>712</v>
      </c>
      <c r="L200" s="701" t="s">
        <v>2047</v>
      </c>
      <c r="M200" s="570" t="s">
        <v>2032</v>
      </c>
      <c r="N200" s="570">
        <v>90</v>
      </c>
      <c r="O200" s="570">
        <f>+P200</f>
        <v>90</v>
      </c>
      <c r="P200" s="569">
        <v>90</v>
      </c>
      <c r="Q200" s="628">
        <v>0.16500000000000001</v>
      </c>
      <c r="R200" s="580">
        <f t="shared" si="190"/>
        <v>4.1250000000000002E-2</v>
      </c>
      <c r="S200" s="708">
        <v>90</v>
      </c>
      <c r="T200" s="625">
        <f t="shared" si="174"/>
        <v>0.25</v>
      </c>
      <c r="U200" s="992">
        <v>100</v>
      </c>
      <c r="V200" s="626">
        <f t="shared" si="175"/>
        <v>25</v>
      </c>
      <c r="W200" s="594">
        <f t="shared" si="176"/>
        <v>111.11111111111111</v>
      </c>
      <c r="X200" s="594">
        <f t="shared" si="191"/>
        <v>100</v>
      </c>
      <c r="Y200" s="594">
        <f t="shared" si="155"/>
        <v>4.1250000000000002E-2</v>
      </c>
      <c r="Z200" s="594">
        <f t="shared" si="192"/>
        <v>100</v>
      </c>
      <c r="AA200" s="546">
        <v>0</v>
      </c>
      <c r="AB200" s="546">
        <v>0</v>
      </c>
      <c r="AC200" s="546">
        <v>0</v>
      </c>
      <c r="AD200" s="546">
        <v>0</v>
      </c>
      <c r="AE200" s="546">
        <v>0</v>
      </c>
      <c r="AF200" s="546">
        <v>0</v>
      </c>
      <c r="AG200" s="546">
        <v>0</v>
      </c>
      <c r="AH200" s="546">
        <v>0</v>
      </c>
      <c r="AI200" s="546">
        <v>620109000</v>
      </c>
      <c r="AJ200" s="546">
        <v>620109000</v>
      </c>
      <c r="AK200" s="546">
        <v>0</v>
      </c>
      <c r="AL200" s="546">
        <v>0</v>
      </c>
      <c r="AM200" s="546">
        <v>0</v>
      </c>
      <c r="AN200" s="546">
        <v>0</v>
      </c>
      <c r="AO200" s="546">
        <v>0</v>
      </c>
      <c r="AP200" s="546">
        <v>0</v>
      </c>
      <c r="AQ200" s="546">
        <v>0</v>
      </c>
      <c r="AR200" s="546">
        <v>1267334000</v>
      </c>
      <c r="AS200" s="546" t="s">
        <v>2226</v>
      </c>
      <c r="AT200" s="570">
        <f t="shared" si="193"/>
        <v>4.1250000000000002E-2</v>
      </c>
      <c r="AU200" s="570">
        <v>90</v>
      </c>
      <c r="AV200" s="625">
        <f t="shared" si="177"/>
        <v>0.25</v>
      </c>
      <c r="AW200" s="1003">
        <v>137</v>
      </c>
      <c r="AX200" s="604">
        <f t="shared" si="178"/>
        <v>34.25</v>
      </c>
      <c r="AY200" s="604">
        <f t="shared" si="179"/>
        <v>152.22222222222223</v>
      </c>
      <c r="AZ200" s="604">
        <f t="shared" si="194"/>
        <v>100</v>
      </c>
      <c r="BA200" s="592">
        <f t="shared" si="195"/>
        <v>4.1250000000000002E-2</v>
      </c>
      <c r="BB200" s="592">
        <f t="shared" si="196"/>
        <v>100</v>
      </c>
      <c r="BC200" s="591">
        <v>3030000000</v>
      </c>
      <c r="BD200" s="591">
        <v>0</v>
      </c>
      <c r="BE200" s="591">
        <v>630000000</v>
      </c>
      <c r="BF200" s="591">
        <v>0</v>
      </c>
      <c r="BG200" s="591">
        <v>0</v>
      </c>
      <c r="BH200" s="591">
        <v>0</v>
      </c>
      <c r="BI200" s="591">
        <v>0</v>
      </c>
      <c r="BJ200" s="591">
        <v>2400000000</v>
      </c>
      <c r="BK200" s="700">
        <v>1211769364</v>
      </c>
      <c r="BL200" s="589">
        <v>1211769364</v>
      </c>
      <c r="BM200" s="589">
        <v>0</v>
      </c>
      <c r="BN200" s="589">
        <v>0</v>
      </c>
      <c r="BO200" s="589">
        <v>0</v>
      </c>
      <c r="BP200" s="589">
        <v>0</v>
      </c>
      <c r="BQ200" s="589">
        <v>0</v>
      </c>
      <c r="BR200" s="589">
        <v>0</v>
      </c>
      <c r="BS200" s="589">
        <v>0</v>
      </c>
      <c r="BT200" s="589">
        <v>0</v>
      </c>
      <c r="BU200" s="589">
        <v>0</v>
      </c>
      <c r="BV200" s="588">
        <f t="shared" si="197"/>
        <v>4.1250000000000002E-2</v>
      </c>
      <c r="BW200" s="588">
        <v>90</v>
      </c>
      <c r="BX200" s="623">
        <f t="shared" si="180"/>
        <v>0.25</v>
      </c>
      <c r="BY200" s="607">
        <v>40</v>
      </c>
      <c r="BZ200" s="629">
        <v>76</v>
      </c>
      <c r="CA200" s="1017">
        <v>96</v>
      </c>
      <c r="CB200" s="557">
        <f t="shared" si="181"/>
        <v>24</v>
      </c>
      <c r="CC200" s="557">
        <f t="shared" si="182"/>
        <v>106.66666666666667</v>
      </c>
      <c r="CD200" s="622">
        <f t="shared" si="198"/>
        <v>100</v>
      </c>
      <c r="CE200" s="621">
        <f t="shared" si="199"/>
        <v>4.1250000000000002E-2</v>
      </c>
      <c r="CF200" s="605">
        <f t="shared" si="200"/>
        <v>100</v>
      </c>
      <c r="CG200" s="621">
        <f t="shared" si="201"/>
        <v>4.4000000000000004E-2</v>
      </c>
      <c r="CH200" s="553">
        <f t="shared" si="202"/>
        <v>4.1250000000000002E-2</v>
      </c>
      <c r="CI200" s="552">
        <v>90</v>
      </c>
      <c r="CJ200" s="551">
        <f t="shared" si="183"/>
        <v>0.25</v>
      </c>
      <c r="CK200" s="874">
        <v>44</v>
      </c>
      <c r="CL200" s="533">
        <f t="shared" si="184"/>
        <v>46</v>
      </c>
      <c r="CM200" s="619">
        <f t="shared" si="185"/>
        <v>11</v>
      </c>
      <c r="CN200" s="619">
        <f t="shared" si="186"/>
        <v>48.888888888888886</v>
      </c>
      <c r="CO200" s="619">
        <f t="shared" si="203"/>
        <v>48.888888888888886</v>
      </c>
      <c r="CP200" s="619">
        <f t="shared" si="204"/>
        <v>2.0166666666666666E-2</v>
      </c>
      <c r="CQ200" s="619">
        <f t="shared" si="205"/>
        <v>2.0166666666666666E-2</v>
      </c>
      <c r="CR200" s="546">
        <v>3030000000</v>
      </c>
      <c r="CS200" s="546">
        <v>630000000</v>
      </c>
      <c r="CT200" s="546">
        <v>0</v>
      </c>
      <c r="CU200" s="546">
        <v>0</v>
      </c>
      <c r="CV200" s="546">
        <v>0</v>
      </c>
      <c r="CW200" s="546">
        <v>0</v>
      </c>
      <c r="CX200" s="546">
        <v>0</v>
      </c>
      <c r="CY200" s="546">
        <v>2400000000</v>
      </c>
      <c r="CZ200" s="618">
        <v>0</v>
      </c>
      <c r="DA200" s="618">
        <v>0</v>
      </c>
      <c r="DB200" s="618">
        <v>0</v>
      </c>
      <c r="DC200" s="618">
        <v>0</v>
      </c>
      <c r="DD200" s="618">
        <v>0</v>
      </c>
      <c r="DE200" s="618">
        <v>0</v>
      </c>
      <c r="DF200" s="618">
        <v>0</v>
      </c>
      <c r="DG200" s="618">
        <v>0</v>
      </c>
      <c r="DH200" s="618">
        <v>0</v>
      </c>
      <c r="DI200" s="618">
        <v>0</v>
      </c>
      <c r="DJ200" s="618">
        <v>0</v>
      </c>
      <c r="DK200" s="1034">
        <f t="shared" si="187"/>
        <v>94.25</v>
      </c>
      <c r="DL200" s="543">
        <f t="shared" si="206"/>
        <v>0.16500000000000001</v>
      </c>
      <c r="DM200" s="542">
        <f t="shared" si="207"/>
        <v>104.72222222222223</v>
      </c>
      <c r="DN200" s="594">
        <f t="shared" si="208"/>
        <v>100</v>
      </c>
      <c r="DO200" s="540">
        <f t="shared" si="209"/>
        <v>0.16500000000000001</v>
      </c>
      <c r="DP200" s="597">
        <f>+IF(M200="M",DO200,0)</f>
        <v>0.16500000000000001</v>
      </c>
      <c r="DQ200" s="538">
        <f t="shared" si="210"/>
        <v>0.16500000000000001</v>
      </c>
      <c r="DR200" s="617">
        <f t="shared" si="211"/>
        <v>1</v>
      </c>
      <c r="DS200" s="616">
        <f t="shared" si="212"/>
        <v>0</v>
      </c>
      <c r="DT200" s="259">
        <v>201</v>
      </c>
      <c r="DU200" s="260" t="s">
        <v>280</v>
      </c>
      <c r="DV200" s="259"/>
      <c r="DW200" s="260" t="s">
        <v>242</v>
      </c>
      <c r="DX200" s="259"/>
      <c r="DY200" s="259"/>
      <c r="DZ200" s="259"/>
      <c r="EA200" s="987"/>
      <c r="EB200" s="1041" t="s">
        <v>2537</v>
      </c>
      <c r="EC200" s="802">
        <v>3030000000</v>
      </c>
      <c r="EE200" s="1047"/>
    </row>
    <row r="201" spans="4:135" s="534" customFormat="1" ht="76.5" hidden="1" x14ac:dyDescent="0.3">
      <c r="D201" s="783">
        <v>198</v>
      </c>
      <c r="E201" s="799">
        <v>242</v>
      </c>
      <c r="F201" s="787" t="s">
        <v>200</v>
      </c>
      <c r="G201" s="787" t="s">
        <v>3</v>
      </c>
      <c r="H201" s="788" t="s">
        <v>2224</v>
      </c>
      <c r="I201" s="712" t="s">
        <v>699</v>
      </c>
      <c r="J201" s="573" t="s">
        <v>713</v>
      </c>
      <c r="K201" s="573" t="s">
        <v>714</v>
      </c>
      <c r="L201" s="702" t="s">
        <v>1593</v>
      </c>
      <c r="M201" s="570" t="s">
        <v>2017</v>
      </c>
      <c r="N201" s="570">
        <v>0</v>
      </c>
      <c r="O201" s="570">
        <f>+N201+P201</f>
        <v>116</v>
      </c>
      <c r="P201" s="569">
        <v>116</v>
      </c>
      <c r="Q201" s="628">
        <v>0.16500000000000001</v>
      </c>
      <c r="R201" s="580">
        <f t="shared" si="190"/>
        <v>4.1250000000000002E-2</v>
      </c>
      <c r="S201" s="708">
        <v>29</v>
      </c>
      <c r="T201" s="625">
        <f t="shared" si="174"/>
        <v>0.25</v>
      </c>
      <c r="U201" s="992">
        <v>29</v>
      </c>
      <c r="V201" s="626">
        <f t="shared" si="175"/>
        <v>29</v>
      </c>
      <c r="W201" s="594">
        <f t="shared" si="176"/>
        <v>100</v>
      </c>
      <c r="X201" s="594">
        <f t="shared" si="191"/>
        <v>100</v>
      </c>
      <c r="Y201" s="594">
        <f t="shared" si="155"/>
        <v>4.1250000000000002E-2</v>
      </c>
      <c r="Z201" s="594">
        <f t="shared" si="192"/>
        <v>100</v>
      </c>
      <c r="AA201" s="546">
        <v>74000000</v>
      </c>
      <c r="AB201" s="546">
        <v>74000000</v>
      </c>
      <c r="AC201" s="546">
        <v>0</v>
      </c>
      <c r="AD201" s="546">
        <v>0</v>
      </c>
      <c r="AE201" s="546">
        <v>0</v>
      </c>
      <c r="AF201" s="546">
        <v>0</v>
      </c>
      <c r="AG201" s="546">
        <v>0</v>
      </c>
      <c r="AH201" s="546">
        <v>0</v>
      </c>
      <c r="AI201" s="546">
        <v>74000000</v>
      </c>
      <c r="AJ201" s="546">
        <v>74000000</v>
      </c>
      <c r="AK201" s="546">
        <v>0</v>
      </c>
      <c r="AL201" s="546">
        <v>0</v>
      </c>
      <c r="AM201" s="546">
        <v>0</v>
      </c>
      <c r="AN201" s="546">
        <v>0</v>
      </c>
      <c r="AO201" s="546">
        <v>0</v>
      </c>
      <c r="AP201" s="546">
        <v>0</v>
      </c>
      <c r="AQ201" s="546">
        <v>0</v>
      </c>
      <c r="AR201" s="546">
        <v>0</v>
      </c>
      <c r="AS201" s="546">
        <v>0</v>
      </c>
      <c r="AT201" s="570">
        <f t="shared" si="193"/>
        <v>4.1250000000000002E-2</v>
      </c>
      <c r="AU201" s="570">
        <v>29</v>
      </c>
      <c r="AV201" s="625">
        <f t="shared" si="177"/>
        <v>0.25</v>
      </c>
      <c r="AW201" s="1003">
        <v>48</v>
      </c>
      <c r="AX201" s="604">
        <f t="shared" si="178"/>
        <v>48</v>
      </c>
      <c r="AY201" s="604">
        <f t="shared" si="179"/>
        <v>165.51724137931035</v>
      </c>
      <c r="AZ201" s="604">
        <f t="shared" si="194"/>
        <v>100</v>
      </c>
      <c r="BA201" s="592">
        <f t="shared" si="195"/>
        <v>4.1250000000000002E-2</v>
      </c>
      <c r="BB201" s="592">
        <f t="shared" si="196"/>
        <v>100</v>
      </c>
      <c r="BC201" s="591">
        <v>58000000</v>
      </c>
      <c r="BD201" s="591">
        <v>0</v>
      </c>
      <c r="BE201" s="591">
        <v>58000000</v>
      </c>
      <c r="BF201" s="591">
        <v>0</v>
      </c>
      <c r="BG201" s="591">
        <v>0</v>
      </c>
      <c r="BH201" s="591">
        <v>0</v>
      </c>
      <c r="BI201" s="591">
        <v>0</v>
      </c>
      <c r="BJ201" s="591">
        <v>0</v>
      </c>
      <c r="BK201" s="700">
        <v>3687784152</v>
      </c>
      <c r="BL201" s="589">
        <v>3687784152</v>
      </c>
      <c r="BM201" s="589">
        <v>0</v>
      </c>
      <c r="BN201" s="589">
        <v>0</v>
      </c>
      <c r="BO201" s="589">
        <v>0</v>
      </c>
      <c r="BP201" s="589">
        <v>0</v>
      </c>
      <c r="BQ201" s="589">
        <v>0</v>
      </c>
      <c r="BR201" s="589">
        <v>0</v>
      </c>
      <c r="BS201" s="589">
        <v>0</v>
      </c>
      <c r="BT201" s="589">
        <v>0</v>
      </c>
      <c r="BU201" s="589">
        <v>0</v>
      </c>
      <c r="BV201" s="588">
        <f t="shared" si="197"/>
        <v>4.1250000000000002E-2</v>
      </c>
      <c r="BW201" s="588">
        <v>29</v>
      </c>
      <c r="BX201" s="623">
        <f t="shared" si="180"/>
        <v>0.25</v>
      </c>
      <c r="BY201" s="607">
        <v>17</v>
      </c>
      <c r="BZ201" s="629">
        <v>18</v>
      </c>
      <c r="CA201" s="1017">
        <v>48</v>
      </c>
      <c r="CB201" s="557">
        <f t="shared" si="181"/>
        <v>48</v>
      </c>
      <c r="CC201" s="557">
        <f t="shared" si="182"/>
        <v>165.51724137931035</v>
      </c>
      <c r="CD201" s="622">
        <f t="shared" si="198"/>
        <v>100</v>
      </c>
      <c r="CE201" s="621">
        <f t="shared" si="199"/>
        <v>4.1250000000000002E-2</v>
      </c>
      <c r="CF201" s="605">
        <f t="shared" si="200"/>
        <v>100</v>
      </c>
      <c r="CG201" s="621">
        <f t="shared" si="201"/>
        <v>6.827586206896552E-2</v>
      </c>
      <c r="CH201" s="553">
        <f t="shared" si="202"/>
        <v>4.1250000000000002E-2</v>
      </c>
      <c r="CI201" s="552">
        <v>29</v>
      </c>
      <c r="CJ201" s="551">
        <f t="shared" si="183"/>
        <v>0.25</v>
      </c>
      <c r="CK201" s="874">
        <v>14</v>
      </c>
      <c r="CL201" s="533">
        <f t="shared" si="184"/>
        <v>15</v>
      </c>
      <c r="CM201" s="619">
        <f t="shared" si="185"/>
        <v>14</v>
      </c>
      <c r="CN201" s="619">
        <f t="shared" si="186"/>
        <v>48.275862068965516</v>
      </c>
      <c r="CO201" s="549">
        <f t="shared" si="203"/>
        <v>48.275862068965516</v>
      </c>
      <c r="CP201" s="619">
        <f t="shared" si="204"/>
        <v>1.9913793103448277E-2</v>
      </c>
      <c r="CQ201" s="619">
        <f t="shared" si="205"/>
        <v>1.9913793103448277E-2</v>
      </c>
      <c r="CR201" s="546">
        <v>58000000</v>
      </c>
      <c r="CS201" s="546">
        <v>58000000</v>
      </c>
      <c r="CT201" s="546">
        <v>0</v>
      </c>
      <c r="CU201" s="546">
        <v>0</v>
      </c>
      <c r="CV201" s="546">
        <v>0</v>
      </c>
      <c r="CW201" s="546">
        <v>0</v>
      </c>
      <c r="CX201" s="546">
        <v>0</v>
      </c>
      <c r="CY201" s="546">
        <v>0</v>
      </c>
      <c r="CZ201" s="618">
        <v>0</v>
      </c>
      <c r="DA201" s="618">
        <v>0</v>
      </c>
      <c r="DB201" s="618">
        <v>0</v>
      </c>
      <c r="DC201" s="618">
        <v>0</v>
      </c>
      <c r="DD201" s="618">
        <v>0</v>
      </c>
      <c r="DE201" s="618">
        <v>0</v>
      </c>
      <c r="DF201" s="618">
        <v>0</v>
      </c>
      <c r="DG201" s="618">
        <v>0</v>
      </c>
      <c r="DH201" s="618">
        <v>0</v>
      </c>
      <c r="DI201" s="618">
        <v>0</v>
      </c>
      <c r="DJ201" s="618">
        <v>0</v>
      </c>
      <c r="DK201" s="1034">
        <f t="shared" si="187"/>
        <v>139</v>
      </c>
      <c r="DL201" s="543">
        <f t="shared" si="206"/>
        <v>0.16500000000000001</v>
      </c>
      <c r="DM201" s="542">
        <f t="shared" si="207"/>
        <v>119.82758620689656</v>
      </c>
      <c r="DN201" s="594">
        <f t="shared" si="208"/>
        <v>100</v>
      </c>
      <c r="DO201" s="540">
        <f t="shared" si="209"/>
        <v>0.16500000000000001</v>
      </c>
      <c r="DP201" s="597">
        <f>+IF(((DN201*Q201)/100)&lt;Q201, ((DN201*Q201)/100),Q201)</f>
        <v>0.16500000000000001</v>
      </c>
      <c r="DQ201" s="538">
        <f t="shared" si="210"/>
        <v>0.16500000000000001</v>
      </c>
      <c r="DR201" s="617">
        <f t="shared" si="211"/>
        <v>1</v>
      </c>
      <c r="DS201" s="616">
        <f t="shared" si="212"/>
        <v>0</v>
      </c>
      <c r="DT201" s="259">
        <v>201</v>
      </c>
      <c r="DU201" s="260" t="s">
        <v>280</v>
      </c>
      <c r="DV201" s="259"/>
      <c r="DW201" s="260" t="s">
        <v>242</v>
      </c>
      <c r="DX201" s="259"/>
      <c r="DY201" s="259"/>
      <c r="DZ201" s="259"/>
      <c r="EA201" s="987"/>
      <c r="EB201" s="1041" t="s">
        <v>2538</v>
      </c>
      <c r="EC201" s="802">
        <v>58000000</v>
      </c>
      <c r="EE201" s="1047"/>
    </row>
    <row r="202" spans="4:135" s="534" customFormat="1" ht="84" hidden="1" x14ac:dyDescent="0.3">
      <c r="D202" s="783">
        <v>199</v>
      </c>
      <c r="E202" s="799">
        <v>243</v>
      </c>
      <c r="F202" s="787" t="s">
        <v>200</v>
      </c>
      <c r="G202" s="787" t="s">
        <v>3</v>
      </c>
      <c r="H202" s="788" t="s">
        <v>2224</v>
      </c>
      <c r="I202" s="712" t="s">
        <v>699</v>
      </c>
      <c r="J202" s="573" t="s">
        <v>715</v>
      </c>
      <c r="K202" s="573" t="s">
        <v>716</v>
      </c>
      <c r="L202" s="702" t="s">
        <v>2225</v>
      </c>
      <c r="M202" s="570" t="s">
        <v>2017</v>
      </c>
      <c r="N202" s="570">
        <v>6</v>
      </c>
      <c r="O202" s="570">
        <f>+N202+P202</f>
        <v>46</v>
      </c>
      <c r="P202" s="569">
        <v>40</v>
      </c>
      <c r="Q202" s="628">
        <v>0.16500000000000001</v>
      </c>
      <c r="R202" s="580">
        <f t="shared" si="190"/>
        <v>0</v>
      </c>
      <c r="S202" s="708">
        <v>0</v>
      </c>
      <c r="T202" s="625">
        <f t="shared" si="174"/>
        <v>0</v>
      </c>
      <c r="U202" s="992">
        <v>0</v>
      </c>
      <c r="V202" s="626">
        <f t="shared" si="175"/>
        <v>0</v>
      </c>
      <c r="W202" s="594">
        <f t="shared" si="176"/>
        <v>0</v>
      </c>
      <c r="X202" s="594">
        <f t="shared" si="191"/>
        <v>0</v>
      </c>
      <c r="Y202" s="594">
        <f t="shared" si="155"/>
        <v>0</v>
      </c>
      <c r="Z202" s="594">
        <f t="shared" si="192"/>
        <v>0</v>
      </c>
      <c r="AA202" s="546">
        <v>0</v>
      </c>
      <c r="AB202" s="546">
        <v>0</v>
      </c>
      <c r="AC202" s="546">
        <v>0</v>
      </c>
      <c r="AD202" s="546">
        <v>0</v>
      </c>
      <c r="AE202" s="546">
        <v>0</v>
      </c>
      <c r="AF202" s="546">
        <v>0</v>
      </c>
      <c r="AG202" s="546">
        <v>0</v>
      </c>
      <c r="AH202" s="546">
        <v>0</v>
      </c>
      <c r="AI202" s="546">
        <v>0</v>
      </c>
      <c r="AJ202" s="546">
        <v>0</v>
      </c>
      <c r="AK202" s="546">
        <v>0</v>
      </c>
      <c r="AL202" s="546">
        <v>0</v>
      </c>
      <c r="AM202" s="546">
        <v>0</v>
      </c>
      <c r="AN202" s="546">
        <v>0</v>
      </c>
      <c r="AO202" s="546">
        <v>0</v>
      </c>
      <c r="AP202" s="546">
        <v>0</v>
      </c>
      <c r="AQ202" s="546">
        <v>0</v>
      </c>
      <c r="AR202" s="546">
        <v>0</v>
      </c>
      <c r="AS202" s="546">
        <v>0</v>
      </c>
      <c r="AT202" s="570">
        <f t="shared" si="193"/>
        <v>5.3625000000000006E-2</v>
      </c>
      <c r="AU202" s="570">
        <v>13</v>
      </c>
      <c r="AV202" s="625">
        <f t="shared" si="177"/>
        <v>0.32500000000000001</v>
      </c>
      <c r="AW202" s="1003">
        <v>49</v>
      </c>
      <c r="AX202" s="604">
        <f t="shared" si="178"/>
        <v>49</v>
      </c>
      <c r="AY202" s="604">
        <f t="shared" si="179"/>
        <v>376.92307692307691</v>
      </c>
      <c r="AZ202" s="604">
        <f t="shared" si="194"/>
        <v>100</v>
      </c>
      <c r="BA202" s="592">
        <f t="shared" si="195"/>
        <v>5.3625000000000006E-2</v>
      </c>
      <c r="BB202" s="592">
        <f t="shared" si="196"/>
        <v>100</v>
      </c>
      <c r="BC202" s="591">
        <v>533000000</v>
      </c>
      <c r="BD202" s="591">
        <v>0</v>
      </c>
      <c r="BE202" s="591">
        <v>533000000</v>
      </c>
      <c r="BF202" s="591">
        <v>0</v>
      </c>
      <c r="BG202" s="591">
        <v>0</v>
      </c>
      <c r="BH202" s="591">
        <v>0</v>
      </c>
      <c r="BI202" s="591">
        <v>0</v>
      </c>
      <c r="BJ202" s="591">
        <v>0</v>
      </c>
      <c r="BK202" s="700">
        <v>1771200000</v>
      </c>
      <c r="BL202" s="589">
        <v>548000000</v>
      </c>
      <c r="BM202" s="589">
        <v>0</v>
      </c>
      <c r="BN202" s="589">
        <v>0</v>
      </c>
      <c r="BO202" s="589">
        <v>0</v>
      </c>
      <c r="BP202" s="589">
        <v>0</v>
      </c>
      <c r="BQ202" s="589">
        <v>1223200000</v>
      </c>
      <c r="BR202" s="589">
        <v>0</v>
      </c>
      <c r="BS202" s="589">
        <v>0</v>
      </c>
      <c r="BT202" s="589">
        <v>0</v>
      </c>
      <c r="BU202" s="589">
        <v>0</v>
      </c>
      <c r="BV202" s="588">
        <f t="shared" si="197"/>
        <v>5.3625000000000006E-2</v>
      </c>
      <c r="BW202" s="588">
        <v>13</v>
      </c>
      <c r="BX202" s="623">
        <f t="shared" si="180"/>
        <v>0.32500000000000001</v>
      </c>
      <c r="BY202" s="607">
        <v>0</v>
      </c>
      <c r="BZ202" s="629">
        <v>0</v>
      </c>
      <c r="CA202" s="1017">
        <v>31</v>
      </c>
      <c r="CB202" s="557">
        <f t="shared" si="181"/>
        <v>31</v>
      </c>
      <c r="CC202" s="557">
        <f t="shared" si="182"/>
        <v>238.46153846153845</v>
      </c>
      <c r="CD202" s="622">
        <f t="shared" si="198"/>
        <v>100</v>
      </c>
      <c r="CE202" s="621">
        <f t="shared" si="199"/>
        <v>5.3625000000000006E-2</v>
      </c>
      <c r="CF202" s="605">
        <f t="shared" si="200"/>
        <v>100</v>
      </c>
      <c r="CG202" s="621">
        <f t="shared" si="201"/>
        <v>0.12787500000000002</v>
      </c>
      <c r="CH202" s="553">
        <f t="shared" si="202"/>
        <v>5.7749999999999996E-2</v>
      </c>
      <c r="CI202" s="552">
        <v>14</v>
      </c>
      <c r="CJ202" s="551">
        <f t="shared" si="183"/>
        <v>0.35</v>
      </c>
      <c r="CK202" s="874">
        <v>25</v>
      </c>
      <c r="CL202" s="533">
        <f t="shared" si="184"/>
        <v>-11</v>
      </c>
      <c r="CM202" s="619">
        <f t="shared" si="185"/>
        <v>25</v>
      </c>
      <c r="CN202" s="619">
        <f t="shared" si="186"/>
        <v>178.57142857142858</v>
      </c>
      <c r="CO202" s="549">
        <f t="shared" si="203"/>
        <v>100</v>
      </c>
      <c r="CP202" s="619">
        <f t="shared" si="204"/>
        <v>5.7749999999999996E-2</v>
      </c>
      <c r="CQ202" s="619">
        <f t="shared" si="205"/>
        <v>0.10312499999999999</v>
      </c>
      <c r="CR202" s="546">
        <v>533000000</v>
      </c>
      <c r="CS202" s="546">
        <v>533000000</v>
      </c>
      <c r="CT202" s="546">
        <v>0</v>
      </c>
      <c r="CU202" s="546">
        <v>0</v>
      </c>
      <c r="CV202" s="546">
        <v>0</v>
      </c>
      <c r="CW202" s="546">
        <v>0</v>
      </c>
      <c r="CX202" s="546">
        <v>0</v>
      </c>
      <c r="CY202" s="546">
        <v>0</v>
      </c>
      <c r="CZ202" s="618">
        <v>0</v>
      </c>
      <c r="DA202" s="618">
        <v>0</v>
      </c>
      <c r="DB202" s="618">
        <v>0</v>
      </c>
      <c r="DC202" s="618">
        <v>0</v>
      </c>
      <c r="DD202" s="618">
        <v>0</v>
      </c>
      <c r="DE202" s="618">
        <v>0</v>
      </c>
      <c r="DF202" s="618">
        <v>0</v>
      </c>
      <c r="DG202" s="618">
        <v>0</v>
      </c>
      <c r="DH202" s="618">
        <v>0</v>
      </c>
      <c r="DI202" s="618">
        <v>0</v>
      </c>
      <c r="DJ202" s="618">
        <v>0</v>
      </c>
      <c r="DK202" s="1034">
        <f t="shared" si="187"/>
        <v>105</v>
      </c>
      <c r="DL202" s="543">
        <f t="shared" si="206"/>
        <v>0.16500000000000001</v>
      </c>
      <c r="DM202" s="542">
        <f t="shared" si="207"/>
        <v>262.5</v>
      </c>
      <c r="DN202" s="594">
        <f t="shared" si="208"/>
        <v>100</v>
      </c>
      <c r="DO202" s="540">
        <f t="shared" si="209"/>
        <v>0.16500000000000001</v>
      </c>
      <c r="DP202" s="597">
        <f>+IF(((DN202*Q202)/100)&lt;Q202, ((DN202*Q202)/100),Q202)</f>
        <v>0.16500000000000001</v>
      </c>
      <c r="DQ202" s="538">
        <f t="shared" si="210"/>
        <v>0.16500000000000001</v>
      </c>
      <c r="DR202" s="617">
        <f t="shared" si="211"/>
        <v>1</v>
      </c>
      <c r="DS202" s="616">
        <f t="shared" si="212"/>
        <v>0</v>
      </c>
      <c r="DT202" s="259">
        <v>201</v>
      </c>
      <c r="DU202" s="260" t="s">
        <v>280</v>
      </c>
      <c r="DV202" s="259">
        <v>202</v>
      </c>
      <c r="DW202" s="260" t="s">
        <v>279</v>
      </c>
      <c r="DX202" s="259"/>
      <c r="DY202" s="259"/>
      <c r="DZ202" s="259"/>
      <c r="EA202" s="987"/>
      <c r="EB202" s="1041" t="s">
        <v>2539</v>
      </c>
      <c r="EC202" s="802">
        <v>533000000</v>
      </c>
      <c r="EE202" s="1047"/>
    </row>
    <row r="203" spans="4:135" s="534" customFormat="1" ht="51" hidden="1" x14ac:dyDescent="0.3">
      <c r="D203" s="783">
        <v>200</v>
      </c>
      <c r="E203" s="799">
        <v>244</v>
      </c>
      <c r="F203" s="787" t="s">
        <v>200</v>
      </c>
      <c r="G203" s="787" t="s">
        <v>3</v>
      </c>
      <c r="H203" s="788" t="s">
        <v>2224</v>
      </c>
      <c r="I203" s="712" t="s">
        <v>699</v>
      </c>
      <c r="J203" s="573" t="s">
        <v>717</v>
      </c>
      <c r="K203" s="573" t="s">
        <v>718</v>
      </c>
      <c r="L203" s="701" t="s">
        <v>1682</v>
      </c>
      <c r="M203" s="570" t="s">
        <v>2032</v>
      </c>
      <c r="N203" s="570">
        <v>341821</v>
      </c>
      <c r="O203" s="570">
        <f>+P203</f>
        <v>400000</v>
      </c>
      <c r="P203" s="569">
        <v>400000</v>
      </c>
      <c r="Q203" s="628">
        <v>8.8999999999999996E-2</v>
      </c>
      <c r="R203" s="580">
        <f t="shared" si="190"/>
        <v>2.2249999999999999E-2</v>
      </c>
      <c r="S203" s="708">
        <v>400000</v>
      </c>
      <c r="T203" s="625">
        <f t="shared" si="174"/>
        <v>0.25</v>
      </c>
      <c r="U203" s="992">
        <v>466223</v>
      </c>
      <c r="V203" s="626">
        <f t="shared" si="175"/>
        <v>116555.75</v>
      </c>
      <c r="W203" s="594">
        <f t="shared" si="176"/>
        <v>116.55575</v>
      </c>
      <c r="X203" s="594">
        <f t="shared" si="191"/>
        <v>100</v>
      </c>
      <c r="Y203" s="594">
        <f t="shared" si="155"/>
        <v>2.2250000000000002E-2</v>
      </c>
      <c r="Z203" s="594">
        <f t="shared" si="192"/>
        <v>100</v>
      </c>
      <c r="AA203" s="546">
        <v>27000000</v>
      </c>
      <c r="AB203" s="546">
        <v>27000000</v>
      </c>
      <c r="AC203" s="546">
        <v>0</v>
      </c>
      <c r="AD203" s="546">
        <v>0</v>
      </c>
      <c r="AE203" s="546">
        <v>0</v>
      </c>
      <c r="AF203" s="546">
        <v>0</v>
      </c>
      <c r="AG203" s="546">
        <v>0</v>
      </c>
      <c r="AH203" s="546">
        <v>0</v>
      </c>
      <c r="AI203" s="546">
        <v>30000000</v>
      </c>
      <c r="AJ203" s="546">
        <v>30000000</v>
      </c>
      <c r="AK203" s="546">
        <v>0</v>
      </c>
      <c r="AL203" s="546">
        <v>0</v>
      </c>
      <c r="AM203" s="546">
        <v>0</v>
      </c>
      <c r="AN203" s="546">
        <v>0</v>
      </c>
      <c r="AO203" s="546">
        <v>0</v>
      </c>
      <c r="AP203" s="546">
        <v>0</v>
      </c>
      <c r="AQ203" s="546">
        <v>0</v>
      </c>
      <c r="AR203" s="546">
        <v>0</v>
      </c>
      <c r="AS203" s="546">
        <v>0</v>
      </c>
      <c r="AT203" s="570">
        <f t="shared" si="193"/>
        <v>2.2249999999999999E-2</v>
      </c>
      <c r="AU203" s="570">
        <v>400000</v>
      </c>
      <c r="AV203" s="625">
        <f t="shared" si="177"/>
        <v>0.25</v>
      </c>
      <c r="AW203" s="1003">
        <v>382831</v>
      </c>
      <c r="AX203" s="604">
        <f t="shared" si="178"/>
        <v>95707.75</v>
      </c>
      <c r="AY203" s="604">
        <f t="shared" si="179"/>
        <v>95.707750000000004</v>
      </c>
      <c r="AZ203" s="604">
        <f t="shared" si="194"/>
        <v>95.707750000000004</v>
      </c>
      <c r="BA203" s="592">
        <f t="shared" si="195"/>
        <v>2.1294974375000001E-2</v>
      </c>
      <c r="BB203" s="592">
        <f t="shared" si="196"/>
        <v>95.707750000000004</v>
      </c>
      <c r="BC203" s="591">
        <v>25000000</v>
      </c>
      <c r="BD203" s="591">
        <v>0</v>
      </c>
      <c r="BE203" s="591">
        <v>25000000</v>
      </c>
      <c r="BF203" s="591">
        <v>0</v>
      </c>
      <c r="BG203" s="591">
        <v>0</v>
      </c>
      <c r="BH203" s="591">
        <v>0</v>
      </c>
      <c r="BI203" s="591">
        <v>0</v>
      </c>
      <c r="BJ203" s="591">
        <v>0</v>
      </c>
      <c r="BK203" s="700">
        <v>16500000</v>
      </c>
      <c r="BL203" s="589">
        <v>16500000</v>
      </c>
      <c r="BM203" s="589">
        <v>0</v>
      </c>
      <c r="BN203" s="589">
        <v>0</v>
      </c>
      <c r="BO203" s="589">
        <v>0</v>
      </c>
      <c r="BP203" s="589">
        <v>0</v>
      </c>
      <c r="BQ203" s="589">
        <v>0</v>
      </c>
      <c r="BR203" s="589">
        <v>0</v>
      </c>
      <c r="BS203" s="589">
        <v>0</v>
      </c>
      <c r="BT203" s="589">
        <v>0</v>
      </c>
      <c r="BU203" s="589">
        <v>0</v>
      </c>
      <c r="BV203" s="588">
        <f t="shared" si="197"/>
        <v>2.2249999999999999E-2</v>
      </c>
      <c r="BW203" s="588">
        <v>400000</v>
      </c>
      <c r="BX203" s="623">
        <f t="shared" si="180"/>
        <v>0.25</v>
      </c>
      <c r="BY203" s="607">
        <v>331785</v>
      </c>
      <c r="BZ203" s="629">
        <v>339122</v>
      </c>
      <c r="CA203" s="1017">
        <v>435370</v>
      </c>
      <c r="CB203" s="557">
        <f t="shared" si="181"/>
        <v>108842.5</v>
      </c>
      <c r="CC203" s="557">
        <f t="shared" si="182"/>
        <v>108.8425</v>
      </c>
      <c r="CD203" s="622">
        <f t="shared" si="198"/>
        <v>100</v>
      </c>
      <c r="CE203" s="621">
        <f t="shared" si="199"/>
        <v>2.2250000000000002E-2</v>
      </c>
      <c r="CF203" s="605">
        <f t="shared" si="200"/>
        <v>100</v>
      </c>
      <c r="CG203" s="621">
        <f t="shared" si="201"/>
        <v>2.4217456249999998E-2</v>
      </c>
      <c r="CH203" s="553">
        <f t="shared" si="202"/>
        <v>2.2249999999999999E-2</v>
      </c>
      <c r="CI203" s="552">
        <v>400000</v>
      </c>
      <c r="CJ203" s="551">
        <f t="shared" si="183"/>
        <v>0.25</v>
      </c>
      <c r="CK203" s="874">
        <v>13268</v>
      </c>
      <c r="CL203" s="533">
        <f t="shared" si="184"/>
        <v>386732</v>
      </c>
      <c r="CM203" s="619">
        <f t="shared" si="185"/>
        <v>3317</v>
      </c>
      <c r="CN203" s="619">
        <f t="shared" si="186"/>
        <v>3.3170000000000002</v>
      </c>
      <c r="CO203" s="619">
        <f t="shared" si="203"/>
        <v>3.3170000000000002</v>
      </c>
      <c r="CP203" s="619">
        <f t="shared" si="204"/>
        <v>7.3803249999999996E-4</v>
      </c>
      <c r="CQ203" s="619">
        <f t="shared" si="205"/>
        <v>7.3803249999999996E-4</v>
      </c>
      <c r="CR203" s="546">
        <v>25000000</v>
      </c>
      <c r="CS203" s="546">
        <v>25000000</v>
      </c>
      <c r="CT203" s="546">
        <v>0</v>
      </c>
      <c r="CU203" s="546">
        <v>0</v>
      </c>
      <c r="CV203" s="546">
        <v>0</v>
      </c>
      <c r="CW203" s="546">
        <v>0</v>
      </c>
      <c r="CX203" s="546">
        <v>0</v>
      </c>
      <c r="CY203" s="546">
        <v>0</v>
      </c>
      <c r="CZ203" s="618">
        <v>0</v>
      </c>
      <c r="DA203" s="618">
        <v>0</v>
      </c>
      <c r="DB203" s="618">
        <v>0</v>
      </c>
      <c r="DC203" s="618">
        <v>0</v>
      </c>
      <c r="DD203" s="618">
        <v>0</v>
      </c>
      <c r="DE203" s="618">
        <v>0</v>
      </c>
      <c r="DF203" s="618">
        <v>0</v>
      </c>
      <c r="DG203" s="618">
        <v>0</v>
      </c>
      <c r="DH203" s="618">
        <v>0</v>
      </c>
      <c r="DI203" s="618">
        <v>0</v>
      </c>
      <c r="DJ203" s="618">
        <v>0</v>
      </c>
      <c r="DK203" s="1034">
        <f t="shared" si="187"/>
        <v>324423</v>
      </c>
      <c r="DL203" s="543">
        <f t="shared" si="206"/>
        <v>8.8999999999999996E-2</v>
      </c>
      <c r="DM203" s="542">
        <f t="shared" si="207"/>
        <v>81.10575</v>
      </c>
      <c r="DN203" s="594">
        <f t="shared" si="208"/>
        <v>81.10575</v>
      </c>
      <c r="DO203" s="540">
        <f t="shared" si="209"/>
        <v>7.2184117499999992E-2</v>
      </c>
      <c r="DP203" s="597">
        <f>+IF(M203="M",DO203,0)</f>
        <v>7.2184117499999992E-2</v>
      </c>
      <c r="DQ203" s="538">
        <f t="shared" si="210"/>
        <v>7.2184117499999992E-2</v>
      </c>
      <c r="DR203" s="617">
        <f t="shared" si="211"/>
        <v>1</v>
      </c>
      <c r="DS203" s="616">
        <f t="shared" si="212"/>
        <v>0</v>
      </c>
      <c r="DT203" s="259">
        <v>201</v>
      </c>
      <c r="DU203" s="260" t="s">
        <v>280</v>
      </c>
      <c r="DV203" s="259"/>
      <c r="DW203" s="260" t="s">
        <v>242</v>
      </c>
      <c r="DX203" s="259"/>
      <c r="DY203" s="259"/>
      <c r="DZ203" s="259"/>
      <c r="EA203" s="987"/>
      <c r="EB203" s="1041" t="s">
        <v>2540</v>
      </c>
      <c r="EC203" s="802">
        <v>25000000</v>
      </c>
      <c r="EE203" s="1047"/>
    </row>
    <row r="204" spans="4:135" s="534" customFormat="1" ht="114.75" hidden="1" x14ac:dyDescent="0.3">
      <c r="D204" s="783">
        <v>201</v>
      </c>
      <c r="E204" s="799">
        <v>245</v>
      </c>
      <c r="F204" s="787" t="s">
        <v>200</v>
      </c>
      <c r="G204" s="739" t="s">
        <v>10</v>
      </c>
      <c r="H204" s="788" t="s">
        <v>2224</v>
      </c>
      <c r="I204" s="712" t="s">
        <v>699</v>
      </c>
      <c r="J204" s="573" t="s">
        <v>719</v>
      </c>
      <c r="K204" s="573" t="s">
        <v>720</v>
      </c>
      <c r="L204" s="701" t="s">
        <v>1582</v>
      </c>
      <c r="M204" s="571" t="s">
        <v>2017</v>
      </c>
      <c r="N204" s="571">
        <v>86</v>
      </c>
      <c r="O204" s="570">
        <f t="shared" ref="O204:O211" si="213">+N204+P204</f>
        <v>100</v>
      </c>
      <c r="P204" s="569">
        <v>14</v>
      </c>
      <c r="Q204" s="628">
        <v>0.16500000000000001</v>
      </c>
      <c r="R204" s="580">
        <f t="shared" si="190"/>
        <v>2.357142857142857E-2</v>
      </c>
      <c r="S204" s="627">
        <v>2</v>
      </c>
      <c r="T204" s="625">
        <f t="shared" si="174"/>
        <v>0.14285714285714285</v>
      </c>
      <c r="U204" s="992">
        <v>2</v>
      </c>
      <c r="V204" s="626">
        <f t="shared" si="175"/>
        <v>2</v>
      </c>
      <c r="W204" s="594">
        <f t="shared" si="176"/>
        <v>100</v>
      </c>
      <c r="X204" s="594">
        <f t="shared" si="191"/>
        <v>100</v>
      </c>
      <c r="Y204" s="594">
        <f t="shared" si="155"/>
        <v>2.3571428571428566E-2</v>
      </c>
      <c r="Z204" s="594">
        <f t="shared" si="192"/>
        <v>100</v>
      </c>
      <c r="AA204" s="593">
        <v>4200000</v>
      </c>
      <c r="AB204" s="593">
        <v>4200000</v>
      </c>
      <c r="AC204" s="593">
        <v>0</v>
      </c>
      <c r="AD204" s="593">
        <v>0</v>
      </c>
      <c r="AE204" s="593">
        <v>0</v>
      </c>
      <c r="AF204" s="593">
        <v>0</v>
      </c>
      <c r="AG204" s="593">
        <v>0</v>
      </c>
      <c r="AH204" s="593">
        <v>0</v>
      </c>
      <c r="AI204" s="593">
        <v>0</v>
      </c>
      <c r="AJ204" s="593">
        <v>0</v>
      </c>
      <c r="AK204" s="593">
        <v>0</v>
      </c>
      <c r="AL204" s="593">
        <v>0</v>
      </c>
      <c r="AM204" s="593">
        <v>0</v>
      </c>
      <c r="AN204" s="593">
        <v>0</v>
      </c>
      <c r="AO204" s="593">
        <v>0</v>
      </c>
      <c r="AP204" s="593">
        <v>0</v>
      </c>
      <c r="AQ204" s="593">
        <v>0</v>
      </c>
      <c r="AR204" s="593">
        <v>0</v>
      </c>
      <c r="AS204" s="593">
        <v>0</v>
      </c>
      <c r="AT204" s="570">
        <f t="shared" si="193"/>
        <v>4.7142857142857139E-2</v>
      </c>
      <c r="AU204" s="571">
        <v>4</v>
      </c>
      <c r="AV204" s="625">
        <f t="shared" si="177"/>
        <v>0.2857142857142857</v>
      </c>
      <c r="AW204" s="1003">
        <v>4</v>
      </c>
      <c r="AX204" s="604">
        <f t="shared" si="178"/>
        <v>4</v>
      </c>
      <c r="AY204" s="604">
        <f t="shared" si="179"/>
        <v>100</v>
      </c>
      <c r="AZ204" s="604">
        <f t="shared" si="194"/>
        <v>100</v>
      </c>
      <c r="BA204" s="592">
        <f t="shared" si="195"/>
        <v>4.7142857142857132E-2</v>
      </c>
      <c r="BB204" s="592">
        <f t="shared" si="196"/>
        <v>100</v>
      </c>
      <c r="BC204" s="591">
        <v>0</v>
      </c>
      <c r="BD204" s="591">
        <v>0</v>
      </c>
      <c r="BE204" s="591">
        <v>0</v>
      </c>
      <c r="BF204" s="591">
        <v>0</v>
      </c>
      <c r="BG204" s="591">
        <v>0</v>
      </c>
      <c r="BH204" s="591">
        <v>0</v>
      </c>
      <c r="BI204" s="591">
        <v>0</v>
      </c>
      <c r="BJ204" s="591">
        <v>0</v>
      </c>
      <c r="BK204" s="700">
        <v>113045990</v>
      </c>
      <c r="BL204" s="589">
        <v>113045990</v>
      </c>
      <c r="BM204" s="589">
        <v>0</v>
      </c>
      <c r="BN204" s="589">
        <v>0</v>
      </c>
      <c r="BO204" s="589">
        <v>0</v>
      </c>
      <c r="BP204" s="589">
        <v>0</v>
      </c>
      <c r="BQ204" s="589">
        <v>0</v>
      </c>
      <c r="BR204" s="589">
        <v>0</v>
      </c>
      <c r="BS204" s="589">
        <v>0</v>
      </c>
      <c r="BT204" s="589">
        <v>0</v>
      </c>
      <c r="BU204" s="589">
        <v>0</v>
      </c>
      <c r="BV204" s="588">
        <f t="shared" si="197"/>
        <v>5.8928571428571434E-2</v>
      </c>
      <c r="BW204" s="588">
        <v>5</v>
      </c>
      <c r="BX204" s="623">
        <f t="shared" si="180"/>
        <v>0.35714285714285715</v>
      </c>
      <c r="BY204" s="607">
        <v>5</v>
      </c>
      <c r="BZ204" s="629">
        <v>5</v>
      </c>
      <c r="CA204" s="1017">
        <v>5</v>
      </c>
      <c r="CB204" s="557">
        <f t="shared" si="181"/>
        <v>5</v>
      </c>
      <c r="CC204" s="557">
        <f t="shared" si="182"/>
        <v>100</v>
      </c>
      <c r="CD204" s="622">
        <f t="shared" si="198"/>
        <v>100</v>
      </c>
      <c r="CE204" s="621">
        <f t="shared" si="199"/>
        <v>5.8928571428571434E-2</v>
      </c>
      <c r="CF204" s="605">
        <f t="shared" si="200"/>
        <v>100</v>
      </c>
      <c r="CG204" s="621">
        <f t="shared" si="201"/>
        <v>5.8928571428571434E-2</v>
      </c>
      <c r="CH204" s="553">
        <f t="shared" si="202"/>
        <v>3.5357142857142858E-2</v>
      </c>
      <c r="CI204" s="552">
        <v>3</v>
      </c>
      <c r="CJ204" s="551">
        <f t="shared" si="183"/>
        <v>0.21428571428571427</v>
      </c>
      <c r="CK204" s="874">
        <v>3</v>
      </c>
      <c r="CL204" s="533">
        <f t="shared" si="184"/>
        <v>0</v>
      </c>
      <c r="CM204" s="619">
        <f t="shared" si="185"/>
        <v>3</v>
      </c>
      <c r="CN204" s="619">
        <f t="shared" si="186"/>
        <v>100</v>
      </c>
      <c r="CO204" s="549">
        <f t="shared" si="203"/>
        <v>100</v>
      </c>
      <c r="CP204" s="619">
        <f t="shared" si="204"/>
        <v>3.5357142857142858E-2</v>
      </c>
      <c r="CQ204" s="619">
        <f t="shared" si="205"/>
        <v>3.5357142857142858E-2</v>
      </c>
      <c r="CR204" s="546">
        <v>0</v>
      </c>
      <c r="CS204" s="546">
        <v>0</v>
      </c>
      <c r="CT204" s="546">
        <v>0</v>
      </c>
      <c r="CU204" s="546">
        <v>0</v>
      </c>
      <c r="CV204" s="546">
        <v>0</v>
      </c>
      <c r="CW204" s="546">
        <v>0</v>
      </c>
      <c r="CX204" s="546">
        <v>0</v>
      </c>
      <c r="CY204" s="546">
        <v>0</v>
      </c>
      <c r="CZ204" s="618">
        <v>0</v>
      </c>
      <c r="DA204" s="618">
        <v>0</v>
      </c>
      <c r="DB204" s="618">
        <v>0</v>
      </c>
      <c r="DC204" s="618">
        <v>0</v>
      </c>
      <c r="DD204" s="618">
        <v>0</v>
      </c>
      <c r="DE204" s="618">
        <v>0</v>
      </c>
      <c r="DF204" s="618">
        <v>0</v>
      </c>
      <c r="DG204" s="618">
        <v>0</v>
      </c>
      <c r="DH204" s="618">
        <v>0</v>
      </c>
      <c r="DI204" s="618">
        <v>0</v>
      </c>
      <c r="DJ204" s="618">
        <v>0</v>
      </c>
      <c r="DK204" s="1034">
        <f t="shared" si="187"/>
        <v>14</v>
      </c>
      <c r="DL204" s="543">
        <f t="shared" si="206"/>
        <v>0.16500000000000001</v>
      </c>
      <c r="DM204" s="542">
        <f t="shared" si="207"/>
        <v>100</v>
      </c>
      <c r="DN204" s="594">
        <f t="shared" si="208"/>
        <v>100</v>
      </c>
      <c r="DO204" s="540">
        <f t="shared" si="209"/>
        <v>0.16500000000000001</v>
      </c>
      <c r="DP204" s="597">
        <f t="shared" ref="DP204:DP211" si="214">+IF(((DN204*Q204)/100)&lt;Q204, ((DN204*Q204)/100),Q204)</f>
        <v>0.16500000000000001</v>
      </c>
      <c r="DQ204" s="538">
        <f t="shared" si="210"/>
        <v>0.16500000000000001</v>
      </c>
      <c r="DR204" s="617">
        <f t="shared" si="211"/>
        <v>1</v>
      </c>
      <c r="DS204" s="616">
        <f t="shared" si="212"/>
        <v>0</v>
      </c>
      <c r="DT204" s="259">
        <v>203</v>
      </c>
      <c r="DU204" s="260" t="s">
        <v>278</v>
      </c>
      <c r="DV204" s="259"/>
      <c r="DW204" s="260" t="s">
        <v>242</v>
      </c>
      <c r="DX204" s="259"/>
      <c r="DY204" s="259"/>
      <c r="DZ204" s="259"/>
      <c r="EA204" s="987"/>
      <c r="EB204" s="1041" t="s">
        <v>2541</v>
      </c>
      <c r="EC204" s="802">
        <v>0</v>
      </c>
      <c r="EE204" s="1047"/>
    </row>
    <row r="205" spans="4:135" s="534" customFormat="1" ht="102" hidden="1" x14ac:dyDescent="0.3">
      <c r="D205" s="783">
        <v>202</v>
      </c>
      <c r="E205" s="799">
        <v>246</v>
      </c>
      <c r="F205" s="787" t="s">
        <v>200</v>
      </c>
      <c r="G205" s="739" t="s">
        <v>10</v>
      </c>
      <c r="H205" s="788" t="s">
        <v>2224</v>
      </c>
      <c r="I205" s="712" t="s">
        <v>699</v>
      </c>
      <c r="J205" s="573" t="s">
        <v>721</v>
      </c>
      <c r="K205" s="573" t="s">
        <v>722</v>
      </c>
      <c r="L205" s="701" t="s">
        <v>1582</v>
      </c>
      <c r="M205" s="571" t="s">
        <v>2017</v>
      </c>
      <c r="N205" s="571">
        <v>41.46</v>
      </c>
      <c r="O205" s="570">
        <f t="shared" si="213"/>
        <v>42.26</v>
      </c>
      <c r="P205" s="569">
        <v>0.8</v>
      </c>
      <c r="Q205" s="628">
        <v>0.16500000000000001</v>
      </c>
      <c r="R205" s="580">
        <f t="shared" si="190"/>
        <v>2.0625000000000001E-2</v>
      </c>
      <c r="S205" s="627">
        <v>0.1</v>
      </c>
      <c r="T205" s="625">
        <f t="shared" si="174"/>
        <v>0.125</v>
      </c>
      <c r="U205" s="992">
        <v>0.1</v>
      </c>
      <c r="V205" s="626">
        <f t="shared" si="175"/>
        <v>0.1</v>
      </c>
      <c r="W205" s="594">
        <f t="shared" si="176"/>
        <v>100</v>
      </c>
      <c r="X205" s="594">
        <f t="shared" si="191"/>
        <v>100</v>
      </c>
      <c r="Y205" s="594">
        <f t="shared" si="155"/>
        <v>2.0625000000000001E-2</v>
      </c>
      <c r="Z205" s="594">
        <f t="shared" si="192"/>
        <v>100</v>
      </c>
      <c r="AA205" s="593">
        <v>0</v>
      </c>
      <c r="AB205" s="593">
        <v>0</v>
      </c>
      <c r="AC205" s="593">
        <v>0</v>
      </c>
      <c r="AD205" s="593">
        <v>0</v>
      </c>
      <c r="AE205" s="593">
        <v>0</v>
      </c>
      <c r="AF205" s="593">
        <v>0</v>
      </c>
      <c r="AG205" s="593">
        <v>0</v>
      </c>
      <c r="AH205" s="593">
        <v>0</v>
      </c>
      <c r="AI205" s="593">
        <v>0</v>
      </c>
      <c r="AJ205" s="593">
        <v>0</v>
      </c>
      <c r="AK205" s="593">
        <v>0</v>
      </c>
      <c r="AL205" s="593">
        <v>0</v>
      </c>
      <c r="AM205" s="593">
        <v>0</v>
      </c>
      <c r="AN205" s="593">
        <v>0</v>
      </c>
      <c r="AO205" s="593">
        <v>0</v>
      </c>
      <c r="AP205" s="593">
        <v>0</v>
      </c>
      <c r="AQ205" s="593">
        <v>0</v>
      </c>
      <c r="AR205" s="593">
        <v>0</v>
      </c>
      <c r="AS205" s="593">
        <v>0</v>
      </c>
      <c r="AT205" s="570">
        <f t="shared" si="193"/>
        <v>4.1250000000000002E-2</v>
      </c>
      <c r="AU205" s="571">
        <v>0.2</v>
      </c>
      <c r="AV205" s="625">
        <f t="shared" si="177"/>
        <v>0.25</v>
      </c>
      <c r="AW205" s="1003">
        <v>0.3</v>
      </c>
      <c r="AX205" s="604">
        <f t="shared" si="178"/>
        <v>0.3</v>
      </c>
      <c r="AY205" s="604">
        <f t="shared" si="179"/>
        <v>150</v>
      </c>
      <c r="AZ205" s="604">
        <f t="shared" si="194"/>
        <v>100</v>
      </c>
      <c r="BA205" s="592">
        <f t="shared" si="195"/>
        <v>4.1250000000000002E-2</v>
      </c>
      <c r="BB205" s="592">
        <f t="shared" si="196"/>
        <v>100</v>
      </c>
      <c r="BC205" s="591">
        <v>0</v>
      </c>
      <c r="BD205" s="591">
        <v>0</v>
      </c>
      <c r="BE205" s="591">
        <v>0</v>
      </c>
      <c r="BF205" s="591">
        <v>0</v>
      </c>
      <c r="BG205" s="591">
        <v>0</v>
      </c>
      <c r="BH205" s="591">
        <v>0</v>
      </c>
      <c r="BI205" s="591">
        <v>0</v>
      </c>
      <c r="BJ205" s="591">
        <v>0</v>
      </c>
      <c r="BK205" s="700">
        <v>23485000</v>
      </c>
      <c r="BL205" s="589">
        <v>23485000</v>
      </c>
      <c r="BM205" s="589">
        <v>0</v>
      </c>
      <c r="BN205" s="589">
        <v>0</v>
      </c>
      <c r="BO205" s="589">
        <v>0</v>
      </c>
      <c r="BP205" s="589">
        <v>0</v>
      </c>
      <c r="BQ205" s="589">
        <v>0</v>
      </c>
      <c r="BR205" s="589">
        <v>0</v>
      </c>
      <c r="BS205" s="589">
        <v>0</v>
      </c>
      <c r="BT205" s="589">
        <v>0</v>
      </c>
      <c r="BU205" s="589">
        <v>0</v>
      </c>
      <c r="BV205" s="588">
        <f t="shared" si="197"/>
        <v>6.1874999999999993E-2</v>
      </c>
      <c r="BW205" s="588">
        <v>0.3</v>
      </c>
      <c r="BX205" s="623">
        <f t="shared" si="180"/>
        <v>0.37499999999999994</v>
      </c>
      <c r="BY205" s="607">
        <v>0.74000000953674316</v>
      </c>
      <c r="BZ205" s="629">
        <v>1</v>
      </c>
      <c r="CA205" s="1017">
        <v>4.690000057220459</v>
      </c>
      <c r="CB205" s="557">
        <f t="shared" si="181"/>
        <v>4.690000057220459</v>
      </c>
      <c r="CC205" s="557">
        <f t="shared" si="182"/>
        <v>1563.3333524068198</v>
      </c>
      <c r="CD205" s="622">
        <f t="shared" si="198"/>
        <v>100</v>
      </c>
      <c r="CE205" s="621">
        <f t="shared" si="199"/>
        <v>6.1874999999999993E-2</v>
      </c>
      <c r="CF205" s="605">
        <f t="shared" si="200"/>
        <v>100</v>
      </c>
      <c r="CG205" s="621">
        <f t="shared" si="201"/>
        <v>0.96731251180171962</v>
      </c>
      <c r="CH205" s="553">
        <f t="shared" si="202"/>
        <v>4.1250000000000002E-2</v>
      </c>
      <c r="CI205" s="552">
        <v>0.2</v>
      </c>
      <c r="CJ205" s="551">
        <f t="shared" si="183"/>
        <v>0.25</v>
      </c>
      <c r="CK205" s="874">
        <v>0.20000000298023224</v>
      </c>
      <c r="CL205" s="533">
        <f t="shared" si="184"/>
        <v>-2.980232227667301E-9</v>
      </c>
      <c r="CM205" s="619">
        <f t="shared" si="185"/>
        <v>0.20000000298023224</v>
      </c>
      <c r="CN205" s="619">
        <f t="shared" si="186"/>
        <v>100.00000149011612</v>
      </c>
      <c r="CO205" s="549">
        <f t="shared" si="203"/>
        <v>100</v>
      </c>
      <c r="CP205" s="619">
        <f t="shared" si="204"/>
        <v>4.1250000000000002E-2</v>
      </c>
      <c r="CQ205" s="619">
        <f t="shared" si="205"/>
        <v>4.1250000614672898E-2</v>
      </c>
      <c r="CR205" s="546">
        <v>0</v>
      </c>
      <c r="CS205" s="546">
        <v>0</v>
      </c>
      <c r="CT205" s="546">
        <v>0</v>
      </c>
      <c r="CU205" s="546">
        <v>0</v>
      </c>
      <c r="CV205" s="546">
        <v>0</v>
      </c>
      <c r="CW205" s="546">
        <v>0</v>
      </c>
      <c r="CX205" s="546">
        <v>0</v>
      </c>
      <c r="CY205" s="546">
        <v>0</v>
      </c>
      <c r="CZ205" s="618">
        <v>0</v>
      </c>
      <c r="DA205" s="618">
        <v>0</v>
      </c>
      <c r="DB205" s="618">
        <v>0</v>
      </c>
      <c r="DC205" s="618">
        <v>0</v>
      </c>
      <c r="DD205" s="618">
        <v>0</v>
      </c>
      <c r="DE205" s="618">
        <v>0</v>
      </c>
      <c r="DF205" s="618">
        <v>0</v>
      </c>
      <c r="DG205" s="618">
        <v>0</v>
      </c>
      <c r="DH205" s="618">
        <v>0</v>
      </c>
      <c r="DI205" s="618">
        <v>0</v>
      </c>
      <c r="DJ205" s="618">
        <v>0</v>
      </c>
      <c r="DK205" s="1034">
        <f t="shared" si="187"/>
        <v>5.2900000602006916</v>
      </c>
      <c r="DL205" s="543">
        <f t="shared" si="206"/>
        <v>0.16500000000000001</v>
      </c>
      <c r="DM205" s="542">
        <f t="shared" si="207"/>
        <v>661.2500075250864</v>
      </c>
      <c r="DN205" s="594">
        <f t="shared" si="208"/>
        <v>100</v>
      </c>
      <c r="DO205" s="540">
        <f t="shared" si="209"/>
        <v>0.16500000000000001</v>
      </c>
      <c r="DP205" s="597">
        <f t="shared" si="214"/>
        <v>0.16500000000000001</v>
      </c>
      <c r="DQ205" s="538">
        <f t="shared" si="210"/>
        <v>0.16500000000000001</v>
      </c>
      <c r="DR205" s="617">
        <f t="shared" si="211"/>
        <v>1</v>
      </c>
      <c r="DS205" s="616">
        <f t="shared" si="212"/>
        <v>0</v>
      </c>
      <c r="DT205" s="259">
        <v>203</v>
      </c>
      <c r="DU205" s="260" t="s">
        <v>278</v>
      </c>
      <c r="DV205" s="259"/>
      <c r="DW205" s="260" t="s">
        <v>242</v>
      </c>
      <c r="DX205" s="259"/>
      <c r="DY205" s="259"/>
      <c r="DZ205" s="259"/>
      <c r="EA205" s="987"/>
      <c r="EB205" s="1041" t="s">
        <v>2542</v>
      </c>
      <c r="EC205" s="802">
        <v>0</v>
      </c>
      <c r="EE205" s="1047"/>
    </row>
    <row r="206" spans="4:135" s="534" customFormat="1" ht="76.5" hidden="1" x14ac:dyDescent="0.3">
      <c r="D206" s="783">
        <v>203</v>
      </c>
      <c r="E206" s="799">
        <v>248</v>
      </c>
      <c r="F206" s="787" t="s">
        <v>200</v>
      </c>
      <c r="G206" s="739" t="s">
        <v>7</v>
      </c>
      <c r="H206" s="790" t="s">
        <v>2215</v>
      </c>
      <c r="I206" s="712" t="s">
        <v>723</v>
      </c>
      <c r="J206" s="573" t="s">
        <v>724</v>
      </c>
      <c r="K206" s="573" t="s">
        <v>725</v>
      </c>
      <c r="L206" s="702" t="s">
        <v>2019</v>
      </c>
      <c r="M206" s="571" t="s">
        <v>2017</v>
      </c>
      <c r="N206" s="571">
        <v>0</v>
      </c>
      <c r="O206" s="570">
        <f t="shared" si="213"/>
        <v>500</v>
      </c>
      <c r="P206" s="569">
        <v>500</v>
      </c>
      <c r="Q206" s="628">
        <v>0.25</v>
      </c>
      <c r="R206" s="580">
        <f t="shared" si="190"/>
        <v>0.15</v>
      </c>
      <c r="S206" s="627">
        <v>300</v>
      </c>
      <c r="T206" s="625">
        <f t="shared" si="174"/>
        <v>0.6</v>
      </c>
      <c r="U206" s="992">
        <v>301</v>
      </c>
      <c r="V206" s="626">
        <f t="shared" si="175"/>
        <v>301</v>
      </c>
      <c r="W206" s="594">
        <f t="shared" si="176"/>
        <v>100.33333333333333</v>
      </c>
      <c r="X206" s="594">
        <f t="shared" si="191"/>
        <v>100</v>
      </c>
      <c r="Y206" s="594">
        <f t="shared" si="155"/>
        <v>0.15</v>
      </c>
      <c r="Z206" s="594">
        <f t="shared" si="192"/>
        <v>100</v>
      </c>
      <c r="AA206" s="593">
        <v>516000000</v>
      </c>
      <c r="AB206" s="593">
        <v>506000000</v>
      </c>
      <c r="AC206" s="593">
        <v>0</v>
      </c>
      <c r="AD206" s="593">
        <v>0</v>
      </c>
      <c r="AE206" s="593">
        <v>0</v>
      </c>
      <c r="AF206" s="593">
        <v>0</v>
      </c>
      <c r="AG206" s="593">
        <v>0</v>
      </c>
      <c r="AH206" s="593">
        <v>10000000</v>
      </c>
      <c r="AI206" s="593">
        <v>591321000</v>
      </c>
      <c r="AJ206" s="593">
        <v>591321000</v>
      </c>
      <c r="AK206" s="593">
        <v>0</v>
      </c>
      <c r="AL206" s="593">
        <v>0</v>
      </c>
      <c r="AM206" s="593">
        <v>0</v>
      </c>
      <c r="AN206" s="593">
        <v>0</v>
      </c>
      <c r="AO206" s="593">
        <v>0</v>
      </c>
      <c r="AP206" s="593">
        <v>0</v>
      </c>
      <c r="AQ206" s="593">
        <v>0</v>
      </c>
      <c r="AR206" s="593">
        <v>20000000</v>
      </c>
      <c r="AS206" s="593" t="s">
        <v>2223</v>
      </c>
      <c r="AT206" s="570">
        <f t="shared" si="193"/>
        <v>7.4999999999999997E-2</v>
      </c>
      <c r="AU206" s="571">
        <v>150</v>
      </c>
      <c r="AV206" s="625">
        <f t="shared" si="177"/>
        <v>0.3</v>
      </c>
      <c r="AW206" s="1003">
        <v>220</v>
      </c>
      <c r="AX206" s="604">
        <f t="shared" si="178"/>
        <v>220</v>
      </c>
      <c r="AY206" s="604">
        <f t="shared" si="179"/>
        <v>146.66666666666666</v>
      </c>
      <c r="AZ206" s="604">
        <f t="shared" si="194"/>
        <v>100</v>
      </c>
      <c r="BA206" s="592">
        <f t="shared" si="195"/>
        <v>7.4999999999999997E-2</v>
      </c>
      <c r="BB206" s="592">
        <f t="shared" si="196"/>
        <v>100</v>
      </c>
      <c r="BC206" s="591">
        <v>320000000</v>
      </c>
      <c r="BD206" s="591">
        <v>0</v>
      </c>
      <c r="BE206" s="591">
        <v>195000000</v>
      </c>
      <c r="BF206" s="591">
        <v>0</v>
      </c>
      <c r="BG206" s="591">
        <v>0</v>
      </c>
      <c r="BH206" s="591">
        <v>0</v>
      </c>
      <c r="BI206" s="591">
        <v>0</v>
      </c>
      <c r="BJ206" s="591">
        <v>125000000</v>
      </c>
      <c r="BK206" s="700">
        <v>316418000</v>
      </c>
      <c r="BL206" s="589">
        <v>316418000</v>
      </c>
      <c r="BM206" s="589">
        <v>0</v>
      </c>
      <c r="BN206" s="589">
        <v>0</v>
      </c>
      <c r="BO206" s="589">
        <v>0</v>
      </c>
      <c r="BP206" s="589">
        <v>0</v>
      </c>
      <c r="BQ206" s="589">
        <v>0</v>
      </c>
      <c r="BR206" s="589">
        <v>0</v>
      </c>
      <c r="BS206" s="589">
        <v>0</v>
      </c>
      <c r="BT206" s="589">
        <v>0</v>
      </c>
      <c r="BU206" s="589">
        <v>0</v>
      </c>
      <c r="BV206" s="588">
        <f t="shared" si="197"/>
        <v>2.5000000000000001E-2</v>
      </c>
      <c r="BW206" s="588">
        <v>50</v>
      </c>
      <c r="BX206" s="623">
        <f t="shared" si="180"/>
        <v>0.1</v>
      </c>
      <c r="BY206" s="639">
        <v>59</v>
      </c>
      <c r="BZ206" s="638">
        <v>59</v>
      </c>
      <c r="CA206" s="1018">
        <v>59</v>
      </c>
      <c r="CB206" s="557">
        <f t="shared" si="181"/>
        <v>59</v>
      </c>
      <c r="CC206" s="557">
        <f t="shared" si="182"/>
        <v>118</v>
      </c>
      <c r="CD206" s="622">
        <f t="shared" si="198"/>
        <v>100</v>
      </c>
      <c r="CE206" s="621">
        <f t="shared" si="199"/>
        <v>2.5000000000000001E-2</v>
      </c>
      <c r="CF206" s="605">
        <f t="shared" si="200"/>
        <v>100</v>
      </c>
      <c r="CG206" s="621">
        <f t="shared" si="201"/>
        <v>2.9500000000000002E-2</v>
      </c>
      <c r="CH206" s="553">
        <f t="shared" si="202"/>
        <v>0</v>
      </c>
      <c r="CI206" s="552">
        <v>0</v>
      </c>
      <c r="CJ206" s="551">
        <f t="shared" si="183"/>
        <v>0</v>
      </c>
      <c r="CK206" s="874">
        <v>0</v>
      </c>
      <c r="CL206" s="533">
        <f t="shared" si="184"/>
        <v>0</v>
      </c>
      <c r="CM206" s="619">
        <f t="shared" si="185"/>
        <v>0</v>
      </c>
      <c r="CN206" s="619">
        <f t="shared" si="186"/>
        <v>0</v>
      </c>
      <c r="CO206" s="549">
        <f t="shared" si="203"/>
        <v>0</v>
      </c>
      <c r="CP206" s="619">
        <f t="shared" si="204"/>
        <v>0</v>
      </c>
      <c r="CQ206" s="619">
        <f t="shared" si="205"/>
        <v>0</v>
      </c>
      <c r="CR206" s="546">
        <v>575000000</v>
      </c>
      <c r="CS206" s="546">
        <v>450000000</v>
      </c>
      <c r="CT206" s="546">
        <v>0</v>
      </c>
      <c r="CU206" s="546">
        <v>0</v>
      </c>
      <c r="CV206" s="546">
        <v>0</v>
      </c>
      <c r="CW206" s="546">
        <v>0</v>
      </c>
      <c r="CX206" s="546">
        <v>0</v>
      </c>
      <c r="CY206" s="546">
        <v>125000000</v>
      </c>
      <c r="CZ206" s="618">
        <v>0</v>
      </c>
      <c r="DA206" s="618">
        <v>0</v>
      </c>
      <c r="DB206" s="618">
        <v>0</v>
      </c>
      <c r="DC206" s="618">
        <v>0</v>
      </c>
      <c r="DD206" s="618">
        <v>0</v>
      </c>
      <c r="DE206" s="618">
        <v>0</v>
      </c>
      <c r="DF206" s="618">
        <v>0</v>
      </c>
      <c r="DG206" s="618">
        <v>0</v>
      </c>
      <c r="DH206" s="618">
        <v>0</v>
      </c>
      <c r="DI206" s="618">
        <v>0</v>
      </c>
      <c r="DJ206" s="618">
        <v>0</v>
      </c>
      <c r="DK206" s="1034">
        <f t="shared" si="187"/>
        <v>580</v>
      </c>
      <c r="DL206" s="543">
        <f t="shared" si="206"/>
        <v>0.24999999999999997</v>
      </c>
      <c r="DM206" s="542">
        <f t="shared" si="207"/>
        <v>116</v>
      </c>
      <c r="DN206" s="594">
        <f t="shared" si="208"/>
        <v>100</v>
      </c>
      <c r="DO206" s="540">
        <f t="shared" si="209"/>
        <v>0.25</v>
      </c>
      <c r="DP206" s="597">
        <f t="shared" si="214"/>
        <v>0.25</v>
      </c>
      <c r="DQ206" s="538">
        <f t="shared" si="210"/>
        <v>0.25</v>
      </c>
      <c r="DR206" s="617">
        <f t="shared" si="211"/>
        <v>0.99999999999999989</v>
      </c>
      <c r="DS206" s="616">
        <f t="shared" si="212"/>
        <v>6.9388939039072284E-18</v>
      </c>
      <c r="DT206" s="259">
        <v>247</v>
      </c>
      <c r="DU206" s="260" t="s">
        <v>277</v>
      </c>
      <c r="DV206" s="259"/>
      <c r="DW206" s="260" t="s">
        <v>242</v>
      </c>
      <c r="DX206" s="259"/>
      <c r="DY206" s="259"/>
      <c r="DZ206" s="259"/>
      <c r="EA206" s="987"/>
      <c r="EB206" s="1041" t="s">
        <v>2543</v>
      </c>
      <c r="EC206" s="802">
        <v>575000000</v>
      </c>
      <c r="EE206" s="1047"/>
    </row>
    <row r="207" spans="4:135" s="534" customFormat="1" ht="51" hidden="1" x14ac:dyDescent="0.3">
      <c r="D207" s="783">
        <v>204</v>
      </c>
      <c r="E207" s="799">
        <v>249</v>
      </c>
      <c r="F207" s="787" t="s">
        <v>200</v>
      </c>
      <c r="G207" s="739" t="s">
        <v>7</v>
      </c>
      <c r="H207" s="790" t="s">
        <v>2215</v>
      </c>
      <c r="I207" s="712" t="s">
        <v>723</v>
      </c>
      <c r="J207" s="573" t="s">
        <v>726</v>
      </c>
      <c r="K207" s="573" t="s">
        <v>727</v>
      </c>
      <c r="L207" s="702" t="s">
        <v>2222</v>
      </c>
      <c r="M207" s="571" t="s">
        <v>2017</v>
      </c>
      <c r="N207" s="571">
        <v>0</v>
      </c>
      <c r="O207" s="570">
        <f t="shared" si="213"/>
        <v>2000</v>
      </c>
      <c r="P207" s="569">
        <v>2000</v>
      </c>
      <c r="Q207" s="628">
        <v>0.16500000000000001</v>
      </c>
      <c r="R207" s="580">
        <f t="shared" si="190"/>
        <v>2.4750000000000001E-2</v>
      </c>
      <c r="S207" s="627">
        <v>300</v>
      </c>
      <c r="T207" s="625">
        <f t="shared" si="174"/>
        <v>0.15</v>
      </c>
      <c r="U207" s="992">
        <v>321</v>
      </c>
      <c r="V207" s="626">
        <f t="shared" si="175"/>
        <v>321</v>
      </c>
      <c r="W207" s="594">
        <f t="shared" si="176"/>
        <v>107</v>
      </c>
      <c r="X207" s="594">
        <f t="shared" si="191"/>
        <v>100</v>
      </c>
      <c r="Y207" s="594">
        <f t="shared" si="155"/>
        <v>2.4750000000000001E-2</v>
      </c>
      <c r="Z207" s="594">
        <f t="shared" si="192"/>
        <v>100</v>
      </c>
      <c r="AA207" s="593">
        <v>65000000</v>
      </c>
      <c r="AB207" s="593">
        <v>60000000</v>
      </c>
      <c r="AC207" s="593">
        <v>0</v>
      </c>
      <c r="AD207" s="593">
        <v>0</v>
      </c>
      <c r="AE207" s="593">
        <v>0</v>
      </c>
      <c r="AF207" s="593">
        <v>0</v>
      </c>
      <c r="AG207" s="593">
        <v>0</v>
      </c>
      <c r="AH207" s="593">
        <v>5000000</v>
      </c>
      <c r="AI207" s="593">
        <v>30000000</v>
      </c>
      <c r="AJ207" s="593">
        <v>30000000</v>
      </c>
      <c r="AK207" s="593">
        <v>0</v>
      </c>
      <c r="AL207" s="593">
        <v>0</v>
      </c>
      <c r="AM207" s="593">
        <v>0</v>
      </c>
      <c r="AN207" s="593">
        <v>0</v>
      </c>
      <c r="AO207" s="593">
        <v>0</v>
      </c>
      <c r="AP207" s="593">
        <v>0</v>
      </c>
      <c r="AQ207" s="593">
        <v>0</v>
      </c>
      <c r="AR207" s="593">
        <v>0</v>
      </c>
      <c r="AS207" s="593">
        <v>0</v>
      </c>
      <c r="AT207" s="570">
        <f t="shared" si="193"/>
        <v>4.9500000000000002E-2</v>
      </c>
      <c r="AU207" s="571">
        <v>600</v>
      </c>
      <c r="AV207" s="625">
        <f t="shared" si="177"/>
        <v>0.3</v>
      </c>
      <c r="AW207" s="1003">
        <v>967</v>
      </c>
      <c r="AX207" s="604">
        <f t="shared" si="178"/>
        <v>967</v>
      </c>
      <c r="AY207" s="604">
        <f t="shared" si="179"/>
        <v>161.16666666666666</v>
      </c>
      <c r="AZ207" s="604">
        <f t="shared" si="194"/>
        <v>100</v>
      </c>
      <c r="BA207" s="592">
        <f t="shared" si="195"/>
        <v>4.9500000000000002E-2</v>
      </c>
      <c r="BB207" s="592">
        <f t="shared" si="196"/>
        <v>100</v>
      </c>
      <c r="BC207" s="591">
        <v>20000000</v>
      </c>
      <c r="BD207" s="591">
        <v>0</v>
      </c>
      <c r="BE207" s="591">
        <v>20000000</v>
      </c>
      <c r="BF207" s="591">
        <v>0</v>
      </c>
      <c r="BG207" s="591">
        <v>0</v>
      </c>
      <c r="BH207" s="591">
        <v>0</v>
      </c>
      <c r="BI207" s="591">
        <v>0</v>
      </c>
      <c r="BJ207" s="591">
        <v>0</v>
      </c>
      <c r="BK207" s="700">
        <v>150000000</v>
      </c>
      <c r="BL207" s="589">
        <v>150000000</v>
      </c>
      <c r="BM207" s="589">
        <v>0</v>
      </c>
      <c r="BN207" s="589">
        <v>0</v>
      </c>
      <c r="BO207" s="589">
        <v>0</v>
      </c>
      <c r="BP207" s="589">
        <v>0</v>
      </c>
      <c r="BQ207" s="589">
        <v>0</v>
      </c>
      <c r="BR207" s="589">
        <v>0</v>
      </c>
      <c r="BS207" s="589">
        <v>0</v>
      </c>
      <c r="BT207" s="589">
        <v>0</v>
      </c>
      <c r="BU207" s="589">
        <v>0</v>
      </c>
      <c r="BV207" s="588">
        <f t="shared" si="197"/>
        <v>5.3625000000000006E-2</v>
      </c>
      <c r="BW207" s="588">
        <v>650</v>
      </c>
      <c r="BX207" s="623">
        <f t="shared" si="180"/>
        <v>0.32500000000000001</v>
      </c>
      <c r="BY207" s="639">
        <v>191</v>
      </c>
      <c r="BZ207" s="638">
        <v>491</v>
      </c>
      <c r="CA207" s="1018">
        <v>1066</v>
      </c>
      <c r="CB207" s="557">
        <f t="shared" si="181"/>
        <v>1066</v>
      </c>
      <c r="CC207" s="557">
        <f t="shared" si="182"/>
        <v>164</v>
      </c>
      <c r="CD207" s="622">
        <f t="shared" si="198"/>
        <v>100</v>
      </c>
      <c r="CE207" s="621">
        <f t="shared" si="199"/>
        <v>5.3625000000000006E-2</v>
      </c>
      <c r="CF207" s="605">
        <f t="shared" si="200"/>
        <v>100</v>
      </c>
      <c r="CG207" s="621">
        <f t="shared" si="201"/>
        <v>8.7945000000000009E-2</v>
      </c>
      <c r="CH207" s="553">
        <f t="shared" si="202"/>
        <v>3.7125000000000005E-2</v>
      </c>
      <c r="CI207" s="552">
        <v>450</v>
      </c>
      <c r="CJ207" s="551">
        <f t="shared" si="183"/>
        <v>0.22500000000000001</v>
      </c>
      <c r="CK207" s="874">
        <v>0</v>
      </c>
      <c r="CL207" s="533">
        <f t="shared" si="184"/>
        <v>450</v>
      </c>
      <c r="CM207" s="619">
        <f t="shared" si="185"/>
        <v>0</v>
      </c>
      <c r="CN207" s="619">
        <f t="shared" si="186"/>
        <v>0</v>
      </c>
      <c r="CO207" s="549">
        <f t="shared" si="203"/>
        <v>0</v>
      </c>
      <c r="CP207" s="619">
        <f t="shared" si="204"/>
        <v>0</v>
      </c>
      <c r="CQ207" s="619">
        <f t="shared" si="205"/>
        <v>0</v>
      </c>
      <c r="CR207" s="546">
        <v>45000000</v>
      </c>
      <c r="CS207" s="546">
        <v>45000000</v>
      </c>
      <c r="CT207" s="546">
        <v>0</v>
      </c>
      <c r="CU207" s="546">
        <v>0</v>
      </c>
      <c r="CV207" s="546">
        <v>0</v>
      </c>
      <c r="CW207" s="546">
        <v>0</v>
      </c>
      <c r="CX207" s="546">
        <v>0</v>
      </c>
      <c r="CY207" s="546">
        <v>0</v>
      </c>
      <c r="CZ207" s="618">
        <v>0</v>
      </c>
      <c r="DA207" s="618">
        <v>0</v>
      </c>
      <c r="DB207" s="618">
        <v>0</v>
      </c>
      <c r="DC207" s="618">
        <v>0</v>
      </c>
      <c r="DD207" s="618">
        <v>0</v>
      </c>
      <c r="DE207" s="618">
        <v>0</v>
      </c>
      <c r="DF207" s="618">
        <v>0</v>
      </c>
      <c r="DG207" s="618">
        <v>0</v>
      </c>
      <c r="DH207" s="618">
        <v>0</v>
      </c>
      <c r="DI207" s="618">
        <v>0</v>
      </c>
      <c r="DJ207" s="618">
        <v>0</v>
      </c>
      <c r="DK207" s="1034">
        <f t="shared" si="187"/>
        <v>2354</v>
      </c>
      <c r="DL207" s="543">
        <f t="shared" si="206"/>
        <v>0.16500000000000004</v>
      </c>
      <c r="DM207" s="542">
        <f t="shared" si="207"/>
        <v>117.7</v>
      </c>
      <c r="DN207" s="594">
        <f t="shared" si="208"/>
        <v>100</v>
      </c>
      <c r="DO207" s="540">
        <f t="shared" si="209"/>
        <v>0.16500000000000001</v>
      </c>
      <c r="DP207" s="597">
        <f t="shared" si="214"/>
        <v>0.16500000000000001</v>
      </c>
      <c r="DQ207" s="538">
        <f t="shared" si="210"/>
        <v>0.16500000000000001</v>
      </c>
      <c r="DR207" s="617">
        <f t="shared" si="211"/>
        <v>0.99999999999999989</v>
      </c>
      <c r="DS207" s="616">
        <f t="shared" si="212"/>
        <v>0</v>
      </c>
      <c r="DT207" s="259">
        <v>247</v>
      </c>
      <c r="DU207" s="260" t="s">
        <v>277</v>
      </c>
      <c r="DV207" s="259"/>
      <c r="DW207" s="260" t="s">
        <v>242</v>
      </c>
      <c r="DX207" s="259"/>
      <c r="DY207" s="259"/>
      <c r="DZ207" s="259"/>
      <c r="EA207" s="987"/>
      <c r="EB207" s="1041" t="s">
        <v>2544</v>
      </c>
      <c r="EC207" s="802">
        <v>45000000</v>
      </c>
      <c r="EE207" s="1047"/>
    </row>
    <row r="208" spans="4:135" s="534" customFormat="1" ht="89.25" hidden="1" x14ac:dyDescent="0.3">
      <c r="D208" s="783">
        <v>205</v>
      </c>
      <c r="E208" s="799">
        <v>250</v>
      </c>
      <c r="F208" s="787" t="s">
        <v>200</v>
      </c>
      <c r="G208" s="739" t="s">
        <v>7</v>
      </c>
      <c r="H208" s="790" t="s">
        <v>2215</v>
      </c>
      <c r="I208" s="712" t="s">
        <v>723</v>
      </c>
      <c r="J208" s="573" t="s">
        <v>728</v>
      </c>
      <c r="K208" s="573" t="s">
        <v>729</v>
      </c>
      <c r="L208" s="702" t="s">
        <v>2221</v>
      </c>
      <c r="M208" s="571" t="s">
        <v>2017</v>
      </c>
      <c r="N208" s="571">
        <v>0</v>
      </c>
      <c r="O208" s="570">
        <f t="shared" si="213"/>
        <v>1</v>
      </c>
      <c r="P208" s="569">
        <v>1</v>
      </c>
      <c r="Q208" s="628">
        <v>0.16500000000000001</v>
      </c>
      <c r="R208" s="580">
        <f t="shared" si="190"/>
        <v>4.9500000000000002E-2</v>
      </c>
      <c r="S208" s="627">
        <v>0.3</v>
      </c>
      <c r="T208" s="625">
        <f t="shared" si="174"/>
        <v>0.3</v>
      </c>
      <c r="U208" s="992">
        <v>0</v>
      </c>
      <c r="V208" s="626">
        <f t="shared" si="175"/>
        <v>0</v>
      </c>
      <c r="W208" s="594">
        <f t="shared" si="176"/>
        <v>0</v>
      </c>
      <c r="X208" s="594">
        <f t="shared" si="191"/>
        <v>0</v>
      </c>
      <c r="Y208" s="594">
        <f t="shared" si="155"/>
        <v>0</v>
      </c>
      <c r="Z208" s="594">
        <f t="shared" si="192"/>
        <v>0</v>
      </c>
      <c r="AA208" s="593">
        <v>10000000</v>
      </c>
      <c r="AB208" s="593">
        <v>10000000</v>
      </c>
      <c r="AC208" s="593">
        <v>0</v>
      </c>
      <c r="AD208" s="593">
        <v>0</v>
      </c>
      <c r="AE208" s="593">
        <v>0</v>
      </c>
      <c r="AF208" s="593">
        <v>0</v>
      </c>
      <c r="AG208" s="593">
        <v>0</v>
      </c>
      <c r="AH208" s="593">
        <v>0</v>
      </c>
      <c r="AI208" s="593">
        <v>39900000</v>
      </c>
      <c r="AJ208" s="593">
        <v>39900000</v>
      </c>
      <c r="AK208" s="593">
        <v>0</v>
      </c>
      <c r="AL208" s="593">
        <v>0</v>
      </c>
      <c r="AM208" s="593">
        <v>0</v>
      </c>
      <c r="AN208" s="593">
        <v>0</v>
      </c>
      <c r="AO208" s="593">
        <v>0</v>
      </c>
      <c r="AP208" s="593">
        <v>0</v>
      </c>
      <c r="AQ208" s="593">
        <v>0</v>
      </c>
      <c r="AR208" s="593">
        <v>5000000</v>
      </c>
      <c r="AS208" s="593" t="s">
        <v>2220</v>
      </c>
      <c r="AT208" s="570">
        <f t="shared" si="193"/>
        <v>0</v>
      </c>
      <c r="AU208" s="571">
        <v>0</v>
      </c>
      <c r="AV208" s="625">
        <f t="shared" si="177"/>
        <v>0</v>
      </c>
      <c r="AW208" s="1003">
        <v>0</v>
      </c>
      <c r="AX208" s="604">
        <f t="shared" si="178"/>
        <v>0</v>
      </c>
      <c r="AY208" s="604">
        <f t="shared" si="179"/>
        <v>0</v>
      </c>
      <c r="AZ208" s="604">
        <f t="shared" si="194"/>
        <v>0</v>
      </c>
      <c r="BA208" s="592">
        <f t="shared" si="195"/>
        <v>0</v>
      </c>
      <c r="BB208" s="592">
        <f t="shared" si="196"/>
        <v>0</v>
      </c>
      <c r="BC208" s="591">
        <v>100000000</v>
      </c>
      <c r="BD208" s="591">
        <v>0</v>
      </c>
      <c r="BE208" s="591">
        <v>100000000</v>
      </c>
      <c r="BF208" s="591">
        <v>0</v>
      </c>
      <c r="BG208" s="591">
        <v>0</v>
      </c>
      <c r="BH208" s="591">
        <v>0</v>
      </c>
      <c r="BI208" s="591">
        <v>0</v>
      </c>
      <c r="BJ208" s="591">
        <v>0</v>
      </c>
      <c r="BK208" s="700">
        <v>100000000</v>
      </c>
      <c r="BL208" s="589">
        <v>100000000</v>
      </c>
      <c r="BM208" s="589">
        <v>0</v>
      </c>
      <c r="BN208" s="589">
        <v>0</v>
      </c>
      <c r="BO208" s="589">
        <v>0</v>
      </c>
      <c r="BP208" s="589">
        <v>0</v>
      </c>
      <c r="BQ208" s="589">
        <v>0</v>
      </c>
      <c r="BR208" s="589">
        <v>0</v>
      </c>
      <c r="BS208" s="589">
        <v>0</v>
      </c>
      <c r="BT208" s="589">
        <v>0</v>
      </c>
      <c r="BU208" s="589">
        <v>0</v>
      </c>
      <c r="BV208" s="588">
        <f t="shared" si="197"/>
        <v>9.9000000000000005E-2</v>
      </c>
      <c r="BW208" s="588">
        <v>0.6</v>
      </c>
      <c r="BX208" s="623">
        <f t="shared" si="180"/>
        <v>0.6</v>
      </c>
      <c r="BY208" s="639">
        <v>0</v>
      </c>
      <c r="BZ208" s="638">
        <v>0</v>
      </c>
      <c r="CA208" s="1018">
        <v>0</v>
      </c>
      <c r="CB208" s="557">
        <f t="shared" si="181"/>
        <v>0</v>
      </c>
      <c r="CC208" s="557">
        <f t="shared" si="182"/>
        <v>0</v>
      </c>
      <c r="CD208" s="622">
        <f t="shared" si="198"/>
        <v>0</v>
      </c>
      <c r="CE208" s="621">
        <f t="shared" si="199"/>
        <v>0</v>
      </c>
      <c r="CF208" s="605">
        <f t="shared" si="200"/>
        <v>0</v>
      </c>
      <c r="CG208" s="621">
        <f t="shared" si="201"/>
        <v>0</v>
      </c>
      <c r="CH208" s="553">
        <f t="shared" si="202"/>
        <v>1.6500000000000001E-2</v>
      </c>
      <c r="CI208" s="707">
        <v>0.1</v>
      </c>
      <c r="CJ208" s="551">
        <f t="shared" si="183"/>
        <v>0.1</v>
      </c>
      <c r="CK208" s="875">
        <v>0</v>
      </c>
      <c r="CL208" s="533">
        <f t="shared" si="184"/>
        <v>0.1</v>
      </c>
      <c r="CM208" s="619">
        <f t="shared" si="185"/>
        <v>0</v>
      </c>
      <c r="CN208" s="619">
        <f t="shared" si="186"/>
        <v>0</v>
      </c>
      <c r="CO208" s="549">
        <f t="shared" si="203"/>
        <v>0</v>
      </c>
      <c r="CP208" s="619">
        <f t="shared" si="204"/>
        <v>0</v>
      </c>
      <c r="CQ208" s="619">
        <f t="shared" si="205"/>
        <v>0</v>
      </c>
      <c r="CR208" s="546">
        <v>0</v>
      </c>
      <c r="CS208" s="546">
        <v>0</v>
      </c>
      <c r="CT208" s="546">
        <v>0</v>
      </c>
      <c r="CU208" s="546">
        <v>0</v>
      </c>
      <c r="CV208" s="546">
        <v>0</v>
      </c>
      <c r="CW208" s="546">
        <v>0</v>
      </c>
      <c r="CX208" s="546">
        <v>0</v>
      </c>
      <c r="CY208" s="546">
        <v>0</v>
      </c>
      <c r="CZ208" s="618">
        <v>0</v>
      </c>
      <c r="DA208" s="618">
        <v>0</v>
      </c>
      <c r="DB208" s="618">
        <v>0</v>
      </c>
      <c r="DC208" s="618">
        <v>0</v>
      </c>
      <c r="DD208" s="618">
        <v>0</v>
      </c>
      <c r="DE208" s="618">
        <v>0</v>
      </c>
      <c r="DF208" s="618">
        <v>0</v>
      </c>
      <c r="DG208" s="618">
        <v>0</v>
      </c>
      <c r="DH208" s="618">
        <v>0</v>
      </c>
      <c r="DI208" s="618">
        <v>0</v>
      </c>
      <c r="DJ208" s="618">
        <v>0</v>
      </c>
      <c r="DK208" s="1034">
        <f t="shared" si="187"/>
        <v>0</v>
      </c>
      <c r="DL208" s="543">
        <f t="shared" si="206"/>
        <v>0.16500000000000004</v>
      </c>
      <c r="DM208" s="542">
        <f t="shared" si="207"/>
        <v>0</v>
      </c>
      <c r="DN208" s="594">
        <f t="shared" si="208"/>
        <v>0</v>
      </c>
      <c r="DO208" s="540">
        <f t="shared" si="209"/>
        <v>0</v>
      </c>
      <c r="DP208" s="597">
        <f t="shared" si="214"/>
        <v>0</v>
      </c>
      <c r="DQ208" s="538">
        <f t="shared" si="210"/>
        <v>0</v>
      </c>
      <c r="DR208" s="617">
        <f t="shared" si="211"/>
        <v>0.99999999999999989</v>
      </c>
      <c r="DS208" s="616">
        <f t="shared" si="212"/>
        <v>0</v>
      </c>
      <c r="DT208" s="259">
        <v>247</v>
      </c>
      <c r="DU208" s="260" t="s">
        <v>277</v>
      </c>
      <c r="DV208" s="259"/>
      <c r="DW208" s="260" t="s">
        <v>242</v>
      </c>
      <c r="DX208" s="259"/>
      <c r="DY208" s="259"/>
      <c r="DZ208" s="259"/>
      <c r="EA208" s="987"/>
      <c r="EB208" s="1041" t="s">
        <v>2545</v>
      </c>
      <c r="EC208" s="802">
        <v>0</v>
      </c>
      <c r="EE208" s="1047"/>
    </row>
    <row r="209" spans="4:135" s="534" customFormat="1" ht="102" hidden="1" x14ac:dyDescent="0.3">
      <c r="D209" s="783">
        <v>206</v>
      </c>
      <c r="E209" s="799">
        <v>251</v>
      </c>
      <c r="F209" s="787" t="s">
        <v>200</v>
      </c>
      <c r="G209" s="739" t="s">
        <v>12</v>
      </c>
      <c r="H209" s="790" t="s">
        <v>2215</v>
      </c>
      <c r="I209" s="712" t="s">
        <v>723</v>
      </c>
      <c r="J209" s="573" t="s">
        <v>730</v>
      </c>
      <c r="K209" s="573" t="s">
        <v>731</v>
      </c>
      <c r="L209" s="701" t="s">
        <v>2219</v>
      </c>
      <c r="M209" s="571" t="s">
        <v>2017</v>
      </c>
      <c r="N209" s="571">
        <v>0</v>
      </c>
      <c r="O209" s="570">
        <f t="shared" si="213"/>
        <v>100</v>
      </c>
      <c r="P209" s="569">
        <v>100</v>
      </c>
      <c r="Q209" s="628">
        <v>0.16500000000000001</v>
      </c>
      <c r="R209" s="580">
        <f t="shared" si="190"/>
        <v>0</v>
      </c>
      <c r="S209" s="627">
        <v>0</v>
      </c>
      <c r="T209" s="625">
        <f t="shared" si="174"/>
        <v>0</v>
      </c>
      <c r="U209" s="992">
        <v>43</v>
      </c>
      <c r="V209" s="626">
        <f t="shared" si="175"/>
        <v>43</v>
      </c>
      <c r="W209" s="594">
        <f t="shared" si="176"/>
        <v>0</v>
      </c>
      <c r="X209" s="594">
        <f t="shared" si="191"/>
        <v>0</v>
      </c>
      <c r="Y209" s="594">
        <f t="shared" si="155"/>
        <v>0</v>
      </c>
      <c r="Z209" s="594">
        <f t="shared" si="192"/>
        <v>100</v>
      </c>
      <c r="AA209" s="593">
        <v>20000000</v>
      </c>
      <c r="AB209" s="593">
        <v>20000000</v>
      </c>
      <c r="AC209" s="593">
        <v>0</v>
      </c>
      <c r="AD209" s="593">
        <v>0</v>
      </c>
      <c r="AE209" s="593">
        <v>0</v>
      </c>
      <c r="AF209" s="593">
        <v>0</v>
      </c>
      <c r="AG209" s="593">
        <v>0</v>
      </c>
      <c r="AH209" s="593">
        <v>0</v>
      </c>
      <c r="AI209" s="593">
        <v>9975000</v>
      </c>
      <c r="AJ209" s="593">
        <v>9975000</v>
      </c>
      <c r="AK209" s="593">
        <v>0</v>
      </c>
      <c r="AL209" s="593">
        <v>0</v>
      </c>
      <c r="AM209" s="593">
        <v>0</v>
      </c>
      <c r="AN209" s="593">
        <v>0</v>
      </c>
      <c r="AO209" s="593">
        <v>0</v>
      </c>
      <c r="AP209" s="593">
        <v>0</v>
      </c>
      <c r="AQ209" s="593">
        <v>0</v>
      </c>
      <c r="AR209" s="593">
        <v>0</v>
      </c>
      <c r="AS209" s="593">
        <v>0</v>
      </c>
      <c r="AT209" s="570">
        <f t="shared" si="193"/>
        <v>6.6000000000000003E-2</v>
      </c>
      <c r="AU209" s="571">
        <v>40</v>
      </c>
      <c r="AV209" s="625">
        <f t="shared" si="177"/>
        <v>0.4</v>
      </c>
      <c r="AW209" s="1003">
        <v>26.6</v>
      </c>
      <c r="AX209" s="604">
        <f t="shared" si="178"/>
        <v>26.6</v>
      </c>
      <c r="AY209" s="604">
        <f t="shared" si="179"/>
        <v>66.5</v>
      </c>
      <c r="AZ209" s="604">
        <f t="shared" si="194"/>
        <v>66.5</v>
      </c>
      <c r="BA209" s="592">
        <f t="shared" si="195"/>
        <v>4.3890000000000005E-2</v>
      </c>
      <c r="BB209" s="592">
        <f t="shared" si="196"/>
        <v>66.5</v>
      </c>
      <c r="BC209" s="591">
        <v>0</v>
      </c>
      <c r="BD209" s="591">
        <v>0</v>
      </c>
      <c r="BE209" s="591">
        <v>0</v>
      </c>
      <c r="BF209" s="591">
        <v>0</v>
      </c>
      <c r="BG209" s="591">
        <v>0</v>
      </c>
      <c r="BH209" s="591">
        <v>0</v>
      </c>
      <c r="BI209" s="591">
        <v>0</v>
      </c>
      <c r="BJ209" s="591">
        <v>0</v>
      </c>
      <c r="BK209" s="700">
        <v>0</v>
      </c>
      <c r="BL209" s="589">
        <v>0</v>
      </c>
      <c r="BM209" s="589">
        <v>0</v>
      </c>
      <c r="BN209" s="589">
        <v>0</v>
      </c>
      <c r="BO209" s="589">
        <v>0</v>
      </c>
      <c r="BP209" s="589">
        <v>0</v>
      </c>
      <c r="BQ209" s="589">
        <v>0</v>
      </c>
      <c r="BR209" s="589">
        <v>0</v>
      </c>
      <c r="BS209" s="589">
        <v>0</v>
      </c>
      <c r="BT209" s="589">
        <v>0</v>
      </c>
      <c r="BU209" s="589">
        <v>0</v>
      </c>
      <c r="BV209" s="588">
        <f t="shared" si="197"/>
        <v>6.6000000000000003E-2</v>
      </c>
      <c r="BW209" s="588">
        <v>40</v>
      </c>
      <c r="BX209" s="623">
        <f t="shared" si="180"/>
        <v>0.4</v>
      </c>
      <c r="BY209" s="607">
        <v>37.540000915527344</v>
      </c>
      <c r="BZ209" s="629">
        <v>30.4</v>
      </c>
      <c r="CA209" s="1017">
        <v>75.260002136230469</v>
      </c>
      <c r="CB209" s="557">
        <f t="shared" si="181"/>
        <v>75.260002136230469</v>
      </c>
      <c r="CC209" s="557">
        <f t="shared" si="182"/>
        <v>188.15000534057617</v>
      </c>
      <c r="CD209" s="622">
        <f t="shared" si="198"/>
        <v>100</v>
      </c>
      <c r="CE209" s="621">
        <f t="shared" si="199"/>
        <v>6.6000000000000003E-2</v>
      </c>
      <c r="CF209" s="605">
        <f t="shared" si="200"/>
        <v>100</v>
      </c>
      <c r="CG209" s="621">
        <f t="shared" si="201"/>
        <v>0.12417900352478028</v>
      </c>
      <c r="CH209" s="553">
        <f t="shared" si="202"/>
        <v>3.3000000000000002E-2</v>
      </c>
      <c r="CI209" s="552">
        <v>20</v>
      </c>
      <c r="CJ209" s="551">
        <f t="shared" si="183"/>
        <v>0.2</v>
      </c>
      <c r="CK209" s="874">
        <v>31</v>
      </c>
      <c r="CL209" s="533">
        <f t="shared" si="184"/>
        <v>-11</v>
      </c>
      <c r="CM209" s="619">
        <f t="shared" si="185"/>
        <v>31</v>
      </c>
      <c r="CN209" s="619">
        <f t="shared" si="186"/>
        <v>155</v>
      </c>
      <c r="CO209" s="549">
        <f t="shared" si="203"/>
        <v>100</v>
      </c>
      <c r="CP209" s="619">
        <f t="shared" si="204"/>
        <v>3.3000000000000002E-2</v>
      </c>
      <c r="CQ209" s="619">
        <f t="shared" si="205"/>
        <v>5.1150000000000001E-2</v>
      </c>
      <c r="CR209" s="546">
        <v>0</v>
      </c>
      <c r="CS209" s="546">
        <v>0</v>
      </c>
      <c r="CT209" s="546">
        <v>0</v>
      </c>
      <c r="CU209" s="546">
        <v>0</v>
      </c>
      <c r="CV209" s="546">
        <v>0</v>
      </c>
      <c r="CW209" s="546">
        <v>0</v>
      </c>
      <c r="CX209" s="546">
        <v>0</v>
      </c>
      <c r="CY209" s="546">
        <v>0</v>
      </c>
      <c r="CZ209" s="618">
        <v>0</v>
      </c>
      <c r="DA209" s="618">
        <v>0</v>
      </c>
      <c r="DB209" s="618">
        <v>0</v>
      </c>
      <c r="DC209" s="618">
        <v>0</v>
      </c>
      <c r="DD209" s="618">
        <v>0</v>
      </c>
      <c r="DE209" s="618">
        <v>0</v>
      </c>
      <c r="DF209" s="618">
        <v>0</v>
      </c>
      <c r="DG209" s="618">
        <v>0</v>
      </c>
      <c r="DH209" s="618">
        <v>0</v>
      </c>
      <c r="DI209" s="618">
        <v>0</v>
      </c>
      <c r="DJ209" s="618">
        <v>0</v>
      </c>
      <c r="DK209" s="1034">
        <f t="shared" si="187"/>
        <v>175.86000213623046</v>
      </c>
      <c r="DL209" s="543">
        <f t="shared" si="206"/>
        <v>0.16500000000000001</v>
      </c>
      <c r="DM209" s="542">
        <f t="shared" si="207"/>
        <v>175.86000213623046</v>
      </c>
      <c r="DN209" s="594">
        <f t="shared" si="208"/>
        <v>100</v>
      </c>
      <c r="DO209" s="540">
        <f t="shared" si="209"/>
        <v>0.16500000000000001</v>
      </c>
      <c r="DP209" s="597">
        <f t="shared" si="214"/>
        <v>0.16500000000000001</v>
      </c>
      <c r="DQ209" s="538">
        <f t="shared" si="210"/>
        <v>0.16500000000000001</v>
      </c>
      <c r="DR209" s="617">
        <f t="shared" si="211"/>
        <v>1</v>
      </c>
      <c r="DS209" s="616">
        <f t="shared" si="212"/>
        <v>0</v>
      </c>
      <c r="DT209" s="259">
        <v>619</v>
      </c>
      <c r="DU209" s="260" t="s">
        <v>431</v>
      </c>
      <c r="DV209" s="259"/>
      <c r="DW209" s="260" t="s">
        <v>242</v>
      </c>
      <c r="DX209" s="259"/>
      <c r="DY209" s="259"/>
      <c r="DZ209" s="259"/>
      <c r="EA209" s="987"/>
      <c r="EB209" s="1041" t="s">
        <v>2546</v>
      </c>
      <c r="EC209" s="802">
        <v>0</v>
      </c>
      <c r="EE209" s="1047"/>
    </row>
    <row r="210" spans="4:135" s="534" customFormat="1" ht="38.25" hidden="1" x14ac:dyDescent="0.3">
      <c r="D210" s="783">
        <v>207</v>
      </c>
      <c r="E210" s="799">
        <v>252</v>
      </c>
      <c r="F210" s="787" t="s">
        <v>200</v>
      </c>
      <c r="G210" s="739" t="s">
        <v>7</v>
      </c>
      <c r="H210" s="790" t="s">
        <v>2215</v>
      </c>
      <c r="I210" s="712" t="s">
        <v>723</v>
      </c>
      <c r="J210" s="573" t="s">
        <v>732</v>
      </c>
      <c r="K210" s="573" t="s">
        <v>731</v>
      </c>
      <c r="L210" s="701" t="s">
        <v>2219</v>
      </c>
      <c r="M210" s="571" t="s">
        <v>2017</v>
      </c>
      <c r="N210" s="571">
        <v>0</v>
      </c>
      <c r="O210" s="570">
        <f t="shared" si="213"/>
        <v>100</v>
      </c>
      <c r="P210" s="569">
        <v>100</v>
      </c>
      <c r="Q210" s="628">
        <v>0.16500000000000001</v>
      </c>
      <c r="R210" s="580">
        <f t="shared" si="190"/>
        <v>4.1250000000000002E-2</v>
      </c>
      <c r="S210" s="627">
        <v>25</v>
      </c>
      <c r="T210" s="625">
        <f t="shared" si="174"/>
        <v>0.25</v>
      </c>
      <c r="U210" s="992">
        <v>25</v>
      </c>
      <c r="V210" s="626">
        <f t="shared" si="175"/>
        <v>25</v>
      </c>
      <c r="W210" s="594">
        <f t="shared" si="176"/>
        <v>100</v>
      </c>
      <c r="X210" s="594">
        <f t="shared" si="191"/>
        <v>100</v>
      </c>
      <c r="Y210" s="594">
        <f t="shared" ref="Y210:Y273" si="215">+(X210*R210)/100</f>
        <v>4.1250000000000002E-2</v>
      </c>
      <c r="Z210" s="594">
        <f t="shared" si="192"/>
        <v>100</v>
      </c>
      <c r="AA210" s="593">
        <v>0</v>
      </c>
      <c r="AB210" s="593">
        <v>0</v>
      </c>
      <c r="AC210" s="593">
        <v>0</v>
      </c>
      <c r="AD210" s="593">
        <v>0</v>
      </c>
      <c r="AE210" s="593">
        <v>0</v>
      </c>
      <c r="AF210" s="593">
        <v>0</v>
      </c>
      <c r="AG210" s="593">
        <v>0</v>
      </c>
      <c r="AH210" s="593">
        <v>0</v>
      </c>
      <c r="AI210" s="593">
        <v>0</v>
      </c>
      <c r="AJ210" s="593">
        <v>0</v>
      </c>
      <c r="AK210" s="593">
        <v>0</v>
      </c>
      <c r="AL210" s="593">
        <v>0</v>
      </c>
      <c r="AM210" s="593">
        <v>0</v>
      </c>
      <c r="AN210" s="593">
        <v>0</v>
      </c>
      <c r="AO210" s="593">
        <v>0</v>
      </c>
      <c r="AP210" s="593">
        <v>0</v>
      </c>
      <c r="AQ210" s="593">
        <v>0</v>
      </c>
      <c r="AR210" s="593">
        <v>0</v>
      </c>
      <c r="AS210" s="593">
        <v>0</v>
      </c>
      <c r="AT210" s="570">
        <f t="shared" si="193"/>
        <v>4.1250000000000002E-2</v>
      </c>
      <c r="AU210" s="571">
        <v>25</v>
      </c>
      <c r="AV210" s="625">
        <f t="shared" si="177"/>
        <v>0.25</v>
      </c>
      <c r="AW210" s="1010">
        <v>25</v>
      </c>
      <c r="AX210" s="604">
        <f t="shared" si="178"/>
        <v>25</v>
      </c>
      <c r="AY210" s="604">
        <f t="shared" si="179"/>
        <v>100</v>
      </c>
      <c r="AZ210" s="604">
        <f t="shared" si="194"/>
        <v>100</v>
      </c>
      <c r="BA210" s="592">
        <f t="shared" si="195"/>
        <v>4.1250000000000002E-2</v>
      </c>
      <c r="BB210" s="592">
        <f t="shared" si="196"/>
        <v>100</v>
      </c>
      <c r="BC210" s="591">
        <v>13000000</v>
      </c>
      <c r="BD210" s="591">
        <v>0</v>
      </c>
      <c r="BE210" s="591">
        <v>13000000</v>
      </c>
      <c r="BF210" s="591">
        <v>0</v>
      </c>
      <c r="BG210" s="591">
        <v>0</v>
      </c>
      <c r="BH210" s="591">
        <v>0</v>
      </c>
      <c r="BI210" s="591">
        <v>0</v>
      </c>
      <c r="BJ210" s="591">
        <v>0</v>
      </c>
      <c r="BK210" s="700">
        <v>30000000</v>
      </c>
      <c r="BL210" s="589">
        <v>30000000</v>
      </c>
      <c r="BM210" s="589">
        <v>0</v>
      </c>
      <c r="BN210" s="589">
        <v>0</v>
      </c>
      <c r="BO210" s="589">
        <v>0</v>
      </c>
      <c r="BP210" s="589">
        <v>0</v>
      </c>
      <c r="BQ210" s="589">
        <v>0</v>
      </c>
      <c r="BR210" s="589">
        <v>0</v>
      </c>
      <c r="BS210" s="589">
        <v>0</v>
      </c>
      <c r="BT210" s="589">
        <v>0</v>
      </c>
      <c r="BU210" s="589">
        <v>0</v>
      </c>
      <c r="BV210" s="588">
        <f t="shared" si="197"/>
        <v>4.1250000000000002E-2</v>
      </c>
      <c r="BW210" s="588">
        <v>25</v>
      </c>
      <c r="BX210" s="623">
        <f t="shared" si="180"/>
        <v>0.25</v>
      </c>
      <c r="BY210" s="639">
        <v>25</v>
      </c>
      <c r="BZ210" s="638">
        <v>25</v>
      </c>
      <c r="CA210" s="1018">
        <v>25</v>
      </c>
      <c r="CB210" s="557">
        <f t="shared" si="181"/>
        <v>25</v>
      </c>
      <c r="CC210" s="557">
        <f t="shared" si="182"/>
        <v>100</v>
      </c>
      <c r="CD210" s="622">
        <f t="shared" si="198"/>
        <v>100</v>
      </c>
      <c r="CE210" s="621">
        <f t="shared" si="199"/>
        <v>4.1250000000000002E-2</v>
      </c>
      <c r="CF210" s="605">
        <f t="shared" si="200"/>
        <v>100</v>
      </c>
      <c r="CG210" s="621">
        <f t="shared" si="201"/>
        <v>4.1250000000000002E-2</v>
      </c>
      <c r="CH210" s="553">
        <f t="shared" si="202"/>
        <v>4.1250000000000002E-2</v>
      </c>
      <c r="CI210" s="552">
        <v>25</v>
      </c>
      <c r="CJ210" s="551">
        <f t="shared" si="183"/>
        <v>0.25</v>
      </c>
      <c r="CK210" s="874">
        <v>0</v>
      </c>
      <c r="CL210" s="533">
        <f t="shared" si="184"/>
        <v>25</v>
      </c>
      <c r="CM210" s="619">
        <f t="shared" si="185"/>
        <v>0</v>
      </c>
      <c r="CN210" s="619">
        <f t="shared" si="186"/>
        <v>0</v>
      </c>
      <c r="CO210" s="549">
        <f t="shared" si="203"/>
        <v>0</v>
      </c>
      <c r="CP210" s="619">
        <f t="shared" si="204"/>
        <v>0</v>
      </c>
      <c r="CQ210" s="619">
        <f t="shared" si="205"/>
        <v>0</v>
      </c>
      <c r="CR210" s="546">
        <v>30000000</v>
      </c>
      <c r="CS210" s="546">
        <v>30000000</v>
      </c>
      <c r="CT210" s="546">
        <v>0</v>
      </c>
      <c r="CU210" s="546">
        <v>0</v>
      </c>
      <c r="CV210" s="546">
        <v>0</v>
      </c>
      <c r="CW210" s="546">
        <v>0</v>
      </c>
      <c r="CX210" s="546">
        <v>0</v>
      </c>
      <c r="CY210" s="546">
        <v>0</v>
      </c>
      <c r="CZ210" s="618">
        <v>0</v>
      </c>
      <c r="DA210" s="618">
        <v>0</v>
      </c>
      <c r="DB210" s="618">
        <v>0</v>
      </c>
      <c r="DC210" s="618">
        <v>0</v>
      </c>
      <c r="DD210" s="618">
        <v>0</v>
      </c>
      <c r="DE210" s="618">
        <v>0</v>
      </c>
      <c r="DF210" s="618">
        <v>0</v>
      </c>
      <c r="DG210" s="618">
        <v>0</v>
      </c>
      <c r="DH210" s="618">
        <v>0</v>
      </c>
      <c r="DI210" s="618">
        <v>0</v>
      </c>
      <c r="DJ210" s="618">
        <v>0</v>
      </c>
      <c r="DK210" s="1034">
        <f t="shared" si="187"/>
        <v>75</v>
      </c>
      <c r="DL210" s="543">
        <f t="shared" si="206"/>
        <v>0.16500000000000001</v>
      </c>
      <c r="DM210" s="542">
        <f t="shared" si="207"/>
        <v>75</v>
      </c>
      <c r="DN210" s="594">
        <f t="shared" si="208"/>
        <v>75</v>
      </c>
      <c r="DO210" s="540">
        <f t="shared" si="209"/>
        <v>0.12375</v>
      </c>
      <c r="DP210" s="597">
        <f t="shared" si="214"/>
        <v>0.12375</v>
      </c>
      <c r="DQ210" s="538">
        <f t="shared" si="210"/>
        <v>0.12375</v>
      </c>
      <c r="DR210" s="617">
        <f t="shared" si="211"/>
        <v>1</v>
      </c>
      <c r="DS210" s="616">
        <f t="shared" si="212"/>
        <v>0</v>
      </c>
      <c r="DT210" s="259">
        <v>247</v>
      </c>
      <c r="DU210" s="260" t="s">
        <v>277</v>
      </c>
      <c r="DV210" s="259"/>
      <c r="DW210" s="260" t="s">
        <v>242</v>
      </c>
      <c r="DX210" s="259"/>
      <c r="DY210" s="259"/>
      <c r="DZ210" s="259"/>
      <c r="EA210" s="987"/>
      <c r="EB210" s="1041" t="s">
        <v>2547</v>
      </c>
      <c r="EC210" s="802">
        <v>30000000</v>
      </c>
      <c r="EE210" s="1047"/>
    </row>
    <row r="211" spans="4:135" s="534" customFormat="1" ht="89.25" hidden="1" x14ac:dyDescent="0.3">
      <c r="D211" s="783">
        <v>208</v>
      </c>
      <c r="E211" s="799">
        <v>253</v>
      </c>
      <c r="F211" s="787" t="s">
        <v>200</v>
      </c>
      <c r="G211" s="739" t="s">
        <v>7</v>
      </c>
      <c r="H211" s="790" t="s">
        <v>2215</v>
      </c>
      <c r="I211" s="712" t="s">
        <v>723</v>
      </c>
      <c r="J211" s="573" t="s">
        <v>733</v>
      </c>
      <c r="K211" s="573" t="s">
        <v>734</v>
      </c>
      <c r="L211" s="701" t="s">
        <v>2218</v>
      </c>
      <c r="M211" s="571" t="s">
        <v>2017</v>
      </c>
      <c r="N211" s="571">
        <v>0</v>
      </c>
      <c r="O211" s="570">
        <f t="shared" si="213"/>
        <v>100</v>
      </c>
      <c r="P211" s="569">
        <v>100</v>
      </c>
      <c r="Q211" s="628">
        <v>0.16500000000000001</v>
      </c>
      <c r="R211" s="580">
        <f t="shared" si="190"/>
        <v>0</v>
      </c>
      <c r="S211" s="627">
        <v>0</v>
      </c>
      <c r="T211" s="625">
        <f t="shared" si="174"/>
        <v>0</v>
      </c>
      <c r="U211" s="992">
        <v>0</v>
      </c>
      <c r="V211" s="626">
        <f t="shared" si="175"/>
        <v>0</v>
      </c>
      <c r="W211" s="594">
        <f t="shared" si="176"/>
        <v>0</v>
      </c>
      <c r="X211" s="594">
        <f t="shared" si="191"/>
        <v>0</v>
      </c>
      <c r="Y211" s="594">
        <f t="shared" si="215"/>
        <v>0</v>
      </c>
      <c r="Z211" s="594">
        <f t="shared" si="192"/>
        <v>0</v>
      </c>
      <c r="AA211" s="593">
        <v>0</v>
      </c>
      <c r="AB211" s="593">
        <v>0</v>
      </c>
      <c r="AC211" s="593">
        <v>0</v>
      </c>
      <c r="AD211" s="593">
        <v>0</v>
      </c>
      <c r="AE211" s="593">
        <v>0</v>
      </c>
      <c r="AF211" s="593">
        <v>0</v>
      </c>
      <c r="AG211" s="593">
        <v>0</v>
      </c>
      <c r="AH211" s="593">
        <v>0</v>
      </c>
      <c r="AI211" s="593">
        <v>0</v>
      </c>
      <c r="AJ211" s="593">
        <v>0</v>
      </c>
      <c r="AK211" s="593">
        <v>0</v>
      </c>
      <c r="AL211" s="593">
        <v>0</v>
      </c>
      <c r="AM211" s="593">
        <v>0</v>
      </c>
      <c r="AN211" s="593">
        <v>0</v>
      </c>
      <c r="AO211" s="593">
        <v>0</v>
      </c>
      <c r="AP211" s="593">
        <v>0</v>
      </c>
      <c r="AQ211" s="593">
        <v>0</v>
      </c>
      <c r="AR211" s="593">
        <v>0</v>
      </c>
      <c r="AS211" s="593">
        <v>0</v>
      </c>
      <c r="AT211" s="570">
        <f t="shared" si="193"/>
        <v>4.1250000000000002E-2</v>
      </c>
      <c r="AU211" s="571">
        <v>25</v>
      </c>
      <c r="AV211" s="625">
        <f t="shared" si="177"/>
        <v>0.25</v>
      </c>
      <c r="AW211" s="1010">
        <v>20</v>
      </c>
      <c r="AX211" s="604">
        <f t="shared" si="178"/>
        <v>20</v>
      </c>
      <c r="AY211" s="604">
        <f t="shared" si="179"/>
        <v>80</v>
      </c>
      <c r="AZ211" s="604">
        <f t="shared" si="194"/>
        <v>80</v>
      </c>
      <c r="BA211" s="592">
        <f t="shared" si="195"/>
        <v>3.3000000000000002E-2</v>
      </c>
      <c r="BB211" s="592">
        <f t="shared" si="196"/>
        <v>80</v>
      </c>
      <c r="BC211" s="591">
        <v>0</v>
      </c>
      <c r="BD211" s="591">
        <v>0</v>
      </c>
      <c r="BE211" s="591">
        <v>0</v>
      </c>
      <c r="BF211" s="591">
        <v>0</v>
      </c>
      <c r="BG211" s="591">
        <v>0</v>
      </c>
      <c r="BH211" s="591">
        <v>0</v>
      </c>
      <c r="BI211" s="591">
        <v>0</v>
      </c>
      <c r="BJ211" s="591">
        <v>0</v>
      </c>
      <c r="BK211" s="700">
        <v>0</v>
      </c>
      <c r="BL211" s="589">
        <v>0</v>
      </c>
      <c r="BM211" s="589">
        <v>0</v>
      </c>
      <c r="BN211" s="589">
        <v>0</v>
      </c>
      <c r="BO211" s="589">
        <v>0</v>
      </c>
      <c r="BP211" s="589">
        <v>0</v>
      </c>
      <c r="BQ211" s="589">
        <v>0</v>
      </c>
      <c r="BR211" s="589">
        <v>0</v>
      </c>
      <c r="BS211" s="589">
        <v>0</v>
      </c>
      <c r="BT211" s="589">
        <v>0</v>
      </c>
      <c r="BU211" s="589">
        <v>0</v>
      </c>
      <c r="BV211" s="588">
        <f t="shared" si="197"/>
        <v>8.2500000000000004E-2</v>
      </c>
      <c r="BW211" s="588">
        <v>50</v>
      </c>
      <c r="BX211" s="623">
        <f t="shared" si="180"/>
        <v>0.5</v>
      </c>
      <c r="BY211" s="639">
        <v>0</v>
      </c>
      <c r="BZ211" s="638">
        <v>0</v>
      </c>
      <c r="CA211" s="1018">
        <v>0</v>
      </c>
      <c r="CB211" s="557">
        <f t="shared" si="181"/>
        <v>0</v>
      </c>
      <c r="CC211" s="557">
        <f t="shared" si="182"/>
        <v>0</v>
      </c>
      <c r="CD211" s="622">
        <f t="shared" si="198"/>
        <v>0</v>
      </c>
      <c r="CE211" s="621">
        <f t="shared" si="199"/>
        <v>0</v>
      </c>
      <c r="CF211" s="605">
        <f t="shared" si="200"/>
        <v>0</v>
      </c>
      <c r="CG211" s="621">
        <f t="shared" si="201"/>
        <v>0</v>
      </c>
      <c r="CH211" s="553">
        <f t="shared" si="202"/>
        <v>4.1250000000000002E-2</v>
      </c>
      <c r="CI211" s="552">
        <v>25</v>
      </c>
      <c r="CJ211" s="551">
        <f t="shared" si="183"/>
        <v>0.25</v>
      </c>
      <c r="CK211" s="874">
        <v>25</v>
      </c>
      <c r="CL211" s="533">
        <f t="shared" si="184"/>
        <v>0</v>
      </c>
      <c r="CM211" s="619">
        <f t="shared" si="185"/>
        <v>25</v>
      </c>
      <c r="CN211" s="619">
        <f t="shared" si="186"/>
        <v>100</v>
      </c>
      <c r="CO211" s="549">
        <f t="shared" si="203"/>
        <v>100</v>
      </c>
      <c r="CP211" s="619">
        <f t="shared" si="204"/>
        <v>4.1250000000000002E-2</v>
      </c>
      <c r="CQ211" s="619">
        <f t="shared" si="205"/>
        <v>4.1250000000000002E-2</v>
      </c>
      <c r="CR211" s="546">
        <v>0</v>
      </c>
      <c r="CS211" s="546">
        <v>0</v>
      </c>
      <c r="CT211" s="546">
        <v>0</v>
      </c>
      <c r="CU211" s="546">
        <v>0</v>
      </c>
      <c r="CV211" s="546">
        <v>0</v>
      </c>
      <c r="CW211" s="546">
        <v>0</v>
      </c>
      <c r="CX211" s="546">
        <v>0</v>
      </c>
      <c r="CY211" s="546">
        <v>0</v>
      </c>
      <c r="CZ211" s="618">
        <v>0</v>
      </c>
      <c r="DA211" s="618">
        <v>0</v>
      </c>
      <c r="DB211" s="618">
        <v>0</v>
      </c>
      <c r="DC211" s="618">
        <v>0</v>
      </c>
      <c r="DD211" s="618">
        <v>0</v>
      </c>
      <c r="DE211" s="618">
        <v>0</v>
      </c>
      <c r="DF211" s="618">
        <v>0</v>
      </c>
      <c r="DG211" s="618">
        <v>0</v>
      </c>
      <c r="DH211" s="618">
        <v>0</v>
      </c>
      <c r="DI211" s="618">
        <v>0</v>
      </c>
      <c r="DJ211" s="618">
        <v>0</v>
      </c>
      <c r="DK211" s="1034">
        <f t="shared" si="187"/>
        <v>45</v>
      </c>
      <c r="DL211" s="543">
        <f t="shared" si="206"/>
        <v>0.16500000000000001</v>
      </c>
      <c r="DM211" s="542">
        <f t="shared" si="207"/>
        <v>45</v>
      </c>
      <c r="DN211" s="594">
        <f t="shared" si="208"/>
        <v>45</v>
      </c>
      <c r="DO211" s="540">
        <f t="shared" si="209"/>
        <v>7.425000000000001E-2</v>
      </c>
      <c r="DP211" s="597">
        <f t="shared" si="214"/>
        <v>7.425000000000001E-2</v>
      </c>
      <c r="DQ211" s="538">
        <f t="shared" si="210"/>
        <v>7.425000000000001E-2</v>
      </c>
      <c r="DR211" s="617">
        <f t="shared" si="211"/>
        <v>1</v>
      </c>
      <c r="DS211" s="616">
        <f t="shared" si="212"/>
        <v>0</v>
      </c>
      <c r="DT211" s="259">
        <v>247</v>
      </c>
      <c r="DU211" s="260" t="s">
        <v>277</v>
      </c>
      <c r="DV211" s="259"/>
      <c r="DW211" s="260" t="s">
        <v>242</v>
      </c>
      <c r="DX211" s="259"/>
      <c r="DY211" s="259"/>
      <c r="DZ211" s="259"/>
      <c r="EA211" s="987"/>
      <c r="EB211" s="1041" t="s">
        <v>2548</v>
      </c>
      <c r="EC211" s="802">
        <v>0</v>
      </c>
      <c r="EE211" s="1047"/>
    </row>
    <row r="212" spans="4:135" s="534" customFormat="1" ht="38.25" hidden="1" x14ac:dyDescent="0.3">
      <c r="D212" s="783">
        <v>209</v>
      </c>
      <c r="E212" s="799">
        <v>254</v>
      </c>
      <c r="F212" s="787" t="s">
        <v>200</v>
      </c>
      <c r="G212" s="739" t="s">
        <v>7</v>
      </c>
      <c r="H212" s="790" t="s">
        <v>2215</v>
      </c>
      <c r="I212" s="712" t="s">
        <v>735</v>
      </c>
      <c r="J212" s="573" t="s">
        <v>736</v>
      </c>
      <c r="K212" s="573" t="s">
        <v>737</v>
      </c>
      <c r="L212" s="702" t="s">
        <v>2217</v>
      </c>
      <c r="M212" s="571" t="s">
        <v>2032</v>
      </c>
      <c r="N212" s="571">
        <v>0</v>
      </c>
      <c r="O212" s="570">
        <f>+P212</f>
        <v>1</v>
      </c>
      <c r="P212" s="569">
        <v>1</v>
      </c>
      <c r="Q212" s="628">
        <v>0.16500000000000001</v>
      </c>
      <c r="R212" s="580">
        <f t="shared" si="190"/>
        <v>4.1250000000000002E-2</v>
      </c>
      <c r="S212" s="627">
        <v>1</v>
      </c>
      <c r="T212" s="625">
        <f t="shared" si="174"/>
        <v>0.25</v>
      </c>
      <c r="U212" s="992">
        <v>1</v>
      </c>
      <c r="V212" s="626">
        <f t="shared" si="175"/>
        <v>0.25</v>
      </c>
      <c r="W212" s="594">
        <f t="shared" si="176"/>
        <v>100</v>
      </c>
      <c r="X212" s="594">
        <f t="shared" si="191"/>
        <v>100</v>
      </c>
      <c r="Y212" s="594">
        <f t="shared" si="215"/>
        <v>4.1250000000000002E-2</v>
      </c>
      <c r="Z212" s="594">
        <f t="shared" si="192"/>
        <v>100</v>
      </c>
      <c r="AA212" s="593">
        <v>10000000</v>
      </c>
      <c r="AB212" s="593">
        <v>10000000</v>
      </c>
      <c r="AC212" s="593">
        <v>0</v>
      </c>
      <c r="AD212" s="593">
        <v>0</v>
      </c>
      <c r="AE212" s="593">
        <v>0</v>
      </c>
      <c r="AF212" s="593">
        <v>0</v>
      </c>
      <c r="AG212" s="593">
        <v>0</v>
      </c>
      <c r="AH212" s="593">
        <v>0</v>
      </c>
      <c r="AI212" s="593">
        <v>57800000</v>
      </c>
      <c r="AJ212" s="593">
        <v>57800000</v>
      </c>
      <c r="AK212" s="593">
        <v>0</v>
      </c>
      <c r="AL212" s="593">
        <v>0</v>
      </c>
      <c r="AM212" s="593">
        <v>0</v>
      </c>
      <c r="AN212" s="593">
        <v>0</v>
      </c>
      <c r="AO212" s="593">
        <v>0</v>
      </c>
      <c r="AP212" s="593">
        <v>0</v>
      </c>
      <c r="AQ212" s="593">
        <v>0</v>
      </c>
      <c r="AR212" s="593">
        <v>6000000</v>
      </c>
      <c r="AS212" s="593" t="s">
        <v>2216</v>
      </c>
      <c r="AT212" s="570">
        <f t="shared" si="193"/>
        <v>4.1250000000000002E-2</v>
      </c>
      <c r="AU212" s="571">
        <v>1</v>
      </c>
      <c r="AV212" s="625">
        <f t="shared" si="177"/>
        <v>0.25</v>
      </c>
      <c r="AW212" s="1003">
        <v>1</v>
      </c>
      <c r="AX212" s="604">
        <f t="shared" si="178"/>
        <v>0.25</v>
      </c>
      <c r="AY212" s="604">
        <f t="shared" si="179"/>
        <v>100</v>
      </c>
      <c r="AZ212" s="604">
        <f t="shared" si="194"/>
        <v>100</v>
      </c>
      <c r="BA212" s="592">
        <f t="shared" si="195"/>
        <v>4.1250000000000002E-2</v>
      </c>
      <c r="BB212" s="592">
        <f t="shared" si="196"/>
        <v>100</v>
      </c>
      <c r="BC212" s="591">
        <v>0</v>
      </c>
      <c r="BD212" s="591">
        <v>0</v>
      </c>
      <c r="BE212" s="591">
        <v>0</v>
      </c>
      <c r="BF212" s="591">
        <v>0</v>
      </c>
      <c r="BG212" s="591">
        <v>0</v>
      </c>
      <c r="BH212" s="591">
        <v>0</v>
      </c>
      <c r="BI212" s="591">
        <v>0</v>
      </c>
      <c r="BJ212" s="591">
        <v>0</v>
      </c>
      <c r="BK212" s="700">
        <v>0</v>
      </c>
      <c r="BL212" s="589">
        <v>0</v>
      </c>
      <c r="BM212" s="589">
        <v>0</v>
      </c>
      <c r="BN212" s="589">
        <v>0</v>
      </c>
      <c r="BO212" s="589">
        <v>0</v>
      </c>
      <c r="BP212" s="589">
        <v>0</v>
      </c>
      <c r="BQ212" s="589">
        <v>0</v>
      </c>
      <c r="BR212" s="589">
        <v>0</v>
      </c>
      <c r="BS212" s="589">
        <v>0</v>
      </c>
      <c r="BT212" s="589">
        <v>0</v>
      </c>
      <c r="BU212" s="589">
        <v>0</v>
      </c>
      <c r="BV212" s="588">
        <f t="shared" si="197"/>
        <v>4.1250000000000002E-2</v>
      </c>
      <c r="BW212" s="588">
        <v>1</v>
      </c>
      <c r="BX212" s="623">
        <f t="shared" si="180"/>
        <v>0.25</v>
      </c>
      <c r="BY212" s="639">
        <v>1</v>
      </c>
      <c r="BZ212" s="638">
        <v>1</v>
      </c>
      <c r="CA212" s="1018">
        <v>1</v>
      </c>
      <c r="CB212" s="557">
        <f t="shared" si="181"/>
        <v>0.25</v>
      </c>
      <c r="CC212" s="557">
        <f t="shared" si="182"/>
        <v>100</v>
      </c>
      <c r="CD212" s="622">
        <f t="shared" si="198"/>
        <v>100</v>
      </c>
      <c r="CE212" s="621">
        <f t="shared" si="199"/>
        <v>4.1250000000000002E-2</v>
      </c>
      <c r="CF212" s="605">
        <f t="shared" si="200"/>
        <v>100</v>
      </c>
      <c r="CG212" s="621">
        <f t="shared" si="201"/>
        <v>4.1250000000000002E-2</v>
      </c>
      <c r="CH212" s="553">
        <f t="shared" si="202"/>
        <v>4.1250000000000002E-2</v>
      </c>
      <c r="CI212" s="552">
        <v>1</v>
      </c>
      <c r="CJ212" s="551">
        <f t="shared" si="183"/>
        <v>0.25</v>
      </c>
      <c r="CK212" s="874">
        <v>0.40000000596046448</v>
      </c>
      <c r="CL212" s="533">
        <f t="shared" si="184"/>
        <v>0.59999999403953552</v>
      </c>
      <c r="CM212" s="619">
        <f t="shared" si="185"/>
        <v>0.10000000149011612</v>
      </c>
      <c r="CN212" s="619">
        <f t="shared" si="186"/>
        <v>40.000000596046448</v>
      </c>
      <c r="CO212" s="619">
        <f t="shared" si="203"/>
        <v>40.000000596046448</v>
      </c>
      <c r="CP212" s="619">
        <f t="shared" si="204"/>
        <v>1.6500000245869159E-2</v>
      </c>
      <c r="CQ212" s="619">
        <f t="shared" si="205"/>
        <v>1.6500000245869159E-2</v>
      </c>
      <c r="CR212" s="546">
        <v>0</v>
      </c>
      <c r="CS212" s="546">
        <v>0</v>
      </c>
      <c r="CT212" s="546">
        <v>0</v>
      </c>
      <c r="CU212" s="546">
        <v>0</v>
      </c>
      <c r="CV212" s="546">
        <v>0</v>
      </c>
      <c r="CW212" s="546">
        <v>0</v>
      </c>
      <c r="CX212" s="546">
        <v>0</v>
      </c>
      <c r="CY212" s="546">
        <v>0</v>
      </c>
      <c r="CZ212" s="618">
        <v>0</v>
      </c>
      <c r="DA212" s="618">
        <v>0</v>
      </c>
      <c r="DB212" s="618">
        <v>0</v>
      </c>
      <c r="DC212" s="618">
        <v>0</v>
      </c>
      <c r="DD212" s="618">
        <v>0</v>
      </c>
      <c r="DE212" s="618">
        <v>0</v>
      </c>
      <c r="DF212" s="618">
        <v>0</v>
      </c>
      <c r="DG212" s="618">
        <v>0</v>
      </c>
      <c r="DH212" s="618">
        <v>0</v>
      </c>
      <c r="DI212" s="618">
        <v>0</v>
      </c>
      <c r="DJ212" s="618">
        <v>0</v>
      </c>
      <c r="DK212" s="1034">
        <f t="shared" si="187"/>
        <v>0.85000000149011612</v>
      </c>
      <c r="DL212" s="543">
        <f t="shared" si="206"/>
        <v>0.16500000000000001</v>
      </c>
      <c r="DM212" s="542">
        <f t="shared" si="207"/>
        <v>85.000000149011612</v>
      </c>
      <c r="DN212" s="594">
        <f t="shared" si="208"/>
        <v>85.000000149011612</v>
      </c>
      <c r="DO212" s="540">
        <f t="shared" si="209"/>
        <v>0.14025000024586917</v>
      </c>
      <c r="DP212" s="597">
        <f>+IF(M212="M",DO212,0)</f>
        <v>0.14025000024586917</v>
      </c>
      <c r="DQ212" s="538">
        <f t="shared" si="210"/>
        <v>0.14025000024586917</v>
      </c>
      <c r="DR212" s="617">
        <f t="shared" si="211"/>
        <v>1</v>
      </c>
      <c r="DS212" s="616">
        <f t="shared" si="212"/>
        <v>0</v>
      </c>
      <c r="DT212" s="259">
        <v>247</v>
      </c>
      <c r="DU212" s="260" t="s">
        <v>277</v>
      </c>
      <c r="DV212" s="259"/>
      <c r="DW212" s="260" t="s">
        <v>242</v>
      </c>
      <c r="DX212" s="259"/>
      <c r="DY212" s="259"/>
      <c r="DZ212" s="259"/>
      <c r="EA212" s="987"/>
      <c r="EB212" s="1041" t="s">
        <v>2549</v>
      </c>
      <c r="EC212" s="802">
        <v>0</v>
      </c>
      <c r="EE212" s="1047"/>
    </row>
    <row r="213" spans="4:135" s="534" customFormat="1" ht="63.75" hidden="1" x14ac:dyDescent="0.3">
      <c r="D213" s="783">
        <v>210</v>
      </c>
      <c r="E213" s="799">
        <v>255</v>
      </c>
      <c r="F213" s="787" t="s">
        <v>200</v>
      </c>
      <c r="G213" s="739" t="s">
        <v>7</v>
      </c>
      <c r="H213" s="790" t="s">
        <v>2215</v>
      </c>
      <c r="I213" s="712" t="s">
        <v>735</v>
      </c>
      <c r="J213" s="573" t="s">
        <v>738</v>
      </c>
      <c r="K213" s="573" t="s">
        <v>739</v>
      </c>
      <c r="L213" s="701" t="s">
        <v>1593</v>
      </c>
      <c r="M213" s="571" t="s">
        <v>2017</v>
      </c>
      <c r="N213" s="571">
        <v>0</v>
      </c>
      <c r="O213" s="570">
        <f t="shared" ref="O213:O226" si="216">+N213+P213</f>
        <v>116</v>
      </c>
      <c r="P213" s="569">
        <v>116</v>
      </c>
      <c r="Q213" s="628">
        <v>0.16500000000000001</v>
      </c>
      <c r="R213" s="580">
        <f t="shared" si="190"/>
        <v>9.2456896551724135E-2</v>
      </c>
      <c r="S213" s="627">
        <v>65</v>
      </c>
      <c r="T213" s="625">
        <f t="shared" si="174"/>
        <v>0.56034482758620685</v>
      </c>
      <c r="U213" s="992">
        <v>25</v>
      </c>
      <c r="V213" s="626">
        <f t="shared" si="175"/>
        <v>25</v>
      </c>
      <c r="W213" s="594">
        <f t="shared" si="176"/>
        <v>38.46153846153846</v>
      </c>
      <c r="X213" s="594">
        <f t="shared" si="191"/>
        <v>38.46153846153846</v>
      </c>
      <c r="Y213" s="594">
        <f t="shared" si="215"/>
        <v>3.5560344827586209E-2</v>
      </c>
      <c r="Z213" s="594">
        <f t="shared" si="192"/>
        <v>38.46153846153846</v>
      </c>
      <c r="AA213" s="593">
        <v>54000000</v>
      </c>
      <c r="AB213" s="593">
        <v>48000000</v>
      </c>
      <c r="AC213" s="593">
        <v>0</v>
      </c>
      <c r="AD213" s="593">
        <v>0</v>
      </c>
      <c r="AE213" s="593">
        <v>0</v>
      </c>
      <c r="AF213" s="593">
        <v>0</v>
      </c>
      <c r="AG213" s="593">
        <v>0</v>
      </c>
      <c r="AH213" s="593">
        <v>6000000</v>
      </c>
      <c r="AI213" s="593">
        <v>0</v>
      </c>
      <c r="AJ213" s="593">
        <v>0</v>
      </c>
      <c r="AK213" s="593">
        <v>0</v>
      </c>
      <c r="AL213" s="593">
        <v>0</v>
      </c>
      <c r="AM213" s="593">
        <v>0</v>
      </c>
      <c r="AN213" s="593">
        <v>0</v>
      </c>
      <c r="AO213" s="593">
        <v>0</v>
      </c>
      <c r="AP213" s="593">
        <v>0</v>
      </c>
      <c r="AQ213" s="593">
        <v>0</v>
      </c>
      <c r="AR213" s="593">
        <v>0</v>
      </c>
      <c r="AS213" s="593">
        <v>0</v>
      </c>
      <c r="AT213" s="570">
        <f t="shared" si="193"/>
        <v>4.267241379310345E-2</v>
      </c>
      <c r="AU213" s="571">
        <v>30</v>
      </c>
      <c r="AV213" s="625">
        <f t="shared" si="177"/>
        <v>0.25862068965517243</v>
      </c>
      <c r="AW213" s="1003">
        <v>30</v>
      </c>
      <c r="AX213" s="604">
        <f t="shared" si="178"/>
        <v>30</v>
      </c>
      <c r="AY213" s="604">
        <f t="shared" si="179"/>
        <v>100</v>
      </c>
      <c r="AZ213" s="604">
        <f t="shared" si="194"/>
        <v>100</v>
      </c>
      <c r="BA213" s="592">
        <f t="shared" si="195"/>
        <v>4.267241379310345E-2</v>
      </c>
      <c r="BB213" s="592">
        <f t="shared" si="196"/>
        <v>100</v>
      </c>
      <c r="BC213" s="591">
        <v>15000000</v>
      </c>
      <c r="BD213" s="591">
        <v>0</v>
      </c>
      <c r="BE213" s="591">
        <v>15000000</v>
      </c>
      <c r="BF213" s="591">
        <v>0</v>
      </c>
      <c r="BG213" s="591">
        <v>0</v>
      </c>
      <c r="BH213" s="591">
        <v>0</v>
      </c>
      <c r="BI213" s="591">
        <v>0</v>
      </c>
      <c r="BJ213" s="591">
        <v>0</v>
      </c>
      <c r="BK213" s="700">
        <v>30000000</v>
      </c>
      <c r="BL213" s="589">
        <v>30000000</v>
      </c>
      <c r="BM213" s="589">
        <v>0</v>
      </c>
      <c r="BN213" s="589">
        <v>0</v>
      </c>
      <c r="BO213" s="589">
        <v>0</v>
      </c>
      <c r="BP213" s="589">
        <v>0</v>
      </c>
      <c r="BQ213" s="589">
        <v>0</v>
      </c>
      <c r="BR213" s="589">
        <v>0</v>
      </c>
      <c r="BS213" s="589">
        <v>0</v>
      </c>
      <c r="BT213" s="589">
        <v>0</v>
      </c>
      <c r="BU213" s="589">
        <v>0</v>
      </c>
      <c r="BV213" s="588">
        <f t="shared" si="197"/>
        <v>1.4224137931034485E-2</v>
      </c>
      <c r="BW213" s="588">
        <v>10</v>
      </c>
      <c r="BX213" s="623">
        <f t="shared" si="180"/>
        <v>8.6206896551724144E-2</v>
      </c>
      <c r="BY213" s="639">
        <v>86</v>
      </c>
      <c r="BZ213" s="638">
        <v>30</v>
      </c>
      <c r="CA213" s="1018">
        <v>116</v>
      </c>
      <c r="CB213" s="557">
        <f t="shared" si="181"/>
        <v>116</v>
      </c>
      <c r="CC213" s="557">
        <f t="shared" si="182"/>
        <v>1160</v>
      </c>
      <c r="CD213" s="622">
        <f t="shared" si="198"/>
        <v>100</v>
      </c>
      <c r="CE213" s="621">
        <f t="shared" si="199"/>
        <v>1.4224137931034487E-2</v>
      </c>
      <c r="CF213" s="605">
        <f t="shared" si="200"/>
        <v>100</v>
      </c>
      <c r="CG213" s="621">
        <f t="shared" si="201"/>
        <v>0.16500000000000004</v>
      </c>
      <c r="CH213" s="553">
        <f t="shared" si="202"/>
        <v>1.5646551724137932E-2</v>
      </c>
      <c r="CI213" s="552">
        <v>11</v>
      </c>
      <c r="CJ213" s="551">
        <f t="shared" si="183"/>
        <v>9.4827586206896547E-2</v>
      </c>
      <c r="CK213" s="875">
        <v>0</v>
      </c>
      <c r="CL213" s="533">
        <f t="shared" si="184"/>
        <v>11</v>
      </c>
      <c r="CM213" s="619">
        <f t="shared" si="185"/>
        <v>0</v>
      </c>
      <c r="CN213" s="619">
        <f t="shared" si="186"/>
        <v>0</v>
      </c>
      <c r="CO213" s="549">
        <f t="shared" si="203"/>
        <v>0</v>
      </c>
      <c r="CP213" s="619">
        <f t="shared" si="204"/>
        <v>0</v>
      </c>
      <c r="CQ213" s="619">
        <f t="shared" si="205"/>
        <v>0</v>
      </c>
      <c r="CR213" s="546">
        <v>34000000</v>
      </c>
      <c r="CS213" s="546">
        <v>34000000</v>
      </c>
      <c r="CT213" s="546">
        <v>0</v>
      </c>
      <c r="CU213" s="546">
        <v>0</v>
      </c>
      <c r="CV213" s="546">
        <v>0</v>
      </c>
      <c r="CW213" s="546">
        <v>0</v>
      </c>
      <c r="CX213" s="546">
        <v>0</v>
      </c>
      <c r="CY213" s="546">
        <v>0</v>
      </c>
      <c r="CZ213" s="618">
        <v>0</v>
      </c>
      <c r="DA213" s="618">
        <v>0</v>
      </c>
      <c r="DB213" s="618">
        <v>0</v>
      </c>
      <c r="DC213" s="618">
        <v>0</v>
      </c>
      <c r="DD213" s="618">
        <v>0</v>
      </c>
      <c r="DE213" s="618">
        <v>0</v>
      </c>
      <c r="DF213" s="618">
        <v>0</v>
      </c>
      <c r="DG213" s="618">
        <v>0</v>
      </c>
      <c r="DH213" s="618">
        <v>0</v>
      </c>
      <c r="DI213" s="618">
        <v>0</v>
      </c>
      <c r="DJ213" s="618">
        <v>0</v>
      </c>
      <c r="DK213" s="1034">
        <f t="shared" si="187"/>
        <v>171</v>
      </c>
      <c r="DL213" s="543">
        <f t="shared" si="206"/>
        <v>0.16500000000000001</v>
      </c>
      <c r="DM213" s="542">
        <f t="shared" si="207"/>
        <v>147.41379310344828</v>
      </c>
      <c r="DN213" s="594">
        <f t="shared" si="208"/>
        <v>100</v>
      </c>
      <c r="DO213" s="540">
        <f t="shared" si="209"/>
        <v>0.16500000000000001</v>
      </c>
      <c r="DP213" s="597">
        <f t="shared" ref="DP213:DP226" si="217">+IF(((DN213*Q213)/100)&lt;Q213, ((DN213*Q213)/100),Q213)</f>
        <v>0.16500000000000001</v>
      </c>
      <c r="DQ213" s="538">
        <f t="shared" si="210"/>
        <v>0.16500000000000001</v>
      </c>
      <c r="DR213" s="617">
        <f t="shared" si="211"/>
        <v>1</v>
      </c>
      <c r="DS213" s="616">
        <f t="shared" si="212"/>
        <v>0</v>
      </c>
      <c r="DT213" s="259">
        <v>247</v>
      </c>
      <c r="DU213" s="260" t="s">
        <v>277</v>
      </c>
      <c r="DV213" s="259"/>
      <c r="DW213" s="260" t="s">
        <v>242</v>
      </c>
      <c r="DX213" s="259"/>
      <c r="DY213" s="259"/>
      <c r="DZ213" s="259"/>
      <c r="EA213" s="987"/>
      <c r="EB213" s="1041" t="s">
        <v>2550</v>
      </c>
      <c r="EC213" s="802">
        <v>34000000</v>
      </c>
      <c r="EE213" s="1047"/>
    </row>
    <row r="214" spans="4:135" s="534" customFormat="1" ht="38.25" hidden="1" x14ac:dyDescent="0.3">
      <c r="D214" s="783">
        <v>211</v>
      </c>
      <c r="E214" s="799">
        <v>256</v>
      </c>
      <c r="F214" s="787" t="s">
        <v>200</v>
      </c>
      <c r="G214" s="739" t="s">
        <v>7</v>
      </c>
      <c r="H214" s="790" t="s">
        <v>2215</v>
      </c>
      <c r="I214" s="712" t="s">
        <v>735</v>
      </c>
      <c r="J214" s="573" t="s">
        <v>740</v>
      </c>
      <c r="K214" s="573" t="s">
        <v>741</v>
      </c>
      <c r="L214" s="702" t="s">
        <v>2214</v>
      </c>
      <c r="M214" s="571" t="s">
        <v>2017</v>
      </c>
      <c r="N214" s="571">
        <v>0</v>
      </c>
      <c r="O214" s="570">
        <f t="shared" si="216"/>
        <v>1</v>
      </c>
      <c r="P214" s="569">
        <v>1</v>
      </c>
      <c r="Q214" s="628">
        <v>8.8999999999999996E-2</v>
      </c>
      <c r="R214" s="580">
        <f t="shared" si="190"/>
        <v>0</v>
      </c>
      <c r="S214" s="627">
        <v>0</v>
      </c>
      <c r="T214" s="625">
        <f t="shared" si="174"/>
        <v>0</v>
      </c>
      <c r="U214" s="992">
        <v>0</v>
      </c>
      <c r="V214" s="626">
        <f t="shared" si="175"/>
        <v>0</v>
      </c>
      <c r="W214" s="594">
        <f t="shared" si="176"/>
        <v>0</v>
      </c>
      <c r="X214" s="594">
        <f t="shared" si="191"/>
        <v>0</v>
      </c>
      <c r="Y214" s="594">
        <f t="shared" si="215"/>
        <v>0</v>
      </c>
      <c r="Z214" s="594">
        <f t="shared" si="192"/>
        <v>0</v>
      </c>
      <c r="AA214" s="593">
        <v>0</v>
      </c>
      <c r="AB214" s="593">
        <v>0</v>
      </c>
      <c r="AC214" s="593">
        <v>0</v>
      </c>
      <c r="AD214" s="593">
        <v>0</v>
      </c>
      <c r="AE214" s="593">
        <v>0</v>
      </c>
      <c r="AF214" s="593">
        <v>0</v>
      </c>
      <c r="AG214" s="593">
        <v>0</v>
      </c>
      <c r="AH214" s="593">
        <v>0</v>
      </c>
      <c r="AI214" s="593">
        <v>0</v>
      </c>
      <c r="AJ214" s="593">
        <v>0</v>
      </c>
      <c r="AK214" s="593">
        <v>0</v>
      </c>
      <c r="AL214" s="593">
        <v>0</v>
      </c>
      <c r="AM214" s="593">
        <v>0</v>
      </c>
      <c r="AN214" s="593">
        <v>0</v>
      </c>
      <c r="AO214" s="593">
        <v>0</v>
      </c>
      <c r="AP214" s="593">
        <v>0</v>
      </c>
      <c r="AQ214" s="593">
        <v>0</v>
      </c>
      <c r="AR214" s="593">
        <v>0</v>
      </c>
      <c r="AS214" s="593">
        <v>0</v>
      </c>
      <c r="AT214" s="570">
        <f t="shared" si="193"/>
        <v>8.8999999999999996E-2</v>
      </c>
      <c r="AU214" s="571">
        <v>1</v>
      </c>
      <c r="AV214" s="625">
        <f t="shared" si="177"/>
        <v>1</v>
      </c>
      <c r="AW214" s="1003">
        <v>0</v>
      </c>
      <c r="AX214" s="604">
        <f t="shared" si="178"/>
        <v>0</v>
      </c>
      <c r="AY214" s="604">
        <f t="shared" si="179"/>
        <v>0</v>
      </c>
      <c r="AZ214" s="604">
        <f t="shared" si="194"/>
        <v>0</v>
      </c>
      <c r="BA214" s="592">
        <f t="shared" si="195"/>
        <v>0</v>
      </c>
      <c r="BB214" s="592">
        <f t="shared" si="196"/>
        <v>0</v>
      </c>
      <c r="BC214" s="591">
        <v>0</v>
      </c>
      <c r="BD214" s="591">
        <v>0</v>
      </c>
      <c r="BE214" s="591">
        <v>0</v>
      </c>
      <c r="BF214" s="591">
        <v>0</v>
      </c>
      <c r="BG214" s="591">
        <v>0</v>
      </c>
      <c r="BH214" s="591">
        <v>0</v>
      </c>
      <c r="BI214" s="591">
        <v>0</v>
      </c>
      <c r="BJ214" s="591">
        <v>0</v>
      </c>
      <c r="BK214" s="700">
        <v>0</v>
      </c>
      <c r="BL214" s="589">
        <v>0</v>
      </c>
      <c r="BM214" s="589">
        <v>0</v>
      </c>
      <c r="BN214" s="589">
        <v>0</v>
      </c>
      <c r="BO214" s="589">
        <v>0</v>
      </c>
      <c r="BP214" s="589">
        <v>0</v>
      </c>
      <c r="BQ214" s="589">
        <v>0</v>
      </c>
      <c r="BR214" s="589">
        <v>0</v>
      </c>
      <c r="BS214" s="589">
        <v>0</v>
      </c>
      <c r="BT214" s="589">
        <v>0</v>
      </c>
      <c r="BU214" s="589">
        <v>0</v>
      </c>
      <c r="BV214" s="588">
        <f t="shared" si="197"/>
        <v>0</v>
      </c>
      <c r="BW214" s="588">
        <v>0</v>
      </c>
      <c r="BX214" s="623">
        <f t="shared" si="180"/>
        <v>0</v>
      </c>
      <c r="BY214" s="639">
        <v>1</v>
      </c>
      <c r="BZ214" s="638">
        <v>1</v>
      </c>
      <c r="CA214" s="1018">
        <v>0.5</v>
      </c>
      <c r="CB214" s="557">
        <f t="shared" si="181"/>
        <v>0.5</v>
      </c>
      <c r="CC214" s="557">
        <f t="shared" si="182"/>
        <v>0</v>
      </c>
      <c r="CD214" s="622">
        <f t="shared" si="198"/>
        <v>0</v>
      </c>
      <c r="CE214" s="621">
        <f t="shared" si="199"/>
        <v>0</v>
      </c>
      <c r="CF214" s="605">
        <f t="shared" si="200"/>
        <v>100</v>
      </c>
      <c r="CG214" s="621">
        <f t="shared" si="201"/>
        <v>0</v>
      </c>
      <c r="CH214" s="553">
        <f t="shared" si="202"/>
        <v>0</v>
      </c>
      <c r="CI214" s="552">
        <v>0</v>
      </c>
      <c r="CJ214" s="551">
        <f t="shared" si="183"/>
        <v>0</v>
      </c>
      <c r="CK214" s="874">
        <v>0.3</v>
      </c>
      <c r="CL214" s="533">
        <f t="shared" si="184"/>
        <v>-0.3</v>
      </c>
      <c r="CM214" s="619">
        <f t="shared" si="185"/>
        <v>0.3</v>
      </c>
      <c r="CN214" s="619">
        <f t="shared" si="186"/>
        <v>0</v>
      </c>
      <c r="CO214" s="549">
        <f t="shared" si="203"/>
        <v>0</v>
      </c>
      <c r="CP214" s="619">
        <f t="shared" si="204"/>
        <v>0</v>
      </c>
      <c r="CQ214" s="619">
        <f t="shared" si="205"/>
        <v>0</v>
      </c>
      <c r="CR214" s="546">
        <v>0</v>
      </c>
      <c r="CS214" s="546">
        <v>0</v>
      </c>
      <c r="CT214" s="546">
        <v>0</v>
      </c>
      <c r="CU214" s="546">
        <v>0</v>
      </c>
      <c r="CV214" s="546">
        <v>0</v>
      </c>
      <c r="CW214" s="546">
        <v>0</v>
      </c>
      <c r="CX214" s="546">
        <v>0</v>
      </c>
      <c r="CY214" s="546">
        <v>0</v>
      </c>
      <c r="CZ214" s="618">
        <v>0</v>
      </c>
      <c r="DA214" s="618">
        <v>0</v>
      </c>
      <c r="DB214" s="618">
        <v>0</v>
      </c>
      <c r="DC214" s="618">
        <v>0</v>
      </c>
      <c r="DD214" s="618">
        <v>0</v>
      </c>
      <c r="DE214" s="618">
        <v>0</v>
      </c>
      <c r="DF214" s="618">
        <v>0</v>
      </c>
      <c r="DG214" s="618">
        <v>0</v>
      </c>
      <c r="DH214" s="618">
        <v>0</v>
      </c>
      <c r="DI214" s="618">
        <v>0</v>
      </c>
      <c r="DJ214" s="618">
        <v>0</v>
      </c>
      <c r="DK214" s="1034">
        <f t="shared" si="187"/>
        <v>0.8</v>
      </c>
      <c r="DL214" s="543">
        <f t="shared" si="206"/>
        <v>8.8999999999999996E-2</v>
      </c>
      <c r="DM214" s="542">
        <f t="shared" si="207"/>
        <v>80</v>
      </c>
      <c r="DN214" s="594">
        <f t="shared" si="208"/>
        <v>80</v>
      </c>
      <c r="DO214" s="540">
        <f t="shared" si="209"/>
        <v>7.1199999999999986E-2</v>
      </c>
      <c r="DP214" s="597">
        <f t="shared" si="217"/>
        <v>7.1199999999999986E-2</v>
      </c>
      <c r="DQ214" s="538">
        <f t="shared" si="210"/>
        <v>7.1199999999999986E-2</v>
      </c>
      <c r="DR214" s="617">
        <f t="shared" si="211"/>
        <v>1</v>
      </c>
      <c r="DS214" s="616">
        <f t="shared" si="212"/>
        <v>0</v>
      </c>
      <c r="DT214" s="259">
        <v>247</v>
      </c>
      <c r="DU214" s="260" t="s">
        <v>277</v>
      </c>
      <c r="DV214" s="259"/>
      <c r="DW214" s="260" t="s">
        <v>242</v>
      </c>
      <c r="DX214" s="259"/>
      <c r="DY214" s="259"/>
      <c r="DZ214" s="259"/>
      <c r="EA214" s="987"/>
      <c r="EB214" s="1041" t="s">
        <v>2551</v>
      </c>
      <c r="EC214" s="802">
        <v>0</v>
      </c>
      <c r="EE214" s="1047"/>
    </row>
    <row r="215" spans="4:135" s="534" customFormat="1" ht="102" hidden="1" x14ac:dyDescent="0.3">
      <c r="D215" s="783">
        <v>212</v>
      </c>
      <c r="E215" s="799">
        <v>258</v>
      </c>
      <c r="F215" s="787" t="s">
        <v>200</v>
      </c>
      <c r="G215" s="739" t="s">
        <v>15</v>
      </c>
      <c r="H215" s="790" t="s">
        <v>2020</v>
      </c>
      <c r="I215" s="712" t="s">
        <v>742</v>
      </c>
      <c r="J215" s="573" t="s">
        <v>743</v>
      </c>
      <c r="K215" s="573" t="s">
        <v>744</v>
      </c>
      <c r="L215" s="702" t="s">
        <v>2213</v>
      </c>
      <c r="M215" s="571" t="s">
        <v>2017</v>
      </c>
      <c r="N215" s="571">
        <v>284</v>
      </c>
      <c r="O215" s="570">
        <f t="shared" si="216"/>
        <v>784</v>
      </c>
      <c r="P215" s="569">
        <v>500</v>
      </c>
      <c r="Q215" s="628">
        <v>0.25</v>
      </c>
      <c r="R215" s="580">
        <f t="shared" si="190"/>
        <v>1.7999999999999999E-2</v>
      </c>
      <c r="S215" s="627">
        <v>36</v>
      </c>
      <c r="T215" s="625">
        <f t="shared" si="174"/>
        <v>7.1999999999999995E-2</v>
      </c>
      <c r="U215" s="992">
        <v>61</v>
      </c>
      <c r="V215" s="626">
        <f t="shared" si="175"/>
        <v>61</v>
      </c>
      <c r="W215" s="594">
        <f t="shared" si="176"/>
        <v>169.44444444444446</v>
      </c>
      <c r="X215" s="594">
        <f t="shared" si="191"/>
        <v>100</v>
      </c>
      <c r="Y215" s="594">
        <f t="shared" si="215"/>
        <v>1.7999999999999999E-2</v>
      </c>
      <c r="Z215" s="594">
        <f t="shared" si="192"/>
        <v>100</v>
      </c>
      <c r="AA215" s="593">
        <v>7609000000</v>
      </c>
      <c r="AB215" s="593">
        <v>2409000000</v>
      </c>
      <c r="AC215" s="593">
        <v>0</v>
      </c>
      <c r="AD215" s="593">
        <v>5200000000</v>
      </c>
      <c r="AE215" s="593">
        <v>0</v>
      </c>
      <c r="AF215" s="593">
        <v>0</v>
      </c>
      <c r="AG215" s="593">
        <v>0</v>
      </c>
      <c r="AH215" s="593">
        <v>0</v>
      </c>
      <c r="AI215" s="593">
        <v>15697714000</v>
      </c>
      <c r="AJ215" s="593">
        <v>15579977000</v>
      </c>
      <c r="AK215" s="593">
        <v>0</v>
      </c>
      <c r="AL215" s="593">
        <v>0</v>
      </c>
      <c r="AM215" s="593">
        <v>0</v>
      </c>
      <c r="AN215" s="593">
        <v>0</v>
      </c>
      <c r="AO215" s="593">
        <v>117737000</v>
      </c>
      <c r="AP215" s="593">
        <v>0</v>
      </c>
      <c r="AQ215" s="593">
        <v>0</v>
      </c>
      <c r="AR215" s="593">
        <v>0</v>
      </c>
      <c r="AS215" s="593">
        <v>0</v>
      </c>
      <c r="AT215" s="570">
        <f t="shared" si="193"/>
        <v>6.2E-2</v>
      </c>
      <c r="AU215" s="571">
        <v>124</v>
      </c>
      <c r="AV215" s="625">
        <f t="shared" si="177"/>
        <v>0.248</v>
      </c>
      <c r="AW215" s="1003">
        <v>256</v>
      </c>
      <c r="AX215" s="604">
        <f t="shared" si="178"/>
        <v>256</v>
      </c>
      <c r="AY215" s="604">
        <f t="shared" si="179"/>
        <v>206.45161290322579</v>
      </c>
      <c r="AZ215" s="604">
        <f t="shared" si="194"/>
        <v>100</v>
      </c>
      <c r="BA215" s="592">
        <f t="shared" si="195"/>
        <v>6.2E-2</v>
      </c>
      <c r="BB215" s="592">
        <f t="shared" si="196"/>
        <v>100</v>
      </c>
      <c r="BC215" s="591">
        <v>16855000000</v>
      </c>
      <c r="BD215" s="591">
        <v>0</v>
      </c>
      <c r="BE215" s="591">
        <v>11630000</v>
      </c>
      <c r="BF215" s="591">
        <v>0</v>
      </c>
      <c r="BG215" s="591">
        <v>0</v>
      </c>
      <c r="BH215" s="591">
        <v>0</v>
      </c>
      <c r="BI215" s="591">
        <v>0</v>
      </c>
      <c r="BJ215" s="591">
        <v>5225000000</v>
      </c>
      <c r="BK215" s="700">
        <v>4131433410</v>
      </c>
      <c r="BL215" s="589">
        <v>1249504208</v>
      </c>
      <c r="BM215" s="589">
        <v>0</v>
      </c>
      <c r="BN215" s="589">
        <v>0</v>
      </c>
      <c r="BO215" s="589">
        <v>0</v>
      </c>
      <c r="BP215" s="589">
        <v>0</v>
      </c>
      <c r="BQ215" s="589">
        <v>0</v>
      </c>
      <c r="BR215" s="589">
        <v>2881929202</v>
      </c>
      <c r="BS215" s="589">
        <v>0</v>
      </c>
      <c r="BT215" s="589">
        <v>5498653201</v>
      </c>
      <c r="BU215" s="589">
        <v>0</v>
      </c>
      <c r="BV215" s="588">
        <f t="shared" si="197"/>
        <v>9.35E-2</v>
      </c>
      <c r="BW215" s="588">
        <v>187</v>
      </c>
      <c r="BX215" s="623">
        <f t="shared" si="180"/>
        <v>0.374</v>
      </c>
      <c r="BY215" s="607">
        <v>188</v>
      </c>
      <c r="BZ215" s="629">
        <v>188</v>
      </c>
      <c r="CA215" s="1017">
        <v>270</v>
      </c>
      <c r="CB215" s="557">
        <f t="shared" si="181"/>
        <v>270</v>
      </c>
      <c r="CC215" s="557">
        <f t="shared" si="182"/>
        <v>144.38502673796791</v>
      </c>
      <c r="CD215" s="622">
        <f t="shared" si="198"/>
        <v>100</v>
      </c>
      <c r="CE215" s="621">
        <f t="shared" si="199"/>
        <v>9.35E-2</v>
      </c>
      <c r="CF215" s="605">
        <f t="shared" si="200"/>
        <v>100</v>
      </c>
      <c r="CG215" s="621">
        <f t="shared" si="201"/>
        <v>0.13500000000000001</v>
      </c>
      <c r="CH215" s="553">
        <f t="shared" si="202"/>
        <v>7.6499999999999999E-2</v>
      </c>
      <c r="CI215" s="552">
        <v>153</v>
      </c>
      <c r="CJ215" s="551">
        <f t="shared" si="183"/>
        <v>0.30599999999999999</v>
      </c>
      <c r="CK215" s="871">
        <v>1</v>
      </c>
      <c r="CL215" s="533">
        <f t="shared" si="184"/>
        <v>152</v>
      </c>
      <c r="CM215" s="619">
        <f t="shared" si="185"/>
        <v>1</v>
      </c>
      <c r="CN215" s="619">
        <f t="shared" si="186"/>
        <v>0.65359477124183007</v>
      </c>
      <c r="CO215" s="549">
        <f t="shared" si="203"/>
        <v>0.65359477124183007</v>
      </c>
      <c r="CP215" s="619">
        <f t="shared" si="204"/>
        <v>5.0000000000000001E-4</v>
      </c>
      <c r="CQ215" s="619">
        <f t="shared" si="205"/>
        <v>5.0000000000000001E-4</v>
      </c>
      <c r="CR215" s="546">
        <v>20633000000</v>
      </c>
      <c r="CS215" s="546">
        <v>15408000</v>
      </c>
      <c r="CT215" s="546">
        <v>0</v>
      </c>
      <c r="CU215" s="546">
        <v>0</v>
      </c>
      <c r="CV215" s="546">
        <v>0</v>
      </c>
      <c r="CW215" s="546">
        <v>0</v>
      </c>
      <c r="CX215" s="546">
        <v>0</v>
      </c>
      <c r="CY215" s="546">
        <v>5225000000</v>
      </c>
      <c r="CZ215" s="618">
        <v>0</v>
      </c>
      <c r="DA215" s="618">
        <v>0</v>
      </c>
      <c r="DB215" s="618">
        <v>0</v>
      </c>
      <c r="DC215" s="618">
        <v>0</v>
      </c>
      <c r="DD215" s="618">
        <v>0</v>
      </c>
      <c r="DE215" s="618">
        <v>0</v>
      </c>
      <c r="DF215" s="618">
        <v>0</v>
      </c>
      <c r="DG215" s="618">
        <v>0</v>
      </c>
      <c r="DH215" s="618">
        <v>0</v>
      </c>
      <c r="DI215" s="618">
        <v>0</v>
      </c>
      <c r="DJ215" s="618">
        <v>0</v>
      </c>
      <c r="DK215" s="1034">
        <f t="shared" si="187"/>
        <v>588</v>
      </c>
      <c r="DL215" s="543">
        <f t="shared" si="206"/>
        <v>0.25</v>
      </c>
      <c r="DM215" s="542">
        <f t="shared" si="207"/>
        <v>117.6</v>
      </c>
      <c r="DN215" s="594">
        <f t="shared" si="208"/>
        <v>100</v>
      </c>
      <c r="DO215" s="540">
        <f t="shared" si="209"/>
        <v>0.25</v>
      </c>
      <c r="DP215" s="597">
        <f t="shared" si="217"/>
        <v>0.25</v>
      </c>
      <c r="DQ215" s="538">
        <f t="shared" si="210"/>
        <v>0.25</v>
      </c>
      <c r="DR215" s="617">
        <f t="shared" si="211"/>
        <v>1</v>
      </c>
      <c r="DS215" s="616">
        <f t="shared" si="212"/>
        <v>0</v>
      </c>
      <c r="DT215" s="259">
        <v>257</v>
      </c>
      <c r="DU215" s="260" t="s">
        <v>276</v>
      </c>
      <c r="DV215" s="259"/>
      <c r="DW215" s="260" t="s">
        <v>242</v>
      </c>
      <c r="DX215" s="259"/>
      <c r="DY215" s="259"/>
      <c r="DZ215" s="259"/>
      <c r="EA215" s="987"/>
      <c r="EB215" s="1041" t="s">
        <v>2552</v>
      </c>
      <c r="EC215" s="802">
        <v>20402000000</v>
      </c>
      <c r="EE215" s="1047"/>
    </row>
    <row r="216" spans="4:135" s="534" customFormat="1" ht="76.5" hidden="1" x14ac:dyDescent="0.3">
      <c r="D216" s="783">
        <v>213</v>
      </c>
      <c r="E216" s="799">
        <v>259</v>
      </c>
      <c r="F216" s="787" t="s">
        <v>200</v>
      </c>
      <c r="G216" s="739" t="s">
        <v>15</v>
      </c>
      <c r="H216" s="790" t="s">
        <v>2020</v>
      </c>
      <c r="I216" s="712" t="s">
        <v>742</v>
      </c>
      <c r="J216" s="573" t="s">
        <v>745</v>
      </c>
      <c r="K216" s="573" t="s">
        <v>746</v>
      </c>
      <c r="L216" s="702" t="s">
        <v>2038</v>
      </c>
      <c r="M216" s="571" t="s">
        <v>2017</v>
      </c>
      <c r="N216" s="571">
        <v>0</v>
      </c>
      <c r="O216" s="570">
        <f t="shared" si="216"/>
        <v>1</v>
      </c>
      <c r="P216" s="569">
        <v>1</v>
      </c>
      <c r="Q216" s="628">
        <v>8.8999999999999996E-2</v>
      </c>
      <c r="R216" s="580">
        <f t="shared" si="190"/>
        <v>0</v>
      </c>
      <c r="S216" s="627">
        <v>0</v>
      </c>
      <c r="T216" s="625">
        <f t="shared" si="174"/>
        <v>0</v>
      </c>
      <c r="U216" s="992">
        <v>1</v>
      </c>
      <c r="V216" s="626">
        <f t="shared" si="175"/>
        <v>1</v>
      </c>
      <c r="W216" s="594">
        <f t="shared" si="176"/>
        <v>0</v>
      </c>
      <c r="X216" s="594">
        <f t="shared" si="191"/>
        <v>0</v>
      </c>
      <c r="Y216" s="594">
        <f t="shared" si="215"/>
        <v>0</v>
      </c>
      <c r="Z216" s="594">
        <f t="shared" si="192"/>
        <v>100</v>
      </c>
      <c r="AA216" s="593">
        <v>0</v>
      </c>
      <c r="AB216" s="593">
        <v>0</v>
      </c>
      <c r="AC216" s="593">
        <v>0</v>
      </c>
      <c r="AD216" s="593">
        <v>0</v>
      </c>
      <c r="AE216" s="593">
        <v>0</v>
      </c>
      <c r="AF216" s="593">
        <v>0</v>
      </c>
      <c r="AG216" s="593">
        <v>0</v>
      </c>
      <c r="AH216" s="593">
        <v>0</v>
      </c>
      <c r="AI216" s="593">
        <v>399930000</v>
      </c>
      <c r="AJ216" s="593">
        <v>399930000</v>
      </c>
      <c r="AK216" s="593">
        <v>0</v>
      </c>
      <c r="AL216" s="593">
        <v>0</v>
      </c>
      <c r="AM216" s="593">
        <v>0</v>
      </c>
      <c r="AN216" s="593">
        <v>0</v>
      </c>
      <c r="AO216" s="593">
        <v>0</v>
      </c>
      <c r="AP216" s="593">
        <v>0</v>
      </c>
      <c r="AQ216" s="593">
        <v>0</v>
      </c>
      <c r="AR216" s="593">
        <v>0</v>
      </c>
      <c r="AS216" s="593">
        <v>0</v>
      </c>
      <c r="AT216" s="570">
        <f t="shared" si="193"/>
        <v>8.8999999999999996E-2</v>
      </c>
      <c r="AU216" s="571">
        <v>1</v>
      </c>
      <c r="AV216" s="625">
        <f t="shared" si="177"/>
        <v>1</v>
      </c>
      <c r="AW216" s="1003">
        <v>0</v>
      </c>
      <c r="AX216" s="604">
        <f t="shared" si="178"/>
        <v>0</v>
      </c>
      <c r="AY216" s="604">
        <f t="shared" si="179"/>
        <v>0</v>
      </c>
      <c r="AZ216" s="604">
        <f t="shared" si="194"/>
        <v>0</v>
      </c>
      <c r="BA216" s="592">
        <f t="shared" si="195"/>
        <v>0</v>
      </c>
      <c r="BB216" s="592">
        <f t="shared" si="196"/>
        <v>0</v>
      </c>
      <c r="BC216" s="591">
        <v>0</v>
      </c>
      <c r="BD216" s="591">
        <v>0</v>
      </c>
      <c r="BE216" s="591">
        <v>0</v>
      </c>
      <c r="BF216" s="591">
        <v>0</v>
      </c>
      <c r="BG216" s="591">
        <v>0</v>
      </c>
      <c r="BH216" s="591">
        <v>0</v>
      </c>
      <c r="BI216" s="591">
        <v>0</v>
      </c>
      <c r="BJ216" s="591">
        <v>0</v>
      </c>
      <c r="BK216" s="700">
        <v>0</v>
      </c>
      <c r="BL216" s="589">
        <v>0</v>
      </c>
      <c r="BM216" s="589">
        <v>0</v>
      </c>
      <c r="BN216" s="589">
        <v>0</v>
      </c>
      <c r="BO216" s="589">
        <v>0</v>
      </c>
      <c r="BP216" s="589">
        <v>0</v>
      </c>
      <c r="BQ216" s="589">
        <v>0</v>
      </c>
      <c r="BR216" s="589">
        <v>0</v>
      </c>
      <c r="BS216" s="589">
        <v>0</v>
      </c>
      <c r="BT216" s="589">
        <v>0</v>
      </c>
      <c r="BU216" s="589">
        <v>0</v>
      </c>
      <c r="BV216" s="588">
        <f t="shared" si="197"/>
        <v>0</v>
      </c>
      <c r="BW216" s="588">
        <v>0</v>
      </c>
      <c r="BX216" s="623">
        <f t="shared" si="180"/>
        <v>0</v>
      </c>
      <c r="BY216" s="607">
        <v>0</v>
      </c>
      <c r="BZ216" s="629">
        <v>0</v>
      </c>
      <c r="CA216" s="1017">
        <v>0</v>
      </c>
      <c r="CB216" s="557">
        <f t="shared" si="181"/>
        <v>0</v>
      </c>
      <c r="CC216" s="557">
        <f t="shared" si="182"/>
        <v>0</v>
      </c>
      <c r="CD216" s="622">
        <f t="shared" si="198"/>
        <v>0</v>
      </c>
      <c r="CE216" s="621">
        <f t="shared" si="199"/>
        <v>0</v>
      </c>
      <c r="CF216" s="605">
        <f t="shared" si="200"/>
        <v>0</v>
      </c>
      <c r="CG216" s="621">
        <f t="shared" si="201"/>
        <v>0</v>
      </c>
      <c r="CH216" s="553">
        <f t="shared" si="202"/>
        <v>0</v>
      </c>
      <c r="CI216" s="552">
        <v>0</v>
      </c>
      <c r="CJ216" s="551">
        <f t="shared" si="183"/>
        <v>0</v>
      </c>
      <c r="CK216" s="871">
        <v>0</v>
      </c>
      <c r="CL216" s="533">
        <f t="shared" si="184"/>
        <v>0</v>
      </c>
      <c r="CM216" s="619">
        <f t="shared" si="185"/>
        <v>0</v>
      </c>
      <c r="CN216" s="619">
        <f t="shared" si="186"/>
        <v>0</v>
      </c>
      <c r="CO216" s="549">
        <f t="shared" si="203"/>
        <v>0</v>
      </c>
      <c r="CP216" s="619">
        <f t="shared" si="204"/>
        <v>0</v>
      </c>
      <c r="CQ216" s="619">
        <f t="shared" si="205"/>
        <v>0</v>
      </c>
      <c r="CR216" s="546">
        <v>0</v>
      </c>
      <c r="CS216" s="546">
        <v>0</v>
      </c>
      <c r="CT216" s="546">
        <v>0</v>
      </c>
      <c r="CU216" s="546">
        <v>0</v>
      </c>
      <c r="CV216" s="546">
        <v>0</v>
      </c>
      <c r="CW216" s="546">
        <v>0</v>
      </c>
      <c r="CX216" s="546">
        <v>0</v>
      </c>
      <c r="CY216" s="546">
        <v>0</v>
      </c>
      <c r="CZ216" s="618">
        <v>0</v>
      </c>
      <c r="DA216" s="618">
        <v>0</v>
      </c>
      <c r="DB216" s="618">
        <v>0</v>
      </c>
      <c r="DC216" s="618">
        <v>0</v>
      </c>
      <c r="DD216" s="618">
        <v>0</v>
      </c>
      <c r="DE216" s="618">
        <v>0</v>
      </c>
      <c r="DF216" s="618">
        <v>0</v>
      </c>
      <c r="DG216" s="618">
        <v>0</v>
      </c>
      <c r="DH216" s="618">
        <v>0</v>
      </c>
      <c r="DI216" s="618">
        <v>0</v>
      </c>
      <c r="DJ216" s="618">
        <v>0</v>
      </c>
      <c r="DK216" s="1034">
        <f t="shared" si="187"/>
        <v>1</v>
      </c>
      <c r="DL216" s="543">
        <f t="shared" si="206"/>
        <v>8.8999999999999996E-2</v>
      </c>
      <c r="DM216" s="542">
        <f t="shared" si="207"/>
        <v>100</v>
      </c>
      <c r="DN216" s="594">
        <f t="shared" si="208"/>
        <v>100</v>
      </c>
      <c r="DO216" s="540">
        <f t="shared" si="209"/>
        <v>8.900000000000001E-2</v>
      </c>
      <c r="DP216" s="597">
        <f t="shared" si="217"/>
        <v>8.8999999999999996E-2</v>
      </c>
      <c r="DQ216" s="538">
        <f t="shared" si="210"/>
        <v>8.8999999999999996E-2</v>
      </c>
      <c r="DR216" s="617">
        <f t="shared" si="211"/>
        <v>1</v>
      </c>
      <c r="DS216" s="616">
        <f t="shared" si="212"/>
        <v>0</v>
      </c>
      <c r="DT216" s="259">
        <v>257</v>
      </c>
      <c r="DU216" s="260" t="s">
        <v>276</v>
      </c>
      <c r="DV216" s="259"/>
      <c r="DW216" s="260" t="s">
        <v>242</v>
      </c>
      <c r="DX216" s="259"/>
      <c r="DY216" s="259"/>
      <c r="DZ216" s="259"/>
      <c r="EA216" s="987"/>
      <c r="EB216" s="1041" t="s">
        <v>2553</v>
      </c>
      <c r="EC216" s="802">
        <v>0</v>
      </c>
      <c r="EE216" s="1047"/>
    </row>
    <row r="217" spans="4:135" s="534" customFormat="1" ht="89.25" hidden="1" x14ac:dyDescent="0.3">
      <c r="D217" s="783">
        <v>214</v>
      </c>
      <c r="E217" s="799">
        <v>261</v>
      </c>
      <c r="F217" s="787" t="s">
        <v>200</v>
      </c>
      <c r="G217" s="739" t="s">
        <v>15</v>
      </c>
      <c r="H217" s="790" t="s">
        <v>2020</v>
      </c>
      <c r="I217" s="712" t="s">
        <v>742</v>
      </c>
      <c r="J217" s="573" t="s">
        <v>747</v>
      </c>
      <c r="K217" s="573" t="s">
        <v>748</v>
      </c>
      <c r="L217" s="702" t="s">
        <v>2012</v>
      </c>
      <c r="M217" s="571" t="s">
        <v>2017</v>
      </c>
      <c r="N217" s="571">
        <v>2</v>
      </c>
      <c r="O217" s="570">
        <f t="shared" si="216"/>
        <v>8</v>
      </c>
      <c r="P217" s="569">
        <v>6</v>
      </c>
      <c r="Q217" s="628">
        <v>0.25</v>
      </c>
      <c r="R217" s="580">
        <f t="shared" si="190"/>
        <v>8.3333333333333329E-2</v>
      </c>
      <c r="S217" s="627">
        <v>2</v>
      </c>
      <c r="T217" s="625">
        <f t="shared" si="174"/>
        <v>0.33333333333333331</v>
      </c>
      <c r="U217" s="992">
        <v>2</v>
      </c>
      <c r="V217" s="626">
        <f t="shared" si="175"/>
        <v>2</v>
      </c>
      <c r="W217" s="594">
        <f t="shared" si="176"/>
        <v>100</v>
      </c>
      <c r="X217" s="594">
        <f t="shared" si="191"/>
        <v>100</v>
      </c>
      <c r="Y217" s="594">
        <f t="shared" si="215"/>
        <v>8.3333333333333315E-2</v>
      </c>
      <c r="Z217" s="594">
        <f t="shared" si="192"/>
        <v>100</v>
      </c>
      <c r="AA217" s="593">
        <v>540000000</v>
      </c>
      <c r="AB217" s="593">
        <v>540000000</v>
      </c>
      <c r="AC217" s="593">
        <v>0</v>
      </c>
      <c r="AD217" s="593">
        <v>0</v>
      </c>
      <c r="AE217" s="593">
        <v>0</v>
      </c>
      <c r="AF217" s="593">
        <v>0</v>
      </c>
      <c r="AG217" s="593">
        <v>0</v>
      </c>
      <c r="AH217" s="593">
        <v>0</v>
      </c>
      <c r="AI217" s="593">
        <v>15494689000</v>
      </c>
      <c r="AJ217" s="593">
        <v>15494689000</v>
      </c>
      <c r="AK217" s="593">
        <v>0</v>
      </c>
      <c r="AL217" s="593">
        <v>0</v>
      </c>
      <c r="AM217" s="593">
        <v>0</v>
      </c>
      <c r="AN217" s="593">
        <v>0</v>
      </c>
      <c r="AO217" s="593">
        <v>0</v>
      </c>
      <c r="AP217" s="593">
        <v>0</v>
      </c>
      <c r="AQ217" s="593">
        <v>0</v>
      </c>
      <c r="AR217" s="593">
        <v>0</v>
      </c>
      <c r="AS217" s="593">
        <v>0</v>
      </c>
      <c r="AT217" s="570">
        <f t="shared" si="193"/>
        <v>8.3333333333333329E-2</v>
      </c>
      <c r="AU217" s="571">
        <v>2</v>
      </c>
      <c r="AV217" s="625">
        <f t="shared" si="177"/>
        <v>0.33333333333333331</v>
      </c>
      <c r="AW217" s="1003">
        <v>3</v>
      </c>
      <c r="AX217" s="604">
        <f t="shared" si="178"/>
        <v>3</v>
      </c>
      <c r="AY217" s="604">
        <f t="shared" si="179"/>
        <v>150</v>
      </c>
      <c r="AZ217" s="604">
        <f t="shared" si="194"/>
        <v>100</v>
      </c>
      <c r="BA217" s="592">
        <f t="shared" si="195"/>
        <v>8.3333333333333315E-2</v>
      </c>
      <c r="BB217" s="592">
        <f t="shared" si="196"/>
        <v>100</v>
      </c>
      <c r="BC217" s="591">
        <v>170000000</v>
      </c>
      <c r="BD217" s="591">
        <v>0</v>
      </c>
      <c r="BE217" s="591">
        <v>170000000</v>
      </c>
      <c r="BF217" s="591">
        <v>0</v>
      </c>
      <c r="BG217" s="591">
        <v>0</v>
      </c>
      <c r="BH217" s="591">
        <v>0</v>
      </c>
      <c r="BI217" s="591">
        <v>0</v>
      </c>
      <c r="BJ217" s="591">
        <v>0</v>
      </c>
      <c r="BK217" s="700">
        <v>5952593664</v>
      </c>
      <c r="BL217" s="589">
        <v>5754022234</v>
      </c>
      <c r="BM217" s="589">
        <v>0</v>
      </c>
      <c r="BN217" s="589">
        <v>0</v>
      </c>
      <c r="BO217" s="589">
        <v>0</v>
      </c>
      <c r="BP217" s="589">
        <v>0</v>
      </c>
      <c r="BQ217" s="589">
        <v>0</v>
      </c>
      <c r="BR217" s="589">
        <v>198571430</v>
      </c>
      <c r="BS217" s="589">
        <v>0</v>
      </c>
      <c r="BT217" s="589">
        <v>0</v>
      </c>
      <c r="BU217" s="589">
        <v>0</v>
      </c>
      <c r="BV217" s="588">
        <f t="shared" si="197"/>
        <v>8.3333333333333329E-2</v>
      </c>
      <c r="BW217" s="588">
        <v>2</v>
      </c>
      <c r="BX217" s="623">
        <f t="shared" si="180"/>
        <v>0.33333333333333331</v>
      </c>
      <c r="BY217" s="607">
        <v>0</v>
      </c>
      <c r="BZ217" s="629">
        <v>0</v>
      </c>
      <c r="CA217" s="1017">
        <v>4</v>
      </c>
      <c r="CB217" s="557">
        <f t="shared" si="181"/>
        <v>4</v>
      </c>
      <c r="CC217" s="557">
        <f t="shared" si="182"/>
        <v>200</v>
      </c>
      <c r="CD217" s="622">
        <f t="shared" si="198"/>
        <v>100</v>
      </c>
      <c r="CE217" s="621">
        <f t="shared" si="199"/>
        <v>8.3333333333333315E-2</v>
      </c>
      <c r="CF217" s="605">
        <f t="shared" si="200"/>
        <v>100</v>
      </c>
      <c r="CG217" s="621">
        <f t="shared" si="201"/>
        <v>0.16666666666666663</v>
      </c>
      <c r="CH217" s="553">
        <f t="shared" si="202"/>
        <v>0</v>
      </c>
      <c r="CI217" s="552">
        <v>0</v>
      </c>
      <c r="CJ217" s="551">
        <f t="shared" si="183"/>
        <v>0</v>
      </c>
      <c r="CK217" s="874">
        <v>0</v>
      </c>
      <c r="CL217" s="533">
        <f t="shared" si="184"/>
        <v>0</v>
      </c>
      <c r="CM217" s="619">
        <f t="shared" si="185"/>
        <v>0</v>
      </c>
      <c r="CN217" s="619">
        <f t="shared" si="186"/>
        <v>0</v>
      </c>
      <c r="CO217" s="549">
        <f t="shared" si="203"/>
        <v>0</v>
      </c>
      <c r="CP217" s="619">
        <f t="shared" si="204"/>
        <v>0</v>
      </c>
      <c r="CQ217" s="619">
        <f t="shared" si="205"/>
        <v>0</v>
      </c>
      <c r="CR217" s="546">
        <v>1500000000</v>
      </c>
      <c r="CS217" s="546">
        <v>1500000000</v>
      </c>
      <c r="CT217" s="546">
        <v>0</v>
      </c>
      <c r="CU217" s="546">
        <v>0</v>
      </c>
      <c r="CV217" s="546">
        <v>0</v>
      </c>
      <c r="CW217" s="546">
        <v>0</v>
      </c>
      <c r="CX217" s="546">
        <v>0</v>
      </c>
      <c r="CY217" s="546">
        <v>0</v>
      </c>
      <c r="CZ217" s="618">
        <v>0</v>
      </c>
      <c r="DA217" s="618">
        <v>0</v>
      </c>
      <c r="DB217" s="618">
        <v>0</v>
      </c>
      <c r="DC217" s="618">
        <v>0</v>
      </c>
      <c r="DD217" s="618">
        <v>0</v>
      </c>
      <c r="DE217" s="618">
        <v>0</v>
      </c>
      <c r="DF217" s="618">
        <v>0</v>
      </c>
      <c r="DG217" s="618">
        <v>0</v>
      </c>
      <c r="DH217" s="618">
        <v>0</v>
      </c>
      <c r="DI217" s="618">
        <v>0</v>
      </c>
      <c r="DJ217" s="618">
        <v>0</v>
      </c>
      <c r="DK217" s="1034">
        <f t="shared" si="187"/>
        <v>9</v>
      </c>
      <c r="DL217" s="543">
        <f t="shared" si="206"/>
        <v>0.25</v>
      </c>
      <c r="DM217" s="542">
        <f t="shared" si="207"/>
        <v>150</v>
      </c>
      <c r="DN217" s="594">
        <f t="shared" si="208"/>
        <v>100</v>
      </c>
      <c r="DO217" s="540">
        <f t="shared" si="209"/>
        <v>0.25</v>
      </c>
      <c r="DP217" s="597">
        <f t="shared" si="217"/>
        <v>0.25</v>
      </c>
      <c r="DQ217" s="538">
        <f t="shared" si="210"/>
        <v>0.25</v>
      </c>
      <c r="DR217" s="617">
        <f t="shared" si="211"/>
        <v>1</v>
      </c>
      <c r="DS217" s="616">
        <f t="shared" si="212"/>
        <v>2.7755575615628914E-17</v>
      </c>
      <c r="DT217" s="259">
        <v>257</v>
      </c>
      <c r="DU217" s="260" t="s">
        <v>276</v>
      </c>
      <c r="DV217" s="259"/>
      <c r="DW217" s="260" t="s">
        <v>242</v>
      </c>
      <c r="DX217" s="259"/>
      <c r="DY217" s="259"/>
      <c r="DZ217" s="259"/>
      <c r="EA217" s="987"/>
      <c r="EB217" s="1041" t="s">
        <v>2554</v>
      </c>
      <c r="EC217" s="802">
        <v>1300000000</v>
      </c>
      <c r="EE217" s="1047"/>
    </row>
    <row r="218" spans="4:135" s="534" customFormat="1" ht="89.25" hidden="1" x14ac:dyDescent="0.3">
      <c r="D218" s="783">
        <v>215</v>
      </c>
      <c r="E218" s="799">
        <v>262</v>
      </c>
      <c r="F218" s="787" t="s">
        <v>200</v>
      </c>
      <c r="G218" s="739" t="s">
        <v>15</v>
      </c>
      <c r="H218" s="790" t="s">
        <v>2020</v>
      </c>
      <c r="I218" s="712" t="s">
        <v>742</v>
      </c>
      <c r="J218" s="573" t="s">
        <v>749</v>
      </c>
      <c r="K218" s="573" t="s">
        <v>750</v>
      </c>
      <c r="L218" s="701" t="s">
        <v>1582</v>
      </c>
      <c r="M218" s="571" t="s">
        <v>2017</v>
      </c>
      <c r="N218" s="571">
        <v>11</v>
      </c>
      <c r="O218" s="570">
        <f t="shared" si="216"/>
        <v>36</v>
      </c>
      <c r="P218" s="569">
        <v>25</v>
      </c>
      <c r="Q218" s="628">
        <v>0.16500000000000001</v>
      </c>
      <c r="R218" s="580">
        <f t="shared" si="190"/>
        <v>7.9200000000000007E-2</v>
      </c>
      <c r="S218" s="627">
        <v>12</v>
      </c>
      <c r="T218" s="625">
        <f t="shared" si="174"/>
        <v>0.48</v>
      </c>
      <c r="U218" s="992">
        <v>0</v>
      </c>
      <c r="V218" s="626">
        <f t="shared" si="175"/>
        <v>0</v>
      </c>
      <c r="W218" s="594">
        <f t="shared" si="176"/>
        <v>0</v>
      </c>
      <c r="X218" s="594">
        <f t="shared" si="191"/>
        <v>0</v>
      </c>
      <c r="Y218" s="594">
        <f t="shared" si="215"/>
        <v>0</v>
      </c>
      <c r="Z218" s="594">
        <f t="shared" si="192"/>
        <v>0</v>
      </c>
      <c r="AA218" s="593">
        <v>540000000</v>
      </c>
      <c r="AB218" s="593">
        <v>540000000</v>
      </c>
      <c r="AC218" s="593">
        <v>0</v>
      </c>
      <c r="AD218" s="593">
        <v>0</v>
      </c>
      <c r="AE218" s="593">
        <v>0</v>
      </c>
      <c r="AF218" s="593">
        <v>0</v>
      </c>
      <c r="AG218" s="593">
        <v>0</v>
      </c>
      <c r="AH218" s="593">
        <v>0</v>
      </c>
      <c r="AI218" s="593">
        <v>0</v>
      </c>
      <c r="AJ218" s="593">
        <v>0</v>
      </c>
      <c r="AK218" s="593">
        <v>0</v>
      </c>
      <c r="AL218" s="593">
        <v>0</v>
      </c>
      <c r="AM218" s="593">
        <v>0</v>
      </c>
      <c r="AN218" s="593">
        <v>0</v>
      </c>
      <c r="AO218" s="593">
        <v>0</v>
      </c>
      <c r="AP218" s="593">
        <v>0</v>
      </c>
      <c r="AQ218" s="593">
        <v>0</v>
      </c>
      <c r="AR218" s="593">
        <v>0</v>
      </c>
      <c r="AS218" s="593">
        <v>0</v>
      </c>
      <c r="AT218" s="570">
        <f t="shared" si="193"/>
        <v>1.3200000000000002E-2</v>
      </c>
      <c r="AU218" s="571">
        <v>2</v>
      </c>
      <c r="AV218" s="625">
        <f t="shared" si="177"/>
        <v>0.08</v>
      </c>
      <c r="AW218" s="1003">
        <v>12</v>
      </c>
      <c r="AX218" s="604">
        <f t="shared" si="178"/>
        <v>12</v>
      </c>
      <c r="AY218" s="604">
        <f t="shared" si="179"/>
        <v>600</v>
      </c>
      <c r="AZ218" s="604">
        <f t="shared" si="194"/>
        <v>100</v>
      </c>
      <c r="BA218" s="592">
        <f t="shared" si="195"/>
        <v>1.32E-2</v>
      </c>
      <c r="BB218" s="592">
        <f t="shared" si="196"/>
        <v>100</v>
      </c>
      <c r="BC218" s="591">
        <v>200000000</v>
      </c>
      <c r="BD218" s="591">
        <v>0</v>
      </c>
      <c r="BE218" s="591">
        <v>200000000</v>
      </c>
      <c r="BF218" s="591">
        <v>0</v>
      </c>
      <c r="BG218" s="591">
        <v>0</v>
      </c>
      <c r="BH218" s="591">
        <v>0</v>
      </c>
      <c r="BI218" s="591">
        <v>0</v>
      </c>
      <c r="BJ218" s="591">
        <v>0</v>
      </c>
      <c r="BK218" s="700">
        <v>29806494</v>
      </c>
      <c r="BL218" s="589">
        <v>29806494</v>
      </c>
      <c r="BM218" s="589">
        <v>0</v>
      </c>
      <c r="BN218" s="589">
        <v>0</v>
      </c>
      <c r="BO218" s="589">
        <v>0</v>
      </c>
      <c r="BP218" s="589">
        <v>0</v>
      </c>
      <c r="BQ218" s="589">
        <v>0</v>
      </c>
      <c r="BR218" s="589">
        <v>0</v>
      </c>
      <c r="BS218" s="589">
        <v>0</v>
      </c>
      <c r="BT218" s="589">
        <v>0</v>
      </c>
      <c r="BU218" s="589">
        <v>0</v>
      </c>
      <c r="BV218" s="588">
        <f t="shared" si="197"/>
        <v>3.9600000000000003E-2</v>
      </c>
      <c r="BW218" s="588">
        <v>6</v>
      </c>
      <c r="BX218" s="623">
        <f t="shared" si="180"/>
        <v>0.24</v>
      </c>
      <c r="BY218" s="607">
        <v>0</v>
      </c>
      <c r="BZ218" s="629">
        <v>0</v>
      </c>
      <c r="CA218" s="1017">
        <v>12</v>
      </c>
      <c r="CB218" s="557">
        <f t="shared" si="181"/>
        <v>12</v>
      </c>
      <c r="CC218" s="557">
        <f t="shared" si="182"/>
        <v>200</v>
      </c>
      <c r="CD218" s="622">
        <f t="shared" si="198"/>
        <v>100</v>
      </c>
      <c r="CE218" s="621">
        <f t="shared" si="199"/>
        <v>3.9600000000000003E-2</v>
      </c>
      <c r="CF218" s="605">
        <f t="shared" si="200"/>
        <v>100</v>
      </c>
      <c r="CG218" s="621">
        <f t="shared" si="201"/>
        <v>7.9200000000000007E-2</v>
      </c>
      <c r="CH218" s="553">
        <f t="shared" si="202"/>
        <v>3.3000000000000002E-2</v>
      </c>
      <c r="CI218" s="552">
        <v>5</v>
      </c>
      <c r="CJ218" s="551">
        <f t="shared" si="183"/>
        <v>0.2</v>
      </c>
      <c r="CK218" s="874">
        <v>0</v>
      </c>
      <c r="CL218" s="533">
        <f t="shared" si="184"/>
        <v>5</v>
      </c>
      <c r="CM218" s="619">
        <f t="shared" si="185"/>
        <v>0</v>
      </c>
      <c r="CN218" s="619">
        <f t="shared" si="186"/>
        <v>0</v>
      </c>
      <c r="CO218" s="549">
        <f t="shared" si="203"/>
        <v>0</v>
      </c>
      <c r="CP218" s="619">
        <f t="shared" si="204"/>
        <v>0</v>
      </c>
      <c r="CQ218" s="619">
        <f t="shared" si="205"/>
        <v>0</v>
      </c>
      <c r="CR218" s="546">
        <v>410000000</v>
      </c>
      <c r="CS218" s="546">
        <v>410000000</v>
      </c>
      <c r="CT218" s="546">
        <v>0</v>
      </c>
      <c r="CU218" s="546">
        <v>0</v>
      </c>
      <c r="CV218" s="546">
        <v>0</v>
      </c>
      <c r="CW218" s="546">
        <v>0</v>
      </c>
      <c r="CX218" s="546">
        <v>0</v>
      </c>
      <c r="CY218" s="546">
        <v>0</v>
      </c>
      <c r="CZ218" s="618">
        <v>0</v>
      </c>
      <c r="DA218" s="618">
        <v>0</v>
      </c>
      <c r="DB218" s="618">
        <v>0</v>
      </c>
      <c r="DC218" s="618">
        <v>0</v>
      </c>
      <c r="DD218" s="618">
        <v>0</v>
      </c>
      <c r="DE218" s="618">
        <v>0</v>
      </c>
      <c r="DF218" s="618">
        <v>0</v>
      </c>
      <c r="DG218" s="618">
        <v>0</v>
      </c>
      <c r="DH218" s="618">
        <v>0</v>
      </c>
      <c r="DI218" s="618">
        <v>0</v>
      </c>
      <c r="DJ218" s="618">
        <v>0</v>
      </c>
      <c r="DK218" s="1034">
        <f t="shared" si="187"/>
        <v>24</v>
      </c>
      <c r="DL218" s="543">
        <f t="shared" si="206"/>
        <v>0.16500000000000001</v>
      </c>
      <c r="DM218" s="542">
        <f t="shared" si="207"/>
        <v>96</v>
      </c>
      <c r="DN218" s="594">
        <f t="shared" si="208"/>
        <v>96</v>
      </c>
      <c r="DO218" s="540">
        <f t="shared" si="209"/>
        <v>0.15839999999999999</v>
      </c>
      <c r="DP218" s="597">
        <f t="shared" si="217"/>
        <v>0.15839999999999999</v>
      </c>
      <c r="DQ218" s="538">
        <f t="shared" si="210"/>
        <v>0.15839999999999999</v>
      </c>
      <c r="DR218" s="617">
        <f t="shared" si="211"/>
        <v>1</v>
      </c>
      <c r="DS218" s="616">
        <f t="shared" si="212"/>
        <v>0</v>
      </c>
      <c r="DT218" s="259">
        <v>257</v>
      </c>
      <c r="DU218" s="260" t="s">
        <v>276</v>
      </c>
      <c r="DV218" s="259"/>
      <c r="DW218" s="260" t="s">
        <v>242</v>
      </c>
      <c r="DX218" s="259"/>
      <c r="DY218" s="259"/>
      <c r="DZ218" s="259"/>
      <c r="EA218" s="987"/>
      <c r="EB218" s="1041" t="s">
        <v>2555</v>
      </c>
      <c r="EC218" s="802">
        <v>500000000</v>
      </c>
      <c r="EE218" s="1047"/>
    </row>
    <row r="219" spans="4:135" s="534" customFormat="1" ht="127.5" hidden="1" x14ac:dyDescent="0.3">
      <c r="D219" s="783">
        <v>216</v>
      </c>
      <c r="E219" s="799">
        <v>263</v>
      </c>
      <c r="F219" s="787" t="s">
        <v>200</v>
      </c>
      <c r="G219" s="739" t="s">
        <v>15</v>
      </c>
      <c r="H219" s="790" t="s">
        <v>2020</v>
      </c>
      <c r="I219" s="712" t="s">
        <v>742</v>
      </c>
      <c r="J219" s="573" t="s">
        <v>751</v>
      </c>
      <c r="K219" s="573" t="s">
        <v>752</v>
      </c>
      <c r="L219" s="702" t="s">
        <v>2212</v>
      </c>
      <c r="M219" s="571" t="s">
        <v>2017</v>
      </c>
      <c r="N219" s="571">
        <v>205</v>
      </c>
      <c r="O219" s="570">
        <f t="shared" si="216"/>
        <v>255</v>
      </c>
      <c r="P219" s="569">
        <v>50</v>
      </c>
      <c r="Q219" s="628">
        <v>0.16500000000000001</v>
      </c>
      <c r="R219" s="580">
        <f t="shared" si="190"/>
        <v>3.9600000000000003E-2</v>
      </c>
      <c r="S219" s="627">
        <v>12</v>
      </c>
      <c r="T219" s="625">
        <f t="shared" si="174"/>
        <v>0.24</v>
      </c>
      <c r="U219" s="992">
        <v>37</v>
      </c>
      <c r="V219" s="626">
        <f t="shared" si="175"/>
        <v>37</v>
      </c>
      <c r="W219" s="594">
        <f t="shared" si="176"/>
        <v>308.33333333333331</v>
      </c>
      <c r="X219" s="594">
        <f t="shared" si="191"/>
        <v>100</v>
      </c>
      <c r="Y219" s="594">
        <f t="shared" si="215"/>
        <v>3.9600000000000003E-2</v>
      </c>
      <c r="Z219" s="594">
        <f t="shared" si="192"/>
        <v>100</v>
      </c>
      <c r="AA219" s="593">
        <v>4687000000</v>
      </c>
      <c r="AB219" s="593">
        <v>4687000000</v>
      </c>
      <c r="AC219" s="593">
        <v>0</v>
      </c>
      <c r="AD219" s="593">
        <v>0</v>
      </c>
      <c r="AE219" s="593">
        <v>0</v>
      </c>
      <c r="AF219" s="593">
        <v>0</v>
      </c>
      <c r="AG219" s="593">
        <v>0</v>
      </c>
      <c r="AH219" s="593">
        <v>0</v>
      </c>
      <c r="AI219" s="593">
        <v>13222670000</v>
      </c>
      <c r="AJ219" s="593">
        <v>10154355000</v>
      </c>
      <c r="AK219" s="593">
        <v>0</v>
      </c>
      <c r="AL219" s="593">
        <v>0</v>
      </c>
      <c r="AM219" s="593">
        <v>0</v>
      </c>
      <c r="AN219" s="593">
        <v>0</v>
      </c>
      <c r="AO219" s="593">
        <v>3068315000</v>
      </c>
      <c r="AP219" s="593">
        <v>0</v>
      </c>
      <c r="AQ219" s="593">
        <v>0</v>
      </c>
      <c r="AR219" s="593">
        <v>0</v>
      </c>
      <c r="AS219" s="593">
        <v>0</v>
      </c>
      <c r="AT219" s="570">
        <f t="shared" si="193"/>
        <v>2.6400000000000003E-2</v>
      </c>
      <c r="AU219" s="571">
        <v>8</v>
      </c>
      <c r="AV219" s="625">
        <f t="shared" si="177"/>
        <v>0.16</v>
      </c>
      <c r="AW219" s="1003">
        <v>10</v>
      </c>
      <c r="AX219" s="604">
        <f t="shared" si="178"/>
        <v>10</v>
      </c>
      <c r="AY219" s="604">
        <f t="shared" si="179"/>
        <v>125</v>
      </c>
      <c r="AZ219" s="604">
        <f t="shared" si="194"/>
        <v>100</v>
      </c>
      <c r="BA219" s="592">
        <f t="shared" si="195"/>
        <v>2.64E-2</v>
      </c>
      <c r="BB219" s="592">
        <f t="shared" si="196"/>
        <v>100</v>
      </c>
      <c r="BC219" s="591">
        <v>3100000000</v>
      </c>
      <c r="BD219" s="591">
        <v>0</v>
      </c>
      <c r="BE219" s="591">
        <v>1600000000</v>
      </c>
      <c r="BF219" s="591">
        <v>0</v>
      </c>
      <c r="BG219" s="591">
        <v>0</v>
      </c>
      <c r="BH219" s="591">
        <v>0</v>
      </c>
      <c r="BI219" s="591">
        <v>0</v>
      </c>
      <c r="BJ219" s="591">
        <v>1500000000</v>
      </c>
      <c r="BK219" s="700">
        <v>10093086536</v>
      </c>
      <c r="BL219" s="589">
        <v>3354712683</v>
      </c>
      <c r="BM219" s="589">
        <v>0</v>
      </c>
      <c r="BN219" s="589">
        <v>0</v>
      </c>
      <c r="BO219" s="589">
        <v>0</v>
      </c>
      <c r="BP219" s="589">
        <v>0</v>
      </c>
      <c r="BQ219" s="589">
        <v>0</v>
      </c>
      <c r="BR219" s="589">
        <v>6738373853</v>
      </c>
      <c r="BS219" s="589">
        <v>0</v>
      </c>
      <c r="BT219" s="589">
        <v>183949840</v>
      </c>
      <c r="BU219" s="589">
        <v>0</v>
      </c>
      <c r="BV219" s="588">
        <f t="shared" si="197"/>
        <v>4.9500000000000002E-2</v>
      </c>
      <c r="BW219" s="588">
        <v>15</v>
      </c>
      <c r="BX219" s="623">
        <f t="shared" si="180"/>
        <v>0.3</v>
      </c>
      <c r="BY219" s="640">
        <v>1</v>
      </c>
      <c r="BZ219" s="656">
        <v>2</v>
      </c>
      <c r="CA219" s="1019">
        <v>22</v>
      </c>
      <c r="CB219" s="557">
        <f t="shared" si="181"/>
        <v>22</v>
      </c>
      <c r="CC219" s="557">
        <f t="shared" si="182"/>
        <v>146.66666666666666</v>
      </c>
      <c r="CD219" s="622">
        <f t="shared" si="198"/>
        <v>100</v>
      </c>
      <c r="CE219" s="621">
        <f t="shared" si="199"/>
        <v>4.9500000000000002E-2</v>
      </c>
      <c r="CF219" s="605">
        <f t="shared" si="200"/>
        <v>100</v>
      </c>
      <c r="CG219" s="621">
        <f t="shared" si="201"/>
        <v>7.2599999999999998E-2</v>
      </c>
      <c r="CH219" s="553">
        <f t="shared" si="202"/>
        <v>4.9500000000000002E-2</v>
      </c>
      <c r="CI219" s="552">
        <v>15</v>
      </c>
      <c r="CJ219" s="551">
        <f t="shared" si="183"/>
        <v>0.3</v>
      </c>
      <c r="CK219" s="874">
        <v>1</v>
      </c>
      <c r="CL219" s="533">
        <f t="shared" si="184"/>
        <v>14</v>
      </c>
      <c r="CM219" s="619">
        <f t="shared" si="185"/>
        <v>1</v>
      </c>
      <c r="CN219" s="619">
        <f t="shared" si="186"/>
        <v>6.666666666666667</v>
      </c>
      <c r="CO219" s="549">
        <f t="shared" si="203"/>
        <v>6.666666666666667</v>
      </c>
      <c r="CP219" s="619">
        <f t="shared" si="204"/>
        <v>3.3E-3</v>
      </c>
      <c r="CQ219" s="619">
        <f t="shared" si="205"/>
        <v>3.3E-3</v>
      </c>
      <c r="CR219" s="546">
        <v>4500000000</v>
      </c>
      <c r="CS219" s="546">
        <v>3000000000</v>
      </c>
      <c r="CT219" s="546">
        <v>0</v>
      </c>
      <c r="CU219" s="546">
        <v>0</v>
      </c>
      <c r="CV219" s="546">
        <v>0</v>
      </c>
      <c r="CW219" s="546">
        <v>0</v>
      </c>
      <c r="CX219" s="546">
        <v>0</v>
      </c>
      <c r="CY219" s="546">
        <v>1500000000</v>
      </c>
      <c r="CZ219" s="618">
        <v>0</v>
      </c>
      <c r="DA219" s="618">
        <v>0</v>
      </c>
      <c r="DB219" s="618">
        <v>0</v>
      </c>
      <c r="DC219" s="618">
        <v>0</v>
      </c>
      <c r="DD219" s="618">
        <v>0</v>
      </c>
      <c r="DE219" s="618">
        <v>0</v>
      </c>
      <c r="DF219" s="618">
        <v>0</v>
      </c>
      <c r="DG219" s="618">
        <v>0</v>
      </c>
      <c r="DH219" s="618">
        <v>0</v>
      </c>
      <c r="DI219" s="618">
        <v>0</v>
      </c>
      <c r="DJ219" s="618">
        <v>0</v>
      </c>
      <c r="DK219" s="1034">
        <f t="shared" si="187"/>
        <v>70</v>
      </c>
      <c r="DL219" s="543">
        <f t="shared" si="206"/>
        <v>0.16500000000000001</v>
      </c>
      <c r="DM219" s="542">
        <f t="shared" si="207"/>
        <v>140</v>
      </c>
      <c r="DN219" s="594">
        <f t="shared" si="208"/>
        <v>100</v>
      </c>
      <c r="DO219" s="540">
        <f t="shared" si="209"/>
        <v>0.16500000000000001</v>
      </c>
      <c r="DP219" s="597">
        <f t="shared" si="217"/>
        <v>0.16500000000000001</v>
      </c>
      <c r="DQ219" s="538">
        <f t="shared" si="210"/>
        <v>0.16500000000000001</v>
      </c>
      <c r="DR219" s="617">
        <f t="shared" si="211"/>
        <v>1</v>
      </c>
      <c r="DS219" s="616">
        <f t="shared" si="212"/>
        <v>0</v>
      </c>
      <c r="DT219" s="259">
        <v>257</v>
      </c>
      <c r="DU219" s="260" t="s">
        <v>276</v>
      </c>
      <c r="DV219" s="259"/>
      <c r="DW219" s="260" t="s">
        <v>242</v>
      </c>
      <c r="DX219" s="259"/>
      <c r="DY219" s="259"/>
      <c r="DZ219" s="259"/>
      <c r="EA219" s="987"/>
      <c r="EB219" s="1041" t="s">
        <v>2556</v>
      </c>
      <c r="EC219" s="802">
        <v>5202000000</v>
      </c>
      <c r="EE219" s="1047"/>
    </row>
    <row r="220" spans="4:135" s="534" customFormat="1" ht="89.25" hidden="1" x14ac:dyDescent="0.3">
      <c r="D220" s="783">
        <v>217</v>
      </c>
      <c r="E220" s="799">
        <v>264</v>
      </c>
      <c r="F220" s="787" t="s">
        <v>200</v>
      </c>
      <c r="G220" s="739" t="s">
        <v>239</v>
      </c>
      <c r="H220" s="790" t="s">
        <v>2020</v>
      </c>
      <c r="I220" s="712" t="s">
        <v>742</v>
      </c>
      <c r="J220" s="573" t="s">
        <v>753</v>
      </c>
      <c r="K220" s="573" t="s">
        <v>754</v>
      </c>
      <c r="L220" s="702" t="s">
        <v>2074</v>
      </c>
      <c r="M220" s="571" t="s">
        <v>2017</v>
      </c>
      <c r="N220" s="571">
        <v>3</v>
      </c>
      <c r="O220" s="570">
        <f t="shared" si="216"/>
        <v>11</v>
      </c>
      <c r="P220" s="569">
        <v>8</v>
      </c>
      <c r="Q220" s="628">
        <v>0.16500000000000001</v>
      </c>
      <c r="R220" s="580">
        <f t="shared" si="190"/>
        <v>4.1250000000000002E-2</v>
      </c>
      <c r="S220" s="627">
        <v>2</v>
      </c>
      <c r="T220" s="625">
        <f t="shared" si="174"/>
        <v>0.25</v>
      </c>
      <c r="U220" s="992">
        <v>5</v>
      </c>
      <c r="V220" s="626">
        <f t="shared" si="175"/>
        <v>5</v>
      </c>
      <c r="W220" s="594">
        <f t="shared" si="176"/>
        <v>250</v>
      </c>
      <c r="X220" s="594">
        <f t="shared" si="191"/>
        <v>100</v>
      </c>
      <c r="Y220" s="594">
        <f t="shared" si="215"/>
        <v>4.1250000000000002E-2</v>
      </c>
      <c r="Z220" s="594">
        <f t="shared" si="192"/>
        <v>100</v>
      </c>
      <c r="AA220" s="593">
        <v>715329000</v>
      </c>
      <c r="AB220" s="593">
        <v>715329000</v>
      </c>
      <c r="AC220" s="593">
        <v>0</v>
      </c>
      <c r="AD220" s="593">
        <v>0</v>
      </c>
      <c r="AE220" s="593">
        <v>0</v>
      </c>
      <c r="AF220" s="593">
        <v>0</v>
      </c>
      <c r="AG220" s="593">
        <v>0</v>
      </c>
      <c r="AH220" s="593">
        <v>0</v>
      </c>
      <c r="AI220" s="593">
        <v>0</v>
      </c>
      <c r="AJ220" s="593">
        <v>0</v>
      </c>
      <c r="AK220" s="593">
        <v>0</v>
      </c>
      <c r="AL220" s="593">
        <v>0</v>
      </c>
      <c r="AM220" s="593">
        <v>0</v>
      </c>
      <c r="AN220" s="593">
        <v>0</v>
      </c>
      <c r="AO220" s="593">
        <v>0</v>
      </c>
      <c r="AP220" s="593">
        <v>0</v>
      </c>
      <c r="AQ220" s="593">
        <v>0</v>
      </c>
      <c r="AR220" s="593">
        <v>0</v>
      </c>
      <c r="AS220" s="593">
        <v>0</v>
      </c>
      <c r="AT220" s="570">
        <f t="shared" si="193"/>
        <v>4.1250000000000002E-2</v>
      </c>
      <c r="AU220" s="571">
        <v>2</v>
      </c>
      <c r="AV220" s="625">
        <f t="shared" si="177"/>
        <v>0.25</v>
      </c>
      <c r="AW220" s="1003">
        <v>4</v>
      </c>
      <c r="AX220" s="604">
        <f t="shared" si="178"/>
        <v>4</v>
      </c>
      <c r="AY220" s="604">
        <f t="shared" si="179"/>
        <v>200</v>
      </c>
      <c r="AZ220" s="604">
        <f t="shared" si="194"/>
        <v>100</v>
      </c>
      <c r="BA220" s="592">
        <f t="shared" si="195"/>
        <v>4.1250000000000002E-2</v>
      </c>
      <c r="BB220" s="592">
        <f t="shared" si="196"/>
        <v>100</v>
      </c>
      <c r="BC220" s="591">
        <v>1184000000</v>
      </c>
      <c r="BD220" s="591">
        <v>0</v>
      </c>
      <c r="BE220" s="591">
        <v>1184000000</v>
      </c>
      <c r="BF220" s="591">
        <v>0</v>
      </c>
      <c r="BG220" s="591">
        <v>0</v>
      </c>
      <c r="BH220" s="591">
        <v>0</v>
      </c>
      <c r="BI220" s="591">
        <v>0</v>
      </c>
      <c r="BJ220" s="591">
        <v>0</v>
      </c>
      <c r="BK220" s="700">
        <v>646016056</v>
      </c>
      <c r="BL220" s="589">
        <v>646016056</v>
      </c>
      <c r="BM220" s="589">
        <v>0</v>
      </c>
      <c r="BN220" s="589">
        <v>0</v>
      </c>
      <c r="BO220" s="589">
        <v>0</v>
      </c>
      <c r="BP220" s="589">
        <v>0</v>
      </c>
      <c r="BQ220" s="589">
        <v>0</v>
      </c>
      <c r="BR220" s="589">
        <v>0</v>
      </c>
      <c r="BS220" s="589">
        <v>0</v>
      </c>
      <c r="BT220" s="589">
        <v>0</v>
      </c>
      <c r="BU220" s="589">
        <v>0</v>
      </c>
      <c r="BV220" s="588">
        <f t="shared" si="197"/>
        <v>4.1250000000000002E-2</v>
      </c>
      <c r="BW220" s="588">
        <v>2</v>
      </c>
      <c r="BX220" s="623">
        <f t="shared" si="180"/>
        <v>0.25</v>
      </c>
      <c r="BY220" s="640">
        <v>2</v>
      </c>
      <c r="BZ220" s="656">
        <v>6</v>
      </c>
      <c r="CA220" s="1019">
        <v>2</v>
      </c>
      <c r="CB220" s="557">
        <f t="shared" si="181"/>
        <v>2</v>
      </c>
      <c r="CC220" s="557">
        <f t="shared" si="182"/>
        <v>100</v>
      </c>
      <c r="CD220" s="622">
        <f t="shared" si="198"/>
        <v>100</v>
      </c>
      <c r="CE220" s="621">
        <f t="shared" si="199"/>
        <v>4.1250000000000002E-2</v>
      </c>
      <c r="CF220" s="605">
        <f t="shared" si="200"/>
        <v>100</v>
      </c>
      <c r="CG220" s="621">
        <f t="shared" si="201"/>
        <v>4.1250000000000002E-2</v>
      </c>
      <c r="CH220" s="553">
        <f t="shared" si="202"/>
        <v>4.1250000000000002E-2</v>
      </c>
      <c r="CI220" s="552">
        <v>2</v>
      </c>
      <c r="CJ220" s="551">
        <f t="shared" si="183"/>
        <v>0.25</v>
      </c>
      <c r="CK220" s="874">
        <v>2</v>
      </c>
      <c r="CL220" s="533">
        <f t="shared" si="184"/>
        <v>0</v>
      </c>
      <c r="CM220" s="619">
        <f t="shared" si="185"/>
        <v>2</v>
      </c>
      <c r="CN220" s="619">
        <f t="shared" si="186"/>
        <v>100</v>
      </c>
      <c r="CO220" s="549">
        <f t="shared" si="203"/>
        <v>100</v>
      </c>
      <c r="CP220" s="619">
        <f t="shared" si="204"/>
        <v>4.1250000000000002E-2</v>
      </c>
      <c r="CQ220" s="619">
        <f t="shared" si="205"/>
        <v>4.1250000000000002E-2</v>
      </c>
      <c r="CR220" s="546">
        <v>1314000000</v>
      </c>
      <c r="CS220" s="546">
        <v>1314000000</v>
      </c>
      <c r="CT220" s="546">
        <v>0</v>
      </c>
      <c r="CU220" s="546">
        <v>0</v>
      </c>
      <c r="CV220" s="546">
        <v>0</v>
      </c>
      <c r="CW220" s="546">
        <v>0</v>
      </c>
      <c r="CX220" s="546">
        <v>0</v>
      </c>
      <c r="CY220" s="546">
        <v>0</v>
      </c>
      <c r="CZ220" s="618">
        <v>0</v>
      </c>
      <c r="DA220" s="618">
        <v>0</v>
      </c>
      <c r="DB220" s="618">
        <v>0</v>
      </c>
      <c r="DC220" s="618">
        <v>0</v>
      </c>
      <c r="DD220" s="618">
        <v>0</v>
      </c>
      <c r="DE220" s="618">
        <v>0</v>
      </c>
      <c r="DF220" s="618">
        <v>0</v>
      </c>
      <c r="DG220" s="618">
        <v>0</v>
      </c>
      <c r="DH220" s="618">
        <v>0</v>
      </c>
      <c r="DI220" s="618">
        <v>0</v>
      </c>
      <c r="DJ220" s="618">
        <v>0</v>
      </c>
      <c r="DK220" s="1034">
        <f t="shared" si="187"/>
        <v>13</v>
      </c>
      <c r="DL220" s="543">
        <f t="shared" si="206"/>
        <v>0.16500000000000001</v>
      </c>
      <c r="DM220" s="542">
        <f t="shared" si="207"/>
        <v>162.5</v>
      </c>
      <c r="DN220" s="594">
        <f t="shared" si="208"/>
        <v>100</v>
      </c>
      <c r="DO220" s="540">
        <f t="shared" si="209"/>
        <v>0.16500000000000001</v>
      </c>
      <c r="DP220" s="597">
        <f t="shared" si="217"/>
        <v>0.16500000000000001</v>
      </c>
      <c r="DQ220" s="538">
        <f t="shared" si="210"/>
        <v>0.16500000000000001</v>
      </c>
      <c r="DR220" s="617">
        <f t="shared" si="211"/>
        <v>1</v>
      </c>
      <c r="DS220" s="616">
        <f t="shared" si="212"/>
        <v>0</v>
      </c>
      <c r="DT220" s="259">
        <v>257</v>
      </c>
      <c r="DU220" s="260" t="s">
        <v>276</v>
      </c>
      <c r="DV220" s="259"/>
      <c r="DW220" s="260" t="s">
        <v>242</v>
      </c>
      <c r="DX220" s="259"/>
      <c r="DY220" s="259"/>
      <c r="DZ220" s="259"/>
      <c r="EA220" s="987"/>
      <c r="EB220" s="1041" t="s">
        <v>2557</v>
      </c>
      <c r="EC220" s="802">
        <v>1231000000</v>
      </c>
      <c r="EE220" s="1047"/>
    </row>
    <row r="221" spans="4:135" s="534" customFormat="1" ht="38.25" hidden="1" x14ac:dyDescent="0.3">
      <c r="D221" s="783">
        <v>218</v>
      </c>
      <c r="E221" s="799">
        <v>265</v>
      </c>
      <c r="F221" s="787" t="s">
        <v>200</v>
      </c>
      <c r="G221" s="739" t="s">
        <v>15</v>
      </c>
      <c r="H221" s="790" t="s">
        <v>2020</v>
      </c>
      <c r="I221" s="712" t="s">
        <v>742</v>
      </c>
      <c r="J221" s="573" t="s">
        <v>755</v>
      </c>
      <c r="K221" s="573" t="s">
        <v>756</v>
      </c>
      <c r="L221" s="702" t="s">
        <v>2212</v>
      </c>
      <c r="M221" s="571" t="s">
        <v>2017</v>
      </c>
      <c r="N221" s="571">
        <v>1</v>
      </c>
      <c r="O221" s="570">
        <f t="shared" si="216"/>
        <v>7</v>
      </c>
      <c r="P221" s="569">
        <v>6</v>
      </c>
      <c r="Q221" s="628">
        <v>8.8999999999999996E-2</v>
      </c>
      <c r="R221" s="580">
        <f t="shared" si="190"/>
        <v>1.4833333333333332E-2</v>
      </c>
      <c r="S221" s="627">
        <v>1</v>
      </c>
      <c r="T221" s="625">
        <f t="shared" si="174"/>
        <v>0.16666666666666666</v>
      </c>
      <c r="U221" s="992">
        <v>1</v>
      </c>
      <c r="V221" s="626">
        <f t="shared" si="175"/>
        <v>1</v>
      </c>
      <c r="W221" s="594">
        <f t="shared" si="176"/>
        <v>100</v>
      </c>
      <c r="X221" s="594">
        <f t="shared" si="191"/>
        <v>100</v>
      </c>
      <c r="Y221" s="594">
        <f t="shared" si="215"/>
        <v>1.4833333333333332E-2</v>
      </c>
      <c r="Z221" s="594">
        <f t="shared" si="192"/>
        <v>100</v>
      </c>
      <c r="AA221" s="593">
        <v>70000000</v>
      </c>
      <c r="AB221" s="593">
        <v>70000000</v>
      </c>
      <c r="AC221" s="593">
        <v>0</v>
      </c>
      <c r="AD221" s="593">
        <v>0</v>
      </c>
      <c r="AE221" s="593">
        <v>0</v>
      </c>
      <c r="AF221" s="593">
        <v>0</v>
      </c>
      <c r="AG221" s="593">
        <v>0</v>
      </c>
      <c r="AH221" s="593">
        <v>0</v>
      </c>
      <c r="AI221" s="593">
        <v>587836000</v>
      </c>
      <c r="AJ221" s="593">
        <v>544978000</v>
      </c>
      <c r="AK221" s="593">
        <v>0</v>
      </c>
      <c r="AL221" s="593">
        <v>0</v>
      </c>
      <c r="AM221" s="593">
        <v>0</v>
      </c>
      <c r="AN221" s="593">
        <v>0</v>
      </c>
      <c r="AO221" s="593">
        <v>42858000</v>
      </c>
      <c r="AP221" s="593">
        <v>0</v>
      </c>
      <c r="AQ221" s="593">
        <v>0</v>
      </c>
      <c r="AR221" s="593">
        <v>0</v>
      </c>
      <c r="AS221" s="593">
        <v>0</v>
      </c>
      <c r="AT221" s="570">
        <f t="shared" si="193"/>
        <v>2.9666666666666664E-2</v>
      </c>
      <c r="AU221" s="571">
        <v>2</v>
      </c>
      <c r="AV221" s="625">
        <f t="shared" si="177"/>
        <v>0.33333333333333331</v>
      </c>
      <c r="AW221" s="1013">
        <v>3</v>
      </c>
      <c r="AX221" s="604">
        <f t="shared" si="178"/>
        <v>3</v>
      </c>
      <c r="AY221" s="604">
        <f t="shared" si="179"/>
        <v>150</v>
      </c>
      <c r="AZ221" s="604">
        <f t="shared" si="194"/>
        <v>100</v>
      </c>
      <c r="BA221" s="592">
        <f t="shared" si="195"/>
        <v>2.9666666666666664E-2</v>
      </c>
      <c r="BB221" s="592">
        <f t="shared" si="196"/>
        <v>100</v>
      </c>
      <c r="BC221" s="591">
        <v>500000000</v>
      </c>
      <c r="BD221" s="591">
        <v>0</v>
      </c>
      <c r="BE221" s="591">
        <v>500000000</v>
      </c>
      <c r="BF221" s="591">
        <v>0</v>
      </c>
      <c r="BG221" s="591">
        <v>0</v>
      </c>
      <c r="BH221" s="591">
        <v>0</v>
      </c>
      <c r="BI221" s="591">
        <v>0</v>
      </c>
      <c r="BJ221" s="591">
        <v>0</v>
      </c>
      <c r="BK221" s="700">
        <v>1623558965</v>
      </c>
      <c r="BL221" s="589">
        <v>1536070540</v>
      </c>
      <c r="BM221" s="589">
        <v>0</v>
      </c>
      <c r="BN221" s="589">
        <v>0</v>
      </c>
      <c r="BO221" s="589">
        <v>0</v>
      </c>
      <c r="BP221" s="589">
        <v>0</v>
      </c>
      <c r="BQ221" s="589">
        <v>0</v>
      </c>
      <c r="BR221" s="589">
        <v>87488425</v>
      </c>
      <c r="BS221" s="589">
        <v>0</v>
      </c>
      <c r="BT221" s="589">
        <v>545307663</v>
      </c>
      <c r="BU221" s="589">
        <v>0</v>
      </c>
      <c r="BV221" s="588">
        <f t="shared" si="197"/>
        <v>2.9666666666666664E-2</v>
      </c>
      <c r="BW221" s="588">
        <v>2</v>
      </c>
      <c r="BX221" s="623">
        <f t="shared" si="180"/>
        <v>0.33333333333333331</v>
      </c>
      <c r="BY221" s="640">
        <v>0.25</v>
      </c>
      <c r="BZ221" s="656">
        <v>0</v>
      </c>
      <c r="CA221" s="1019">
        <v>2</v>
      </c>
      <c r="CB221" s="557">
        <f t="shared" si="181"/>
        <v>2</v>
      </c>
      <c r="CC221" s="557">
        <f t="shared" si="182"/>
        <v>100</v>
      </c>
      <c r="CD221" s="622">
        <f t="shared" si="198"/>
        <v>100</v>
      </c>
      <c r="CE221" s="621">
        <f t="shared" si="199"/>
        <v>2.9666666666666664E-2</v>
      </c>
      <c r="CF221" s="605">
        <f t="shared" si="200"/>
        <v>100</v>
      </c>
      <c r="CG221" s="621">
        <f t="shared" si="201"/>
        <v>2.9666666666666664E-2</v>
      </c>
      <c r="CH221" s="553">
        <f t="shared" si="202"/>
        <v>1.4833333333333332E-2</v>
      </c>
      <c r="CI221" s="552">
        <v>1</v>
      </c>
      <c r="CJ221" s="551">
        <f t="shared" si="183"/>
        <v>0.16666666666666666</v>
      </c>
      <c r="CK221" s="874">
        <v>0</v>
      </c>
      <c r="CL221" s="533">
        <f t="shared" si="184"/>
        <v>1</v>
      </c>
      <c r="CM221" s="619">
        <f t="shared" si="185"/>
        <v>0</v>
      </c>
      <c r="CN221" s="619">
        <f t="shared" si="186"/>
        <v>0</v>
      </c>
      <c r="CO221" s="549">
        <f t="shared" si="203"/>
        <v>0</v>
      </c>
      <c r="CP221" s="619">
        <f t="shared" si="204"/>
        <v>0</v>
      </c>
      <c r="CQ221" s="619">
        <f t="shared" si="205"/>
        <v>0</v>
      </c>
      <c r="CR221" s="546">
        <v>1500000000</v>
      </c>
      <c r="CS221" s="546">
        <v>1500000000</v>
      </c>
      <c r="CT221" s="546">
        <v>0</v>
      </c>
      <c r="CU221" s="546">
        <v>0</v>
      </c>
      <c r="CV221" s="546">
        <v>0</v>
      </c>
      <c r="CW221" s="546">
        <v>0</v>
      </c>
      <c r="CX221" s="546">
        <v>0</v>
      </c>
      <c r="CY221" s="546">
        <v>0</v>
      </c>
      <c r="CZ221" s="618">
        <v>0</v>
      </c>
      <c r="DA221" s="618">
        <v>0</v>
      </c>
      <c r="DB221" s="618">
        <v>0</v>
      </c>
      <c r="DC221" s="618">
        <v>0</v>
      </c>
      <c r="DD221" s="618">
        <v>0</v>
      </c>
      <c r="DE221" s="618">
        <v>0</v>
      </c>
      <c r="DF221" s="618">
        <v>0</v>
      </c>
      <c r="DG221" s="618">
        <v>0</v>
      </c>
      <c r="DH221" s="618">
        <v>0</v>
      </c>
      <c r="DI221" s="618">
        <v>0</v>
      </c>
      <c r="DJ221" s="618">
        <v>0</v>
      </c>
      <c r="DK221" s="1034">
        <f t="shared" si="187"/>
        <v>6</v>
      </c>
      <c r="DL221" s="543">
        <f t="shared" si="206"/>
        <v>8.8999999999999996E-2</v>
      </c>
      <c r="DM221" s="542">
        <f t="shared" si="207"/>
        <v>100</v>
      </c>
      <c r="DN221" s="594">
        <f t="shared" si="208"/>
        <v>100</v>
      </c>
      <c r="DO221" s="540">
        <f t="shared" si="209"/>
        <v>8.900000000000001E-2</v>
      </c>
      <c r="DP221" s="597">
        <f t="shared" si="217"/>
        <v>8.8999999999999996E-2</v>
      </c>
      <c r="DQ221" s="538">
        <f t="shared" si="210"/>
        <v>8.8999999999999996E-2</v>
      </c>
      <c r="DR221" s="617">
        <f t="shared" si="211"/>
        <v>0.99999999999999989</v>
      </c>
      <c r="DS221" s="616">
        <f t="shared" si="212"/>
        <v>0</v>
      </c>
      <c r="DT221" s="259">
        <v>257</v>
      </c>
      <c r="DU221" s="260" t="s">
        <v>276</v>
      </c>
      <c r="DV221" s="259"/>
      <c r="DW221" s="260" t="s">
        <v>242</v>
      </c>
      <c r="DX221" s="259"/>
      <c r="DY221" s="259"/>
      <c r="DZ221" s="259"/>
      <c r="EA221" s="987"/>
      <c r="EB221" s="1041" t="s">
        <v>2558</v>
      </c>
      <c r="EC221" s="802">
        <v>1500000000</v>
      </c>
      <c r="EE221" s="1047"/>
    </row>
    <row r="222" spans="4:135" s="534" customFormat="1" ht="84" hidden="1" x14ac:dyDescent="0.3">
      <c r="D222" s="783">
        <v>219</v>
      </c>
      <c r="E222" s="799">
        <v>266</v>
      </c>
      <c r="F222" s="787" t="s">
        <v>200</v>
      </c>
      <c r="G222" s="739" t="s">
        <v>15</v>
      </c>
      <c r="H222" s="790" t="s">
        <v>2020</v>
      </c>
      <c r="I222" s="712" t="s">
        <v>742</v>
      </c>
      <c r="J222" s="573" t="s">
        <v>757</v>
      </c>
      <c r="K222" s="573" t="s">
        <v>758</v>
      </c>
      <c r="L222" s="702" t="s">
        <v>2049</v>
      </c>
      <c r="M222" s="571" t="s">
        <v>2017</v>
      </c>
      <c r="N222" s="571">
        <v>0</v>
      </c>
      <c r="O222" s="570">
        <f t="shared" si="216"/>
        <v>1</v>
      </c>
      <c r="P222" s="569">
        <v>1</v>
      </c>
      <c r="Q222" s="628">
        <v>8.8999999999999996E-2</v>
      </c>
      <c r="R222" s="580">
        <f t="shared" si="190"/>
        <v>0</v>
      </c>
      <c r="S222" s="627">
        <v>0</v>
      </c>
      <c r="T222" s="625">
        <f t="shared" si="174"/>
        <v>0</v>
      </c>
      <c r="U222" s="992">
        <v>0</v>
      </c>
      <c r="V222" s="626">
        <f t="shared" si="175"/>
        <v>0</v>
      </c>
      <c r="W222" s="594">
        <f t="shared" si="176"/>
        <v>0</v>
      </c>
      <c r="X222" s="594">
        <f t="shared" si="191"/>
        <v>0</v>
      </c>
      <c r="Y222" s="594">
        <f t="shared" si="215"/>
        <v>0</v>
      </c>
      <c r="Z222" s="594">
        <f t="shared" si="192"/>
        <v>0</v>
      </c>
      <c r="AA222" s="593">
        <v>0</v>
      </c>
      <c r="AB222" s="593">
        <v>0</v>
      </c>
      <c r="AC222" s="593">
        <v>0</v>
      </c>
      <c r="AD222" s="593">
        <v>0</v>
      </c>
      <c r="AE222" s="593">
        <v>0</v>
      </c>
      <c r="AF222" s="593">
        <v>0</v>
      </c>
      <c r="AG222" s="593">
        <v>0</v>
      </c>
      <c r="AH222" s="593">
        <v>0</v>
      </c>
      <c r="AI222" s="593">
        <v>150000000</v>
      </c>
      <c r="AJ222" s="593">
        <v>0</v>
      </c>
      <c r="AK222" s="593">
        <v>0</v>
      </c>
      <c r="AL222" s="593">
        <v>0</v>
      </c>
      <c r="AM222" s="593">
        <v>0</v>
      </c>
      <c r="AN222" s="593">
        <v>0</v>
      </c>
      <c r="AO222" s="593">
        <v>150000000</v>
      </c>
      <c r="AP222" s="593">
        <v>0</v>
      </c>
      <c r="AQ222" s="593">
        <v>0</v>
      </c>
      <c r="AR222" s="593">
        <v>0</v>
      </c>
      <c r="AS222" s="593">
        <v>0</v>
      </c>
      <c r="AT222" s="570">
        <f t="shared" si="193"/>
        <v>4.4499999999999998E-2</v>
      </c>
      <c r="AU222" s="571">
        <v>0.5</v>
      </c>
      <c r="AV222" s="625">
        <f t="shared" si="177"/>
        <v>0.5</v>
      </c>
      <c r="AW222" s="1014">
        <v>0</v>
      </c>
      <c r="AX222" s="604">
        <f t="shared" si="178"/>
        <v>0</v>
      </c>
      <c r="AY222" s="604">
        <f t="shared" si="179"/>
        <v>0</v>
      </c>
      <c r="AZ222" s="604">
        <f t="shared" si="194"/>
        <v>0</v>
      </c>
      <c r="BA222" s="592">
        <f t="shared" si="195"/>
        <v>0</v>
      </c>
      <c r="BB222" s="592">
        <f t="shared" si="196"/>
        <v>0</v>
      </c>
      <c r="BC222" s="591">
        <v>600000000</v>
      </c>
      <c r="BD222" s="591">
        <v>0</v>
      </c>
      <c r="BE222" s="591">
        <v>200000000</v>
      </c>
      <c r="BF222" s="591">
        <v>0</v>
      </c>
      <c r="BG222" s="591">
        <v>0</v>
      </c>
      <c r="BH222" s="591">
        <v>0</v>
      </c>
      <c r="BI222" s="591">
        <v>0</v>
      </c>
      <c r="BJ222" s="591">
        <v>400000000</v>
      </c>
      <c r="BK222" s="700">
        <v>0</v>
      </c>
      <c r="BL222" s="589">
        <v>0</v>
      </c>
      <c r="BM222" s="589">
        <v>0</v>
      </c>
      <c r="BN222" s="589">
        <v>0</v>
      </c>
      <c r="BO222" s="589">
        <v>0</v>
      </c>
      <c r="BP222" s="589">
        <v>0</v>
      </c>
      <c r="BQ222" s="589">
        <v>0</v>
      </c>
      <c r="BR222" s="589">
        <v>0</v>
      </c>
      <c r="BS222" s="589">
        <v>0</v>
      </c>
      <c r="BT222" s="589">
        <v>2011815729</v>
      </c>
      <c r="BU222" s="589">
        <v>0</v>
      </c>
      <c r="BV222" s="588">
        <f t="shared" si="197"/>
        <v>4.4499999999999998E-2</v>
      </c>
      <c r="BW222" s="588">
        <v>0.5</v>
      </c>
      <c r="BX222" s="623">
        <f t="shared" si="180"/>
        <v>0.5</v>
      </c>
      <c r="BY222" s="607">
        <v>0</v>
      </c>
      <c r="BZ222" s="629">
        <v>0</v>
      </c>
      <c r="CA222" s="1017">
        <v>0</v>
      </c>
      <c r="CB222" s="557">
        <f t="shared" si="181"/>
        <v>0</v>
      </c>
      <c r="CC222" s="557">
        <f t="shared" si="182"/>
        <v>0</v>
      </c>
      <c r="CD222" s="622">
        <f t="shared" si="198"/>
        <v>0</v>
      </c>
      <c r="CE222" s="621">
        <f t="shared" si="199"/>
        <v>0</v>
      </c>
      <c r="CF222" s="605">
        <f t="shared" si="200"/>
        <v>0</v>
      </c>
      <c r="CG222" s="621">
        <f t="shared" si="201"/>
        <v>0</v>
      </c>
      <c r="CH222" s="553">
        <f t="shared" si="202"/>
        <v>0</v>
      </c>
      <c r="CI222" s="552">
        <v>0</v>
      </c>
      <c r="CJ222" s="551">
        <f t="shared" si="183"/>
        <v>0</v>
      </c>
      <c r="CK222" s="871">
        <v>0</v>
      </c>
      <c r="CL222" s="533">
        <f t="shared" si="184"/>
        <v>0</v>
      </c>
      <c r="CM222" s="619">
        <f t="shared" si="185"/>
        <v>0</v>
      </c>
      <c r="CN222" s="619">
        <f t="shared" si="186"/>
        <v>0</v>
      </c>
      <c r="CO222" s="549">
        <f t="shared" si="203"/>
        <v>0</v>
      </c>
      <c r="CP222" s="619">
        <f t="shared" si="204"/>
        <v>0</v>
      </c>
      <c r="CQ222" s="619">
        <f t="shared" si="205"/>
        <v>0</v>
      </c>
      <c r="CR222" s="546">
        <v>800000000</v>
      </c>
      <c r="CS222" s="546">
        <v>400000000</v>
      </c>
      <c r="CT222" s="546">
        <v>0</v>
      </c>
      <c r="CU222" s="546">
        <v>0</v>
      </c>
      <c r="CV222" s="546">
        <v>0</v>
      </c>
      <c r="CW222" s="546">
        <v>0</v>
      </c>
      <c r="CX222" s="546">
        <v>0</v>
      </c>
      <c r="CY222" s="546">
        <v>400000000</v>
      </c>
      <c r="CZ222" s="618">
        <v>0</v>
      </c>
      <c r="DA222" s="618">
        <v>0</v>
      </c>
      <c r="DB222" s="618">
        <v>0</v>
      </c>
      <c r="DC222" s="618">
        <v>0</v>
      </c>
      <c r="DD222" s="618">
        <v>0</v>
      </c>
      <c r="DE222" s="618">
        <v>0</v>
      </c>
      <c r="DF222" s="618">
        <v>0</v>
      </c>
      <c r="DG222" s="618">
        <v>0</v>
      </c>
      <c r="DH222" s="618">
        <v>0</v>
      </c>
      <c r="DI222" s="618">
        <v>0</v>
      </c>
      <c r="DJ222" s="618">
        <v>0</v>
      </c>
      <c r="DK222" s="1034">
        <f t="shared" si="187"/>
        <v>0</v>
      </c>
      <c r="DL222" s="543">
        <f t="shared" si="206"/>
        <v>8.8999999999999996E-2</v>
      </c>
      <c r="DM222" s="542">
        <f t="shared" si="207"/>
        <v>0</v>
      </c>
      <c r="DN222" s="594">
        <f t="shared" si="208"/>
        <v>0</v>
      </c>
      <c r="DO222" s="540">
        <f t="shared" si="209"/>
        <v>0</v>
      </c>
      <c r="DP222" s="597">
        <f t="shared" si="217"/>
        <v>0</v>
      </c>
      <c r="DQ222" s="538">
        <f t="shared" si="210"/>
        <v>0</v>
      </c>
      <c r="DR222" s="617">
        <f t="shared" si="211"/>
        <v>1</v>
      </c>
      <c r="DS222" s="616">
        <f t="shared" si="212"/>
        <v>0</v>
      </c>
      <c r="DT222" s="259">
        <v>200</v>
      </c>
      <c r="DU222" s="260" t="s">
        <v>556</v>
      </c>
      <c r="DV222" s="259">
        <v>202</v>
      </c>
      <c r="DW222" s="260" t="s">
        <v>279</v>
      </c>
      <c r="DX222" s="259">
        <v>257</v>
      </c>
      <c r="DY222" s="259"/>
      <c r="DZ222" s="259"/>
      <c r="EA222" s="987"/>
      <c r="EB222" s="1041" t="s">
        <v>2559</v>
      </c>
      <c r="EC222" s="802">
        <v>800000000</v>
      </c>
      <c r="EE222" s="1047"/>
    </row>
    <row r="223" spans="4:135" s="534" customFormat="1" ht="51" hidden="1" x14ac:dyDescent="0.3">
      <c r="D223" s="783">
        <v>220</v>
      </c>
      <c r="E223" s="799">
        <v>267</v>
      </c>
      <c r="F223" s="787" t="s">
        <v>200</v>
      </c>
      <c r="G223" s="739" t="s">
        <v>15</v>
      </c>
      <c r="H223" s="790" t="s">
        <v>2020</v>
      </c>
      <c r="I223" s="712" t="s">
        <v>742</v>
      </c>
      <c r="J223" s="573" t="s">
        <v>759</v>
      </c>
      <c r="K223" s="573" t="s">
        <v>760</v>
      </c>
      <c r="L223" s="706" t="s">
        <v>2038</v>
      </c>
      <c r="M223" s="571" t="s">
        <v>2017</v>
      </c>
      <c r="N223" s="571">
        <v>0</v>
      </c>
      <c r="O223" s="570">
        <f t="shared" si="216"/>
        <v>1</v>
      </c>
      <c r="P223" s="569">
        <v>1</v>
      </c>
      <c r="Q223" s="628">
        <v>8.8999999999999996E-2</v>
      </c>
      <c r="R223" s="580">
        <f t="shared" si="190"/>
        <v>8.8999999999999999E-3</v>
      </c>
      <c r="S223" s="627">
        <v>0.1</v>
      </c>
      <c r="T223" s="625">
        <f t="shared" si="174"/>
        <v>0.1</v>
      </c>
      <c r="U223" s="992">
        <v>0</v>
      </c>
      <c r="V223" s="626">
        <f t="shared" si="175"/>
        <v>0</v>
      </c>
      <c r="W223" s="594">
        <f t="shared" si="176"/>
        <v>0</v>
      </c>
      <c r="X223" s="594">
        <f t="shared" si="191"/>
        <v>0</v>
      </c>
      <c r="Y223" s="594">
        <f t="shared" si="215"/>
        <v>0</v>
      </c>
      <c r="Z223" s="594">
        <f t="shared" si="192"/>
        <v>0</v>
      </c>
      <c r="AA223" s="593">
        <v>248000000</v>
      </c>
      <c r="AB223" s="593">
        <v>248000000</v>
      </c>
      <c r="AC223" s="593">
        <v>0</v>
      </c>
      <c r="AD223" s="593">
        <v>0</v>
      </c>
      <c r="AE223" s="593">
        <v>0</v>
      </c>
      <c r="AF223" s="593">
        <v>0</v>
      </c>
      <c r="AG223" s="593">
        <v>0</v>
      </c>
      <c r="AH223" s="593">
        <v>0</v>
      </c>
      <c r="AI223" s="593">
        <v>0</v>
      </c>
      <c r="AJ223" s="593">
        <v>0</v>
      </c>
      <c r="AK223" s="593">
        <v>0</v>
      </c>
      <c r="AL223" s="593">
        <v>0</v>
      </c>
      <c r="AM223" s="593">
        <v>0</v>
      </c>
      <c r="AN223" s="593">
        <v>0</v>
      </c>
      <c r="AO223" s="593">
        <v>0</v>
      </c>
      <c r="AP223" s="593">
        <v>0</v>
      </c>
      <c r="AQ223" s="593">
        <v>0</v>
      </c>
      <c r="AR223" s="593">
        <v>0</v>
      </c>
      <c r="AS223" s="593">
        <v>0</v>
      </c>
      <c r="AT223" s="570">
        <f t="shared" si="193"/>
        <v>2.6699999999999998E-2</v>
      </c>
      <c r="AU223" s="571">
        <v>0.3</v>
      </c>
      <c r="AV223" s="625">
        <f t="shared" si="177"/>
        <v>0.3</v>
      </c>
      <c r="AW223" s="1003">
        <v>0.66</v>
      </c>
      <c r="AX223" s="604">
        <f t="shared" si="178"/>
        <v>0.66</v>
      </c>
      <c r="AY223" s="604">
        <f t="shared" si="179"/>
        <v>220</v>
      </c>
      <c r="AZ223" s="604">
        <f t="shared" si="194"/>
        <v>100</v>
      </c>
      <c r="BA223" s="592">
        <f t="shared" si="195"/>
        <v>2.6699999999999998E-2</v>
      </c>
      <c r="BB223" s="592">
        <f t="shared" si="196"/>
        <v>100</v>
      </c>
      <c r="BC223" s="591">
        <v>2400000000</v>
      </c>
      <c r="BD223" s="591">
        <v>0</v>
      </c>
      <c r="BE223" s="591">
        <v>400000000</v>
      </c>
      <c r="BF223" s="591">
        <v>0</v>
      </c>
      <c r="BG223" s="591">
        <v>0</v>
      </c>
      <c r="BH223" s="591">
        <v>0</v>
      </c>
      <c r="BI223" s="591">
        <v>0</v>
      </c>
      <c r="BJ223" s="591">
        <v>2000000000</v>
      </c>
      <c r="BK223" s="700">
        <v>0</v>
      </c>
      <c r="BL223" s="589">
        <v>0</v>
      </c>
      <c r="BM223" s="589">
        <v>0</v>
      </c>
      <c r="BN223" s="589">
        <v>0</v>
      </c>
      <c r="BO223" s="589">
        <v>0</v>
      </c>
      <c r="BP223" s="589">
        <v>0</v>
      </c>
      <c r="BQ223" s="589">
        <v>0</v>
      </c>
      <c r="BR223" s="589">
        <v>0</v>
      </c>
      <c r="BS223" s="589">
        <v>0</v>
      </c>
      <c r="BT223" s="589">
        <v>0</v>
      </c>
      <c r="BU223" s="589">
        <v>0</v>
      </c>
      <c r="BV223" s="588">
        <f t="shared" si="197"/>
        <v>5.3399999999999996E-2</v>
      </c>
      <c r="BW223" s="588">
        <v>0.6</v>
      </c>
      <c r="BX223" s="623">
        <f t="shared" si="180"/>
        <v>0.6</v>
      </c>
      <c r="BY223" s="607">
        <v>0.66</v>
      </c>
      <c r="BZ223" s="629">
        <v>0</v>
      </c>
      <c r="CA223" s="1017">
        <v>0.1</v>
      </c>
      <c r="CB223" s="557">
        <f t="shared" si="181"/>
        <v>0.1</v>
      </c>
      <c r="CC223" s="557">
        <f t="shared" si="182"/>
        <v>16.666666666666668</v>
      </c>
      <c r="CD223" s="622">
        <f t="shared" si="198"/>
        <v>16.666666666666668</v>
      </c>
      <c r="CE223" s="621">
        <f t="shared" si="199"/>
        <v>8.8999999999999999E-3</v>
      </c>
      <c r="CF223" s="605">
        <f t="shared" si="200"/>
        <v>16.666666666666668</v>
      </c>
      <c r="CG223" s="621">
        <f t="shared" si="201"/>
        <v>8.8999999999999999E-3</v>
      </c>
      <c r="CH223" s="553">
        <f t="shared" si="202"/>
        <v>0</v>
      </c>
      <c r="CI223" s="552">
        <v>0</v>
      </c>
      <c r="CJ223" s="551">
        <f t="shared" si="183"/>
        <v>0</v>
      </c>
      <c r="CK223" s="871">
        <v>0.1</v>
      </c>
      <c r="CL223" s="533">
        <f t="shared" si="184"/>
        <v>-0.1</v>
      </c>
      <c r="CM223" s="619">
        <f t="shared" si="185"/>
        <v>0.1</v>
      </c>
      <c r="CN223" s="619">
        <f t="shared" si="186"/>
        <v>0</v>
      </c>
      <c r="CO223" s="549">
        <f t="shared" si="203"/>
        <v>0</v>
      </c>
      <c r="CP223" s="619">
        <f t="shared" si="204"/>
        <v>0</v>
      </c>
      <c r="CQ223" s="619">
        <f t="shared" si="205"/>
        <v>0</v>
      </c>
      <c r="CR223" s="546">
        <v>0</v>
      </c>
      <c r="CS223" s="546">
        <v>0</v>
      </c>
      <c r="CT223" s="546">
        <v>0</v>
      </c>
      <c r="CU223" s="546">
        <v>0</v>
      </c>
      <c r="CV223" s="546">
        <v>0</v>
      </c>
      <c r="CW223" s="546">
        <v>0</v>
      </c>
      <c r="CX223" s="546">
        <v>0</v>
      </c>
      <c r="CY223" s="546">
        <v>0</v>
      </c>
      <c r="CZ223" s="618">
        <v>0</v>
      </c>
      <c r="DA223" s="618">
        <v>0</v>
      </c>
      <c r="DB223" s="618">
        <v>0</v>
      </c>
      <c r="DC223" s="618">
        <v>0</v>
      </c>
      <c r="DD223" s="618">
        <v>0</v>
      </c>
      <c r="DE223" s="618">
        <v>0</v>
      </c>
      <c r="DF223" s="618">
        <v>0</v>
      </c>
      <c r="DG223" s="618">
        <v>0</v>
      </c>
      <c r="DH223" s="618">
        <v>0</v>
      </c>
      <c r="DI223" s="618">
        <v>0</v>
      </c>
      <c r="DJ223" s="618">
        <v>0</v>
      </c>
      <c r="DK223" s="1034">
        <f t="shared" si="187"/>
        <v>0.86</v>
      </c>
      <c r="DL223" s="543">
        <f t="shared" si="206"/>
        <v>8.8999999999999996E-2</v>
      </c>
      <c r="DM223" s="542">
        <f t="shared" si="207"/>
        <v>86</v>
      </c>
      <c r="DN223" s="594">
        <f t="shared" si="208"/>
        <v>86</v>
      </c>
      <c r="DO223" s="540">
        <f t="shared" si="209"/>
        <v>7.6539999999999997E-2</v>
      </c>
      <c r="DP223" s="597">
        <f t="shared" si="217"/>
        <v>7.6539999999999997E-2</v>
      </c>
      <c r="DQ223" s="538">
        <f t="shared" si="210"/>
        <v>7.6539999999999997E-2</v>
      </c>
      <c r="DR223" s="617">
        <f t="shared" si="211"/>
        <v>1</v>
      </c>
      <c r="DS223" s="616">
        <f t="shared" si="212"/>
        <v>-6.9388939039072284E-18</v>
      </c>
      <c r="DT223" s="259">
        <v>257</v>
      </c>
      <c r="DU223" s="260" t="s">
        <v>276</v>
      </c>
      <c r="DV223" s="259"/>
      <c r="DW223" s="260" t="s">
        <v>242</v>
      </c>
      <c r="DX223" s="259"/>
      <c r="DY223" s="259"/>
      <c r="DZ223" s="259"/>
      <c r="EA223" s="987"/>
      <c r="EB223" s="1041" t="s">
        <v>242</v>
      </c>
      <c r="EC223" s="802">
        <v>0</v>
      </c>
      <c r="EE223" s="1047"/>
    </row>
    <row r="224" spans="4:135" s="534" customFormat="1" ht="102" hidden="1" x14ac:dyDescent="0.3">
      <c r="D224" s="783">
        <v>221</v>
      </c>
      <c r="E224" s="799">
        <v>268</v>
      </c>
      <c r="F224" s="787" t="s">
        <v>200</v>
      </c>
      <c r="G224" s="739" t="s">
        <v>15</v>
      </c>
      <c r="H224" s="790" t="s">
        <v>2020</v>
      </c>
      <c r="I224" s="712" t="s">
        <v>742</v>
      </c>
      <c r="J224" s="573" t="s">
        <v>761</v>
      </c>
      <c r="K224" s="573" t="s">
        <v>762</v>
      </c>
      <c r="L224" s="702" t="s">
        <v>2021</v>
      </c>
      <c r="M224" s="571" t="s">
        <v>2017</v>
      </c>
      <c r="N224" s="571">
        <v>14</v>
      </c>
      <c r="O224" s="570">
        <f t="shared" si="216"/>
        <v>35</v>
      </c>
      <c r="P224" s="569">
        <v>21</v>
      </c>
      <c r="Q224" s="628">
        <v>2.92E-2</v>
      </c>
      <c r="R224" s="580">
        <f t="shared" si="190"/>
        <v>2.7809523809523809E-3</v>
      </c>
      <c r="S224" s="627">
        <v>2</v>
      </c>
      <c r="T224" s="625">
        <f t="shared" si="174"/>
        <v>9.5238095238095233E-2</v>
      </c>
      <c r="U224" s="992">
        <v>1</v>
      </c>
      <c r="V224" s="626">
        <f t="shared" si="175"/>
        <v>1</v>
      </c>
      <c r="W224" s="594">
        <f t="shared" si="176"/>
        <v>50</v>
      </c>
      <c r="X224" s="594">
        <f t="shared" si="191"/>
        <v>50</v>
      </c>
      <c r="Y224" s="594">
        <f t="shared" si="215"/>
        <v>1.3904761904761907E-3</v>
      </c>
      <c r="Z224" s="594">
        <f t="shared" si="192"/>
        <v>50</v>
      </c>
      <c r="AA224" s="593">
        <v>240000000</v>
      </c>
      <c r="AB224" s="593">
        <v>240000000</v>
      </c>
      <c r="AC224" s="593">
        <v>0</v>
      </c>
      <c r="AD224" s="593">
        <v>0</v>
      </c>
      <c r="AE224" s="593">
        <v>0</v>
      </c>
      <c r="AF224" s="593">
        <v>0</v>
      </c>
      <c r="AG224" s="593">
        <v>0</v>
      </c>
      <c r="AH224" s="593">
        <v>0</v>
      </c>
      <c r="AI224" s="593">
        <v>137000000</v>
      </c>
      <c r="AJ224" s="593">
        <v>137000000</v>
      </c>
      <c r="AK224" s="593">
        <v>0</v>
      </c>
      <c r="AL224" s="593">
        <v>0</v>
      </c>
      <c r="AM224" s="593">
        <v>0</v>
      </c>
      <c r="AN224" s="593">
        <v>0</v>
      </c>
      <c r="AO224" s="593">
        <v>0</v>
      </c>
      <c r="AP224" s="593">
        <v>0</v>
      </c>
      <c r="AQ224" s="593">
        <v>0</v>
      </c>
      <c r="AR224" s="593">
        <v>0</v>
      </c>
      <c r="AS224" s="593">
        <v>0</v>
      </c>
      <c r="AT224" s="570">
        <f t="shared" si="193"/>
        <v>9.7333333333333334E-3</v>
      </c>
      <c r="AU224" s="571">
        <v>7</v>
      </c>
      <c r="AV224" s="625">
        <f t="shared" si="177"/>
        <v>0.33333333333333331</v>
      </c>
      <c r="AW224" s="1003">
        <v>5</v>
      </c>
      <c r="AX224" s="604">
        <f t="shared" si="178"/>
        <v>5</v>
      </c>
      <c r="AY224" s="604">
        <f t="shared" si="179"/>
        <v>71.428571428571431</v>
      </c>
      <c r="AZ224" s="604">
        <f t="shared" si="194"/>
        <v>71.428571428571431</v>
      </c>
      <c r="BA224" s="592">
        <f t="shared" si="195"/>
        <v>6.9523809523809521E-3</v>
      </c>
      <c r="BB224" s="592">
        <f t="shared" si="196"/>
        <v>71.428571428571431</v>
      </c>
      <c r="BC224" s="591">
        <v>60000000</v>
      </c>
      <c r="BD224" s="591">
        <v>0</v>
      </c>
      <c r="BE224" s="591">
        <v>60000000</v>
      </c>
      <c r="BF224" s="591">
        <v>0</v>
      </c>
      <c r="BG224" s="591">
        <v>0</v>
      </c>
      <c r="BH224" s="591">
        <v>0</v>
      </c>
      <c r="BI224" s="591">
        <v>0</v>
      </c>
      <c r="BJ224" s="591">
        <v>0</v>
      </c>
      <c r="BK224" s="700">
        <v>0</v>
      </c>
      <c r="BL224" s="589">
        <v>0</v>
      </c>
      <c r="BM224" s="589">
        <v>0</v>
      </c>
      <c r="BN224" s="589">
        <v>0</v>
      </c>
      <c r="BO224" s="589">
        <v>0</v>
      </c>
      <c r="BP224" s="589">
        <v>0</v>
      </c>
      <c r="BQ224" s="589">
        <v>0</v>
      </c>
      <c r="BR224" s="589">
        <v>0</v>
      </c>
      <c r="BS224" s="589">
        <v>0</v>
      </c>
      <c r="BT224" s="589">
        <v>0</v>
      </c>
      <c r="BU224" s="589">
        <v>0</v>
      </c>
      <c r="BV224" s="588">
        <f t="shared" si="197"/>
        <v>8.3428571428571432E-3</v>
      </c>
      <c r="BW224" s="588">
        <v>6</v>
      </c>
      <c r="BX224" s="623">
        <f t="shared" si="180"/>
        <v>0.2857142857142857</v>
      </c>
      <c r="BY224" s="607">
        <v>0</v>
      </c>
      <c r="BZ224" s="629">
        <v>0</v>
      </c>
      <c r="CA224" s="1017">
        <v>0</v>
      </c>
      <c r="CB224" s="557">
        <f t="shared" si="181"/>
        <v>0</v>
      </c>
      <c r="CC224" s="557">
        <f t="shared" si="182"/>
        <v>0</v>
      </c>
      <c r="CD224" s="622">
        <f t="shared" si="198"/>
        <v>0</v>
      </c>
      <c r="CE224" s="621">
        <f t="shared" si="199"/>
        <v>0</v>
      </c>
      <c r="CF224" s="605">
        <f t="shared" si="200"/>
        <v>0</v>
      </c>
      <c r="CG224" s="621">
        <f t="shared" si="201"/>
        <v>0</v>
      </c>
      <c r="CH224" s="553">
        <f t="shared" si="202"/>
        <v>8.3428571428571432E-3</v>
      </c>
      <c r="CI224" s="552">
        <v>6</v>
      </c>
      <c r="CJ224" s="551">
        <f t="shared" si="183"/>
        <v>0.2857142857142857</v>
      </c>
      <c r="CK224" s="871">
        <v>0</v>
      </c>
      <c r="CL224" s="533">
        <f t="shared" si="184"/>
        <v>6</v>
      </c>
      <c r="CM224" s="619">
        <f t="shared" si="185"/>
        <v>0</v>
      </c>
      <c r="CN224" s="619">
        <f t="shared" si="186"/>
        <v>0</v>
      </c>
      <c r="CO224" s="549">
        <f t="shared" si="203"/>
        <v>0</v>
      </c>
      <c r="CP224" s="619">
        <f t="shared" si="204"/>
        <v>0</v>
      </c>
      <c r="CQ224" s="619">
        <f t="shared" si="205"/>
        <v>0</v>
      </c>
      <c r="CR224" s="546">
        <v>137000000</v>
      </c>
      <c r="CS224" s="546">
        <v>137000000</v>
      </c>
      <c r="CT224" s="546">
        <v>0</v>
      </c>
      <c r="CU224" s="546">
        <v>0</v>
      </c>
      <c r="CV224" s="546">
        <v>0</v>
      </c>
      <c r="CW224" s="546">
        <v>0</v>
      </c>
      <c r="CX224" s="546">
        <v>0</v>
      </c>
      <c r="CY224" s="546">
        <v>0</v>
      </c>
      <c r="CZ224" s="618">
        <v>0</v>
      </c>
      <c r="DA224" s="618">
        <v>0</v>
      </c>
      <c r="DB224" s="618">
        <v>0</v>
      </c>
      <c r="DC224" s="618">
        <v>0</v>
      </c>
      <c r="DD224" s="618">
        <v>0</v>
      </c>
      <c r="DE224" s="618">
        <v>0</v>
      </c>
      <c r="DF224" s="618">
        <v>0</v>
      </c>
      <c r="DG224" s="618">
        <v>0</v>
      </c>
      <c r="DH224" s="618">
        <v>0</v>
      </c>
      <c r="DI224" s="618">
        <v>0</v>
      </c>
      <c r="DJ224" s="618">
        <v>0</v>
      </c>
      <c r="DK224" s="1034">
        <f t="shared" si="187"/>
        <v>6</v>
      </c>
      <c r="DL224" s="543">
        <f t="shared" si="206"/>
        <v>2.9200000000000004E-2</v>
      </c>
      <c r="DM224" s="542">
        <f t="shared" si="207"/>
        <v>28.571428571428573</v>
      </c>
      <c r="DN224" s="594">
        <f t="shared" si="208"/>
        <v>28.571428571428573</v>
      </c>
      <c r="DO224" s="540">
        <f t="shared" si="209"/>
        <v>8.3428571428571432E-3</v>
      </c>
      <c r="DP224" s="597">
        <f t="shared" si="217"/>
        <v>8.3428571428571432E-3</v>
      </c>
      <c r="DQ224" s="538">
        <f t="shared" si="210"/>
        <v>8.3428571428571432E-3</v>
      </c>
      <c r="DR224" s="617">
        <f t="shared" si="211"/>
        <v>0.99999999999999989</v>
      </c>
      <c r="DS224" s="616">
        <f t="shared" si="212"/>
        <v>0</v>
      </c>
      <c r="DT224" s="259">
        <v>257</v>
      </c>
      <c r="DU224" s="260" t="s">
        <v>276</v>
      </c>
      <c r="DV224" s="259"/>
      <c r="DW224" s="260" t="s">
        <v>242</v>
      </c>
      <c r="DX224" s="259"/>
      <c r="DY224" s="259"/>
      <c r="DZ224" s="259"/>
      <c r="EA224" s="987"/>
      <c r="EB224" s="1041" t="s">
        <v>2560</v>
      </c>
      <c r="EC224" s="802">
        <v>137000000</v>
      </c>
      <c r="EE224" s="1047"/>
    </row>
    <row r="225" spans="4:135" s="534" customFormat="1" ht="76.5" hidden="1" x14ac:dyDescent="0.3">
      <c r="D225" s="783">
        <v>222</v>
      </c>
      <c r="E225" s="799">
        <v>270</v>
      </c>
      <c r="F225" s="787" t="s">
        <v>200</v>
      </c>
      <c r="G225" s="739" t="s">
        <v>9</v>
      </c>
      <c r="H225" s="790" t="s">
        <v>2200</v>
      </c>
      <c r="I225" s="712" t="s">
        <v>763</v>
      </c>
      <c r="J225" s="573" t="s">
        <v>764</v>
      </c>
      <c r="K225" s="573" t="s">
        <v>765</v>
      </c>
      <c r="L225" s="702" t="s">
        <v>2028</v>
      </c>
      <c r="M225" s="571" t="s">
        <v>2017</v>
      </c>
      <c r="N225" s="571">
        <v>19</v>
      </c>
      <c r="O225" s="570">
        <f t="shared" si="216"/>
        <v>116</v>
      </c>
      <c r="P225" s="569">
        <v>97</v>
      </c>
      <c r="Q225" s="628">
        <v>0.16500000000000001</v>
      </c>
      <c r="R225" s="580">
        <f t="shared" si="190"/>
        <v>1.7010309278350514E-2</v>
      </c>
      <c r="S225" s="627">
        <v>10</v>
      </c>
      <c r="T225" s="625">
        <f t="shared" si="174"/>
        <v>0.10309278350515463</v>
      </c>
      <c r="U225" s="992">
        <v>18</v>
      </c>
      <c r="V225" s="626">
        <f t="shared" si="175"/>
        <v>18</v>
      </c>
      <c r="W225" s="594">
        <f t="shared" si="176"/>
        <v>180</v>
      </c>
      <c r="X225" s="594">
        <f t="shared" si="191"/>
        <v>100</v>
      </c>
      <c r="Y225" s="594">
        <f t="shared" si="215"/>
        <v>1.7010309278350514E-2</v>
      </c>
      <c r="Z225" s="594">
        <f t="shared" si="192"/>
        <v>100</v>
      </c>
      <c r="AA225" s="593">
        <v>60000000</v>
      </c>
      <c r="AB225" s="593">
        <v>60000000</v>
      </c>
      <c r="AC225" s="593">
        <v>0</v>
      </c>
      <c r="AD225" s="593">
        <v>0</v>
      </c>
      <c r="AE225" s="593">
        <v>0</v>
      </c>
      <c r="AF225" s="593">
        <v>0</v>
      </c>
      <c r="AG225" s="593">
        <v>0</v>
      </c>
      <c r="AH225" s="593">
        <v>0</v>
      </c>
      <c r="AI225" s="593">
        <v>0</v>
      </c>
      <c r="AJ225" s="593">
        <v>0</v>
      </c>
      <c r="AK225" s="593">
        <v>0</v>
      </c>
      <c r="AL225" s="593">
        <v>0</v>
      </c>
      <c r="AM225" s="593">
        <v>0</v>
      </c>
      <c r="AN225" s="593">
        <v>0</v>
      </c>
      <c r="AO225" s="593">
        <v>0</v>
      </c>
      <c r="AP225" s="593">
        <v>0</v>
      </c>
      <c r="AQ225" s="593">
        <v>0</v>
      </c>
      <c r="AR225" s="593">
        <v>0</v>
      </c>
      <c r="AS225" s="593">
        <v>0</v>
      </c>
      <c r="AT225" s="570">
        <f t="shared" si="193"/>
        <v>5.1030927835051552E-2</v>
      </c>
      <c r="AU225" s="571">
        <v>30</v>
      </c>
      <c r="AV225" s="625">
        <f t="shared" si="177"/>
        <v>0.30927835051546393</v>
      </c>
      <c r="AW225" s="1003">
        <v>20</v>
      </c>
      <c r="AX225" s="604">
        <f t="shared" si="178"/>
        <v>20</v>
      </c>
      <c r="AY225" s="604">
        <f t="shared" si="179"/>
        <v>66.666666666666671</v>
      </c>
      <c r="AZ225" s="604">
        <f t="shared" si="194"/>
        <v>66.666666666666671</v>
      </c>
      <c r="BA225" s="592">
        <f t="shared" si="195"/>
        <v>3.4020618556701042E-2</v>
      </c>
      <c r="BB225" s="592">
        <f t="shared" si="196"/>
        <v>66.666666666666671</v>
      </c>
      <c r="BC225" s="591">
        <v>17000000</v>
      </c>
      <c r="BD225" s="591">
        <v>0</v>
      </c>
      <c r="BE225" s="591">
        <v>7000000</v>
      </c>
      <c r="BF225" s="591">
        <v>0</v>
      </c>
      <c r="BG225" s="591">
        <v>0</v>
      </c>
      <c r="BH225" s="591">
        <v>0</v>
      </c>
      <c r="BI225" s="591">
        <v>0</v>
      </c>
      <c r="BJ225" s="591">
        <v>10000000</v>
      </c>
      <c r="BK225" s="700">
        <v>56800000</v>
      </c>
      <c r="BL225" s="589">
        <v>56800000</v>
      </c>
      <c r="BM225" s="589">
        <v>0</v>
      </c>
      <c r="BN225" s="589">
        <v>0</v>
      </c>
      <c r="BO225" s="589">
        <v>0</v>
      </c>
      <c r="BP225" s="589">
        <v>0</v>
      </c>
      <c r="BQ225" s="589">
        <v>0</v>
      </c>
      <c r="BR225" s="589">
        <v>0</v>
      </c>
      <c r="BS225" s="589">
        <v>0</v>
      </c>
      <c r="BT225" s="589">
        <v>0</v>
      </c>
      <c r="BU225" s="589">
        <v>0</v>
      </c>
      <c r="BV225" s="588">
        <f t="shared" si="197"/>
        <v>5.1030927835051552E-2</v>
      </c>
      <c r="BW225" s="588">
        <v>30</v>
      </c>
      <c r="BX225" s="623">
        <f t="shared" si="180"/>
        <v>0.30927835051546393</v>
      </c>
      <c r="BY225" s="607">
        <v>66</v>
      </c>
      <c r="BZ225" s="629">
        <v>56</v>
      </c>
      <c r="CA225" s="1017">
        <v>79</v>
      </c>
      <c r="CB225" s="557">
        <f t="shared" si="181"/>
        <v>79</v>
      </c>
      <c r="CC225" s="557">
        <f t="shared" si="182"/>
        <v>263.33333333333331</v>
      </c>
      <c r="CD225" s="622">
        <f t="shared" si="198"/>
        <v>100</v>
      </c>
      <c r="CE225" s="621">
        <f t="shared" si="199"/>
        <v>5.1030927835051552E-2</v>
      </c>
      <c r="CF225" s="605">
        <f t="shared" si="200"/>
        <v>100</v>
      </c>
      <c r="CG225" s="621">
        <f t="shared" si="201"/>
        <v>0.13438144329896906</v>
      </c>
      <c r="CH225" s="553">
        <f t="shared" si="202"/>
        <v>4.5927835051546392E-2</v>
      </c>
      <c r="CI225" s="552">
        <v>27</v>
      </c>
      <c r="CJ225" s="551">
        <f t="shared" si="183"/>
        <v>0.27835051546391754</v>
      </c>
      <c r="CK225" s="874">
        <v>22</v>
      </c>
      <c r="CL225" s="533">
        <f t="shared" si="184"/>
        <v>5</v>
      </c>
      <c r="CM225" s="619">
        <f t="shared" si="185"/>
        <v>22</v>
      </c>
      <c r="CN225" s="619">
        <f t="shared" si="186"/>
        <v>81.481481481481481</v>
      </c>
      <c r="CO225" s="549">
        <f t="shared" si="203"/>
        <v>81.481481481481481</v>
      </c>
      <c r="CP225" s="619">
        <f t="shared" si="204"/>
        <v>3.7422680412371137E-2</v>
      </c>
      <c r="CQ225" s="619">
        <f t="shared" si="205"/>
        <v>3.7422680412371137E-2</v>
      </c>
      <c r="CR225" s="546">
        <v>20000000</v>
      </c>
      <c r="CS225" s="546">
        <v>10000000</v>
      </c>
      <c r="CT225" s="546">
        <v>0</v>
      </c>
      <c r="CU225" s="546">
        <v>0</v>
      </c>
      <c r="CV225" s="546">
        <v>0</v>
      </c>
      <c r="CW225" s="546">
        <v>0</v>
      </c>
      <c r="CX225" s="546">
        <v>0</v>
      </c>
      <c r="CY225" s="546">
        <v>10000000</v>
      </c>
      <c r="CZ225" s="618">
        <v>0</v>
      </c>
      <c r="DA225" s="618">
        <v>0</v>
      </c>
      <c r="DB225" s="618">
        <v>0</v>
      </c>
      <c r="DC225" s="618">
        <v>0</v>
      </c>
      <c r="DD225" s="618">
        <v>0</v>
      </c>
      <c r="DE225" s="618">
        <v>0</v>
      </c>
      <c r="DF225" s="618">
        <v>0</v>
      </c>
      <c r="DG225" s="618">
        <v>0</v>
      </c>
      <c r="DH225" s="618">
        <v>0</v>
      </c>
      <c r="DI225" s="618">
        <v>0</v>
      </c>
      <c r="DJ225" s="618">
        <v>0</v>
      </c>
      <c r="DK225" s="1034">
        <f t="shared" si="187"/>
        <v>139</v>
      </c>
      <c r="DL225" s="543">
        <f t="shared" si="206"/>
        <v>0.16500000000000004</v>
      </c>
      <c r="DM225" s="542">
        <f t="shared" si="207"/>
        <v>143.29896907216494</v>
      </c>
      <c r="DN225" s="594">
        <f t="shared" si="208"/>
        <v>100</v>
      </c>
      <c r="DO225" s="540">
        <f t="shared" si="209"/>
        <v>0.16500000000000001</v>
      </c>
      <c r="DP225" s="597">
        <f t="shared" si="217"/>
        <v>0.16500000000000001</v>
      </c>
      <c r="DQ225" s="538">
        <f t="shared" si="210"/>
        <v>0.16500000000000001</v>
      </c>
      <c r="DR225" s="617">
        <f t="shared" si="211"/>
        <v>1</v>
      </c>
      <c r="DS225" s="616">
        <f t="shared" si="212"/>
        <v>0</v>
      </c>
      <c r="DT225" s="259">
        <v>269</v>
      </c>
      <c r="DU225" s="260" t="s">
        <v>275</v>
      </c>
      <c r="DV225" s="259"/>
      <c r="DW225" s="260" t="s">
        <v>242</v>
      </c>
      <c r="DX225" s="259"/>
      <c r="DY225" s="259"/>
      <c r="DZ225" s="259"/>
      <c r="EA225" s="987"/>
      <c r="EB225" s="1041" t="s">
        <v>2561</v>
      </c>
      <c r="EC225" s="802">
        <v>20000000</v>
      </c>
      <c r="EE225" s="1047"/>
    </row>
    <row r="226" spans="4:135" s="534" customFormat="1" ht="51" hidden="1" x14ac:dyDescent="0.3">
      <c r="D226" s="783">
        <v>223</v>
      </c>
      <c r="E226" s="799">
        <v>271</v>
      </c>
      <c r="F226" s="787" t="s">
        <v>200</v>
      </c>
      <c r="G226" s="739" t="s">
        <v>9</v>
      </c>
      <c r="H226" s="790" t="s">
        <v>2200</v>
      </c>
      <c r="I226" s="712" t="s">
        <v>763</v>
      </c>
      <c r="J226" s="573" t="s">
        <v>766</v>
      </c>
      <c r="K226" s="573" t="s">
        <v>767</v>
      </c>
      <c r="L226" s="702" t="s">
        <v>1593</v>
      </c>
      <c r="M226" s="571" t="s">
        <v>2017</v>
      </c>
      <c r="N226" s="571">
        <v>19</v>
      </c>
      <c r="O226" s="570">
        <f t="shared" si="216"/>
        <v>116</v>
      </c>
      <c r="P226" s="569">
        <v>97</v>
      </c>
      <c r="Q226" s="628">
        <v>0.16500000000000001</v>
      </c>
      <c r="R226" s="580">
        <f t="shared" si="190"/>
        <v>1.7010309278350514E-2</v>
      </c>
      <c r="S226" s="627">
        <v>10</v>
      </c>
      <c r="T226" s="625">
        <f t="shared" si="174"/>
        <v>0.10309278350515463</v>
      </c>
      <c r="U226" s="992">
        <v>18</v>
      </c>
      <c r="V226" s="626">
        <f t="shared" si="175"/>
        <v>18</v>
      </c>
      <c r="W226" s="594">
        <f t="shared" si="176"/>
        <v>180</v>
      </c>
      <c r="X226" s="594">
        <f t="shared" si="191"/>
        <v>100</v>
      </c>
      <c r="Y226" s="594">
        <f t="shared" si="215"/>
        <v>1.7010309278350514E-2</v>
      </c>
      <c r="Z226" s="594">
        <f t="shared" si="192"/>
        <v>100</v>
      </c>
      <c r="AA226" s="593">
        <v>25000000</v>
      </c>
      <c r="AB226" s="593">
        <v>25000000</v>
      </c>
      <c r="AC226" s="593">
        <v>0</v>
      </c>
      <c r="AD226" s="593">
        <v>0</v>
      </c>
      <c r="AE226" s="593">
        <v>0</v>
      </c>
      <c r="AF226" s="593">
        <v>0</v>
      </c>
      <c r="AG226" s="593">
        <v>0</v>
      </c>
      <c r="AH226" s="593">
        <v>0</v>
      </c>
      <c r="AI226" s="593">
        <v>0</v>
      </c>
      <c r="AJ226" s="593">
        <v>0</v>
      </c>
      <c r="AK226" s="593">
        <v>0</v>
      </c>
      <c r="AL226" s="593">
        <v>0</v>
      </c>
      <c r="AM226" s="593">
        <v>0</v>
      </c>
      <c r="AN226" s="593">
        <v>0</v>
      </c>
      <c r="AO226" s="593">
        <v>0</v>
      </c>
      <c r="AP226" s="593">
        <v>0</v>
      </c>
      <c r="AQ226" s="593">
        <v>0</v>
      </c>
      <c r="AR226" s="593">
        <v>0</v>
      </c>
      <c r="AS226" s="593">
        <v>0</v>
      </c>
      <c r="AT226" s="570">
        <f t="shared" si="193"/>
        <v>5.1030927835051552E-2</v>
      </c>
      <c r="AU226" s="571">
        <v>30</v>
      </c>
      <c r="AV226" s="625">
        <f t="shared" si="177"/>
        <v>0.30927835051546393</v>
      </c>
      <c r="AW226" s="1003">
        <v>20</v>
      </c>
      <c r="AX226" s="604">
        <f t="shared" si="178"/>
        <v>20</v>
      </c>
      <c r="AY226" s="604">
        <f t="shared" si="179"/>
        <v>66.666666666666671</v>
      </c>
      <c r="AZ226" s="604">
        <f t="shared" si="194"/>
        <v>66.666666666666671</v>
      </c>
      <c r="BA226" s="592">
        <f t="shared" si="195"/>
        <v>3.4020618556701042E-2</v>
      </c>
      <c r="BB226" s="592">
        <f t="shared" si="196"/>
        <v>66.666666666666671</v>
      </c>
      <c r="BC226" s="591">
        <v>7000000</v>
      </c>
      <c r="BD226" s="591">
        <v>0</v>
      </c>
      <c r="BE226" s="591">
        <v>7000000</v>
      </c>
      <c r="BF226" s="591">
        <v>0</v>
      </c>
      <c r="BG226" s="591">
        <v>0</v>
      </c>
      <c r="BH226" s="591">
        <v>0</v>
      </c>
      <c r="BI226" s="591">
        <v>0</v>
      </c>
      <c r="BJ226" s="591">
        <v>0</v>
      </c>
      <c r="BK226" s="700">
        <v>62000000</v>
      </c>
      <c r="BL226" s="589">
        <v>62000000</v>
      </c>
      <c r="BM226" s="589">
        <v>0</v>
      </c>
      <c r="BN226" s="589">
        <v>0</v>
      </c>
      <c r="BO226" s="589">
        <v>0</v>
      </c>
      <c r="BP226" s="589">
        <v>0</v>
      </c>
      <c r="BQ226" s="589">
        <v>0</v>
      </c>
      <c r="BR226" s="589">
        <v>0</v>
      </c>
      <c r="BS226" s="589">
        <v>0</v>
      </c>
      <c r="BT226" s="589">
        <v>0</v>
      </c>
      <c r="BU226" s="589">
        <v>0</v>
      </c>
      <c r="BV226" s="588">
        <f t="shared" si="197"/>
        <v>5.1030927835051552E-2</v>
      </c>
      <c r="BW226" s="588">
        <v>30</v>
      </c>
      <c r="BX226" s="623">
        <f t="shared" si="180"/>
        <v>0.30927835051546393</v>
      </c>
      <c r="BY226" s="607">
        <v>66</v>
      </c>
      <c r="BZ226" s="629">
        <v>56</v>
      </c>
      <c r="CA226" s="1017">
        <v>79</v>
      </c>
      <c r="CB226" s="557">
        <f t="shared" si="181"/>
        <v>79</v>
      </c>
      <c r="CC226" s="557">
        <f t="shared" si="182"/>
        <v>263.33333333333331</v>
      </c>
      <c r="CD226" s="622">
        <f t="shared" si="198"/>
        <v>100</v>
      </c>
      <c r="CE226" s="621">
        <f t="shared" si="199"/>
        <v>5.1030927835051552E-2</v>
      </c>
      <c r="CF226" s="605">
        <f t="shared" si="200"/>
        <v>100</v>
      </c>
      <c r="CG226" s="621">
        <f t="shared" si="201"/>
        <v>0.13438144329896906</v>
      </c>
      <c r="CH226" s="553">
        <f t="shared" si="202"/>
        <v>4.5927835051546392E-2</v>
      </c>
      <c r="CI226" s="552">
        <v>27</v>
      </c>
      <c r="CJ226" s="551">
        <f t="shared" si="183"/>
        <v>0.27835051546391754</v>
      </c>
      <c r="CK226" s="874">
        <v>11</v>
      </c>
      <c r="CL226" s="533">
        <f t="shared" si="184"/>
        <v>16</v>
      </c>
      <c r="CM226" s="619">
        <f t="shared" si="185"/>
        <v>11</v>
      </c>
      <c r="CN226" s="619">
        <f t="shared" si="186"/>
        <v>40.74074074074074</v>
      </c>
      <c r="CO226" s="549">
        <f t="shared" si="203"/>
        <v>40.74074074074074</v>
      </c>
      <c r="CP226" s="619">
        <f t="shared" si="204"/>
        <v>1.8711340206185569E-2</v>
      </c>
      <c r="CQ226" s="619">
        <f t="shared" si="205"/>
        <v>1.8711340206185569E-2</v>
      </c>
      <c r="CR226" s="546">
        <v>10000000</v>
      </c>
      <c r="CS226" s="546">
        <v>10000000</v>
      </c>
      <c r="CT226" s="546">
        <v>0</v>
      </c>
      <c r="CU226" s="546">
        <v>0</v>
      </c>
      <c r="CV226" s="546">
        <v>0</v>
      </c>
      <c r="CW226" s="546">
        <v>0</v>
      </c>
      <c r="CX226" s="546">
        <v>0</v>
      </c>
      <c r="CY226" s="546">
        <v>0</v>
      </c>
      <c r="CZ226" s="618">
        <v>0</v>
      </c>
      <c r="DA226" s="618">
        <v>0</v>
      </c>
      <c r="DB226" s="618">
        <v>0</v>
      </c>
      <c r="DC226" s="618">
        <v>0</v>
      </c>
      <c r="DD226" s="618">
        <v>0</v>
      </c>
      <c r="DE226" s="618">
        <v>0</v>
      </c>
      <c r="DF226" s="618">
        <v>0</v>
      </c>
      <c r="DG226" s="618">
        <v>0</v>
      </c>
      <c r="DH226" s="618">
        <v>0</v>
      </c>
      <c r="DI226" s="618">
        <v>0</v>
      </c>
      <c r="DJ226" s="618">
        <v>0</v>
      </c>
      <c r="DK226" s="1034">
        <f t="shared" si="187"/>
        <v>128</v>
      </c>
      <c r="DL226" s="543">
        <f t="shared" si="206"/>
        <v>0.16500000000000004</v>
      </c>
      <c r="DM226" s="542">
        <f t="shared" si="207"/>
        <v>131.95876288659792</v>
      </c>
      <c r="DN226" s="594">
        <f t="shared" si="208"/>
        <v>100</v>
      </c>
      <c r="DO226" s="540">
        <f t="shared" si="209"/>
        <v>0.16500000000000001</v>
      </c>
      <c r="DP226" s="597">
        <f t="shared" si="217"/>
        <v>0.16500000000000001</v>
      </c>
      <c r="DQ226" s="538">
        <f t="shared" si="210"/>
        <v>0.16500000000000001</v>
      </c>
      <c r="DR226" s="617">
        <f t="shared" si="211"/>
        <v>1</v>
      </c>
      <c r="DS226" s="616">
        <f t="shared" si="212"/>
        <v>0</v>
      </c>
      <c r="DT226" s="259">
        <v>269</v>
      </c>
      <c r="DU226" s="260" t="s">
        <v>275</v>
      </c>
      <c r="DV226" s="259"/>
      <c r="DW226" s="260" t="s">
        <v>242</v>
      </c>
      <c r="DX226" s="259"/>
      <c r="DY226" s="259"/>
      <c r="DZ226" s="259"/>
      <c r="EA226" s="987"/>
      <c r="EB226" s="1041" t="s">
        <v>2562</v>
      </c>
      <c r="EC226" s="802">
        <v>10000000</v>
      </c>
      <c r="EE226" s="1047"/>
    </row>
    <row r="227" spans="4:135" s="534" customFormat="1" ht="89.25" hidden="1" x14ac:dyDescent="0.3">
      <c r="D227" s="783">
        <v>224</v>
      </c>
      <c r="E227" s="799">
        <v>272</v>
      </c>
      <c r="F227" s="787" t="s">
        <v>200</v>
      </c>
      <c r="G227" s="739" t="s">
        <v>9</v>
      </c>
      <c r="H227" s="790" t="s">
        <v>2200</v>
      </c>
      <c r="I227" s="712" t="s">
        <v>763</v>
      </c>
      <c r="J227" s="573" t="s">
        <v>768</v>
      </c>
      <c r="K227" s="573" t="s">
        <v>769</v>
      </c>
      <c r="L227" s="701" t="s">
        <v>2201</v>
      </c>
      <c r="M227" s="571" t="s">
        <v>2032</v>
      </c>
      <c r="N227" s="571">
        <v>0</v>
      </c>
      <c r="O227" s="570">
        <f>+P227</f>
        <v>100</v>
      </c>
      <c r="P227" s="569">
        <v>100</v>
      </c>
      <c r="Q227" s="628">
        <v>0.16500000000000001</v>
      </c>
      <c r="R227" s="580">
        <f t="shared" si="190"/>
        <v>4.1250000000000002E-2</v>
      </c>
      <c r="S227" s="627">
        <v>100</v>
      </c>
      <c r="T227" s="625">
        <f t="shared" si="174"/>
        <v>0.25</v>
      </c>
      <c r="U227" s="992">
        <v>100</v>
      </c>
      <c r="V227" s="626">
        <f t="shared" si="175"/>
        <v>25</v>
      </c>
      <c r="W227" s="594">
        <f t="shared" si="176"/>
        <v>100</v>
      </c>
      <c r="X227" s="594">
        <f t="shared" si="191"/>
        <v>100</v>
      </c>
      <c r="Y227" s="594">
        <f t="shared" si="215"/>
        <v>4.1250000000000002E-2</v>
      </c>
      <c r="Z227" s="594">
        <f t="shared" si="192"/>
        <v>100</v>
      </c>
      <c r="AA227" s="593">
        <v>50000000</v>
      </c>
      <c r="AB227" s="593">
        <v>50000000</v>
      </c>
      <c r="AC227" s="593">
        <v>0</v>
      </c>
      <c r="AD227" s="593">
        <v>0</v>
      </c>
      <c r="AE227" s="593">
        <v>0</v>
      </c>
      <c r="AF227" s="593">
        <v>0</v>
      </c>
      <c r="AG227" s="593">
        <v>0</v>
      </c>
      <c r="AH227" s="593">
        <v>0</v>
      </c>
      <c r="AI227" s="593">
        <v>100000000</v>
      </c>
      <c r="AJ227" s="593">
        <v>100000000</v>
      </c>
      <c r="AK227" s="593">
        <v>0</v>
      </c>
      <c r="AL227" s="593">
        <v>0</v>
      </c>
      <c r="AM227" s="593">
        <v>0</v>
      </c>
      <c r="AN227" s="593">
        <v>0</v>
      </c>
      <c r="AO227" s="593">
        <v>0</v>
      </c>
      <c r="AP227" s="593">
        <v>0</v>
      </c>
      <c r="AQ227" s="593">
        <v>0</v>
      </c>
      <c r="AR227" s="593">
        <v>0</v>
      </c>
      <c r="AS227" s="593">
        <v>0</v>
      </c>
      <c r="AT227" s="570">
        <f t="shared" si="193"/>
        <v>4.1250000000000002E-2</v>
      </c>
      <c r="AU227" s="571">
        <v>100</v>
      </c>
      <c r="AV227" s="625">
        <f t="shared" si="177"/>
        <v>0.25</v>
      </c>
      <c r="AW227" s="1003">
        <v>100</v>
      </c>
      <c r="AX227" s="604">
        <f t="shared" si="178"/>
        <v>25</v>
      </c>
      <c r="AY227" s="604">
        <f t="shared" si="179"/>
        <v>100</v>
      </c>
      <c r="AZ227" s="604">
        <f t="shared" si="194"/>
        <v>100</v>
      </c>
      <c r="BA227" s="592">
        <f t="shared" si="195"/>
        <v>4.1250000000000002E-2</v>
      </c>
      <c r="BB227" s="592">
        <f t="shared" si="196"/>
        <v>100</v>
      </c>
      <c r="BC227" s="591">
        <v>243000000</v>
      </c>
      <c r="BD227" s="591">
        <v>0</v>
      </c>
      <c r="BE227" s="591">
        <v>163000000</v>
      </c>
      <c r="BF227" s="591">
        <v>0</v>
      </c>
      <c r="BG227" s="591">
        <v>0</v>
      </c>
      <c r="BH227" s="591">
        <v>0</v>
      </c>
      <c r="BI227" s="591">
        <v>0</v>
      </c>
      <c r="BJ227" s="591">
        <v>80000000</v>
      </c>
      <c r="BK227" s="700">
        <v>0</v>
      </c>
      <c r="BL227" s="589">
        <v>0</v>
      </c>
      <c r="BM227" s="589">
        <v>0</v>
      </c>
      <c r="BN227" s="589">
        <v>0</v>
      </c>
      <c r="BO227" s="589">
        <v>0</v>
      </c>
      <c r="BP227" s="589">
        <v>0</v>
      </c>
      <c r="BQ227" s="589">
        <v>0</v>
      </c>
      <c r="BR227" s="589">
        <v>0</v>
      </c>
      <c r="BS227" s="589">
        <v>0</v>
      </c>
      <c r="BT227" s="589">
        <v>0</v>
      </c>
      <c r="BU227" s="589">
        <v>0</v>
      </c>
      <c r="BV227" s="588">
        <f t="shared" si="197"/>
        <v>4.1250000000000002E-2</v>
      </c>
      <c r="BW227" s="588">
        <v>100</v>
      </c>
      <c r="BX227" s="623">
        <f t="shared" si="180"/>
        <v>0.25</v>
      </c>
      <c r="BY227" s="607">
        <v>50</v>
      </c>
      <c r="BZ227" s="629">
        <v>100</v>
      </c>
      <c r="CA227" s="1017">
        <v>100</v>
      </c>
      <c r="CB227" s="557">
        <f t="shared" si="181"/>
        <v>25</v>
      </c>
      <c r="CC227" s="557">
        <f t="shared" si="182"/>
        <v>100</v>
      </c>
      <c r="CD227" s="622">
        <f t="shared" si="198"/>
        <v>100</v>
      </c>
      <c r="CE227" s="621">
        <f t="shared" si="199"/>
        <v>4.1250000000000002E-2</v>
      </c>
      <c r="CF227" s="605">
        <f t="shared" si="200"/>
        <v>100</v>
      </c>
      <c r="CG227" s="621">
        <f t="shared" si="201"/>
        <v>4.1250000000000002E-2</v>
      </c>
      <c r="CH227" s="553">
        <f t="shared" si="202"/>
        <v>4.1250000000000002E-2</v>
      </c>
      <c r="CI227" s="552">
        <v>100</v>
      </c>
      <c r="CJ227" s="551">
        <f t="shared" si="183"/>
        <v>0.25</v>
      </c>
      <c r="CK227" s="874">
        <v>100</v>
      </c>
      <c r="CL227" s="533">
        <f t="shared" si="184"/>
        <v>0</v>
      </c>
      <c r="CM227" s="619">
        <f t="shared" si="185"/>
        <v>25</v>
      </c>
      <c r="CN227" s="619">
        <f t="shared" si="186"/>
        <v>100</v>
      </c>
      <c r="CO227" s="619">
        <f t="shared" si="203"/>
        <v>100</v>
      </c>
      <c r="CP227" s="619">
        <f t="shared" si="204"/>
        <v>4.1250000000000002E-2</v>
      </c>
      <c r="CQ227" s="619">
        <f t="shared" si="205"/>
        <v>4.1250000000000002E-2</v>
      </c>
      <c r="CR227" s="546">
        <v>243000000</v>
      </c>
      <c r="CS227" s="546">
        <v>163000000</v>
      </c>
      <c r="CT227" s="546">
        <v>0</v>
      </c>
      <c r="CU227" s="546">
        <v>0</v>
      </c>
      <c r="CV227" s="546">
        <v>0</v>
      </c>
      <c r="CW227" s="546">
        <v>0</v>
      </c>
      <c r="CX227" s="546">
        <v>0</v>
      </c>
      <c r="CY227" s="546">
        <v>80000000</v>
      </c>
      <c r="CZ227" s="618">
        <v>0</v>
      </c>
      <c r="DA227" s="618">
        <v>0</v>
      </c>
      <c r="DB227" s="618">
        <v>0</v>
      </c>
      <c r="DC227" s="618">
        <v>0</v>
      </c>
      <c r="DD227" s="618">
        <v>0</v>
      </c>
      <c r="DE227" s="618">
        <v>0</v>
      </c>
      <c r="DF227" s="618">
        <v>0</v>
      </c>
      <c r="DG227" s="618">
        <v>0</v>
      </c>
      <c r="DH227" s="618">
        <v>0</v>
      </c>
      <c r="DI227" s="618">
        <v>0</v>
      </c>
      <c r="DJ227" s="618">
        <v>0</v>
      </c>
      <c r="DK227" s="1034">
        <f t="shared" si="187"/>
        <v>100</v>
      </c>
      <c r="DL227" s="543">
        <f t="shared" si="206"/>
        <v>0.16500000000000001</v>
      </c>
      <c r="DM227" s="542">
        <f t="shared" si="207"/>
        <v>100</v>
      </c>
      <c r="DN227" s="594">
        <f t="shared" si="208"/>
        <v>100</v>
      </c>
      <c r="DO227" s="540">
        <f t="shared" si="209"/>
        <v>0.16500000000000001</v>
      </c>
      <c r="DP227" s="597">
        <f>+IF(M227="M",DO227,0)</f>
        <v>0.16500000000000001</v>
      </c>
      <c r="DQ227" s="538">
        <f t="shared" si="210"/>
        <v>0.16500000000000001</v>
      </c>
      <c r="DR227" s="617">
        <f t="shared" si="211"/>
        <v>1</v>
      </c>
      <c r="DS227" s="616">
        <f t="shared" si="212"/>
        <v>0</v>
      </c>
      <c r="DT227" s="259">
        <v>269</v>
      </c>
      <c r="DU227" s="260" t="s">
        <v>275</v>
      </c>
      <c r="DV227" s="259"/>
      <c r="DW227" s="260" t="s">
        <v>242</v>
      </c>
      <c r="DX227" s="259"/>
      <c r="DY227" s="259"/>
      <c r="DZ227" s="259"/>
      <c r="EA227" s="987"/>
      <c r="EB227" s="1041" t="s">
        <v>2563</v>
      </c>
      <c r="EC227" s="802">
        <v>243000000</v>
      </c>
      <c r="EE227" s="1047"/>
    </row>
    <row r="228" spans="4:135" s="534" customFormat="1" ht="38.25" hidden="1" x14ac:dyDescent="0.3">
      <c r="D228" s="783">
        <v>225</v>
      </c>
      <c r="E228" s="799">
        <v>273</v>
      </c>
      <c r="F228" s="787" t="s">
        <v>200</v>
      </c>
      <c r="G228" s="739" t="s">
        <v>9</v>
      </c>
      <c r="H228" s="790" t="s">
        <v>2200</v>
      </c>
      <c r="I228" s="712" t="s">
        <v>763</v>
      </c>
      <c r="J228" s="573" t="s">
        <v>770</v>
      </c>
      <c r="K228" s="573" t="s">
        <v>771</v>
      </c>
      <c r="L228" s="702" t="s">
        <v>2211</v>
      </c>
      <c r="M228" s="571" t="s">
        <v>2032</v>
      </c>
      <c r="N228" s="571">
        <v>0</v>
      </c>
      <c r="O228" s="570">
        <f>+P228</f>
        <v>116</v>
      </c>
      <c r="P228" s="569">
        <v>116</v>
      </c>
      <c r="Q228" s="628">
        <v>0.16500000000000001</v>
      </c>
      <c r="R228" s="580">
        <f t="shared" si="190"/>
        <v>4.1250000000000002E-2</v>
      </c>
      <c r="S228" s="627">
        <v>116</v>
      </c>
      <c r="T228" s="625">
        <f t="shared" si="174"/>
        <v>0.25</v>
      </c>
      <c r="U228" s="992">
        <v>116</v>
      </c>
      <c r="V228" s="626">
        <f t="shared" si="175"/>
        <v>29</v>
      </c>
      <c r="W228" s="594">
        <f t="shared" si="176"/>
        <v>100</v>
      </c>
      <c r="X228" s="594">
        <f t="shared" si="191"/>
        <v>100</v>
      </c>
      <c r="Y228" s="594">
        <f t="shared" si="215"/>
        <v>4.1250000000000002E-2</v>
      </c>
      <c r="Z228" s="594">
        <f t="shared" si="192"/>
        <v>100</v>
      </c>
      <c r="AA228" s="593">
        <v>0</v>
      </c>
      <c r="AB228" s="593">
        <v>0</v>
      </c>
      <c r="AC228" s="593">
        <v>0</v>
      </c>
      <c r="AD228" s="593">
        <v>0</v>
      </c>
      <c r="AE228" s="593">
        <v>0</v>
      </c>
      <c r="AF228" s="593">
        <v>0</v>
      </c>
      <c r="AG228" s="593">
        <v>0</v>
      </c>
      <c r="AH228" s="593">
        <v>0</v>
      </c>
      <c r="AI228" s="593">
        <v>0</v>
      </c>
      <c r="AJ228" s="593">
        <v>0</v>
      </c>
      <c r="AK228" s="593">
        <v>0</v>
      </c>
      <c r="AL228" s="593">
        <v>0</v>
      </c>
      <c r="AM228" s="593">
        <v>0</v>
      </c>
      <c r="AN228" s="593">
        <v>0</v>
      </c>
      <c r="AO228" s="593">
        <v>0</v>
      </c>
      <c r="AP228" s="593">
        <v>0</v>
      </c>
      <c r="AQ228" s="593">
        <v>0</v>
      </c>
      <c r="AR228" s="593">
        <v>0</v>
      </c>
      <c r="AS228" s="593">
        <v>0</v>
      </c>
      <c r="AT228" s="570">
        <f t="shared" si="193"/>
        <v>4.1250000000000002E-2</v>
      </c>
      <c r="AU228" s="571">
        <v>116</v>
      </c>
      <c r="AV228" s="625">
        <f t="shared" si="177"/>
        <v>0.25</v>
      </c>
      <c r="AW228" s="1015">
        <v>116</v>
      </c>
      <c r="AX228" s="604">
        <f t="shared" si="178"/>
        <v>29</v>
      </c>
      <c r="AY228" s="604">
        <f t="shared" si="179"/>
        <v>100</v>
      </c>
      <c r="AZ228" s="604">
        <f t="shared" si="194"/>
        <v>100</v>
      </c>
      <c r="BA228" s="592">
        <f t="shared" si="195"/>
        <v>4.1250000000000002E-2</v>
      </c>
      <c r="BB228" s="592">
        <f t="shared" si="196"/>
        <v>100</v>
      </c>
      <c r="BC228" s="591">
        <v>130000000</v>
      </c>
      <c r="BD228" s="591">
        <v>0</v>
      </c>
      <c r="BE228" s="591">
        <v>10000000</v>
      </c>
      <c r="BF228" s="591">
        <v>0</v>
      </c>
      <c r="BG228" s="591">
        <v>0</v>
      </c>
      <c r="BH228" s="591">
        <v>0</v>
      </c>
      <c r="BI228" s="591">
        <v>0</v>
      </c>
      <c r="BJ228" s="591">
        <v>120000000</v>
      </c>
      <c r="BK228" s="700">
        <v>94867000</v>
      </c>
      <c r="BL228" s="589">
        <v>94867000</v>
      </c>
      <c r="BM228" s="589">
        <v>0</v>
      </c>
      <c r="BN228" s="589">
        <v>0</v>
      </c>
      <c r="BO228" s="589">
        <v>0</v>
      </c>
      <c r="BP228" s="589">
        <v>0</v>
      </c>
      <c r="BQ228" s="589">
        <v>0</v>
      </c>
      <c r="BR228" s="589">
        <v>0</v>
      </c>
      <c r="BS228" s="589">
        <v>0</v>
      </c>
      <c r="BT228" s="589">
        <v>0</v>
      </c>
      <c r="BU228" s="589">
        <v>0</v>
      </c>
      <c r="BV228" s="588">
        <f t="shared" si="197"/>
        <v>4.1250000000000002E-2</v>
      </c>
      <c r="BW228" s="588">
        <v>116</v>
      </c>
      <c r="BX228" s="623">
        <f t="shared" si="180"/>
        <v>0.25</v>
      </c>
      <c r="BY228" s="607">
        <v>116</v>
      </c>
      <c r="BZ228" s="629">
        <v>116</v>
      </c>
      <c r="CA228" s="1017">
        <v>116</v>
      </c>
      <c r="CB228" s="557">
        <f t="shared" si="181"/>
        <v>29</v>
      </c>
      <c r="CC228" s="557">
        <f t="shared" si="182"/>
        <v>100</v>
      </c>
      <c r="CD228" s="622">
        <f t="shared" si="198"/>
        <v>100</v>
      </c>
      <c r="CE228" s="621">
        <f t="shared" si="199"/>
        <v>4.1250000000000002E-2</v>
      </c>
      <c r="CF228" s="605">
        <f t="shared" si="200"/>
        <v>100</v>
      </c>
      <c r="CG228" s="621">
        <f t="shared" si="201"/>
        <v>4.1250000000000002E-2</v>
      </c>
      <c r="CH228" s="553">
        <f t="shared" si="202"/>
        <v>4.1250000000000002E-2</v>
      </c>
      <c r="CI228" s="552">
        <v>36</v>
      </c>
      <c r="CJ228" s="551">
        <f t="shared" si="183"/>
        <v>0.25</v>
      </c>
      <c r="CK228" s="874">
        <v>116</v>
      </c>
      <c r="CL228" s="533">
        <f t="shared" si="184"/>
        <v>-80</v>
      </c>
      <c r="CM228" s="619">
        <f t="shared" si="185"/>
        <v>29</v>
      </c>
      <c r="CN228" s="619">
        <f t="shared" si="186"/>
        <v>322.22222222222223</v>
      </c>
      <c r="CO228" s="619">
        <f t="shared" si="203"/>
        <v>100</v>
      </c>
      <c r="CP228" s="619">
        <f t="shared" si="204"/>
        <v>4.1250000000000002E-2</v>
      </c>
      <c r="CQ228" s="619">
        <f t="shared" si="205"/>
        <v>0.13291666666666668</v>
      </c>
      <c r="CR228" s="546">
        <v>155000000</v>
      </c>
      <c r="CS228" s="546">
        <v>35000000</v>
      </c>
      <c r="CT228" s="546">
        <v>0</v>
      </c>
      <c r="CU228" s="546">
        <v>0</v>
      </c>
      <c r="CV228" s="546">
        <v>0</v>
      </c>
      <c r="CW228" s="546">
        <v>0</v>
      </c>
      <c r="CX228" s="546">
        <v>0</v>
      </c>
      <c r="CY228" s="546">
        <v>120000000</v>
      </c>
      <c r="CZ228" s="618">
        <v>0</v>
      </c>
      <c r="DA228" s="618">
        <v>0</v>
      </c>
      <c r="DB228" s="618">
        <v>0</v>
      </c>
      <c r="DC228" s="618">
        <v>0</v>
      </c>
      <c r="DD228" s="618">
        <v>0</v>
      </c>
      <c r="DE228" s="618">
        <v>0</v>
      </c>
      <c r="DF228" s="618">
        <v>0</v>
      </c>
      <c r="DG228" s="618">
        <v>0</v>
      </c>
      <c r="DH228" s="618">
        <v>0</v>
      </c>
      <c r="DI228" s="618">
        <v>0</v>
      </c>
      <c r="DJ228" s="618">
        <v>0</v>
      </c>
      <c r="DK228" s="1034">
        <f t="shared" si="187"/>
        <v>116</v>
      </c>
      <c r="DL228" s="543">
        <f t="shared" si="206"/>
        <v>0.16500000000000001</v>
      </c>
      <c r="DM228" s="542">
        <f t="shared" si="207"/>
        <v>100</v>
      </c>
      <c r="DN228" s="594">
        <f t="shared" si="208"/>
        <v>100</v>
      </c>
      <c r="DO228" s="540">
        <f t="shared" si="209"/>
        <v>0.16500000000000001</v>
      </c>
      <c r="DP228" s="597">
        <f>+IF(M228="M",DO228,0)</f>
        <v>0.16500000000000001</v>
      </c>
      <c r="DQ228" s="538">
        <f t="shared" si="210"/>
        <v>0.16500000000000001</v>
      </c>
      <c r="DR228" s="617">
        <f t="shared" si="211"/>
        <v>1</v>
      </c>
      <c r="DS228" s="616">
        <f t="shared" si="212"/>
        <v>0</v>
      </c>
      <c r="DT228" s="259">
        <v>269</v>
      </c>
      <c r="DU228" s="260" t="s">
        <v>275</v>
      </c>
      <c r="DV228" s="259"/>
      <c r="DW228" s="260" t="s">
        <v>242</v>
      </c>
      <c r="DX228" s="259"/>
      <c r="DY228" s="259"/>
      <c r="DZ228" s="259"/>
      <c r="EA228" s="987"/>
      <c r="EB228" s="1041" t="s">
        <v>2564</v>
      </c>
      <c r="EC228" s="802">
        <v>155000000</v>
      </c>
      <c r="EE228" s="1047"/>
    </row>
    <row r="229" spans="4:135" s="534" customFormat="1" ht="63.75" hidden="1" x14ac:dyDescent="0.3">
      <c r="D229" s="783">
        <v>226</v>
      </c>
      <c r="E229" s="799">
        <v>274</v>
      </c>
      <c r="F229" s="787" t="s">
        <v>200</v>
      </c>
      <c r="G229" s="739" t="s">
        <v>9</v>
      </c>
      <c r="H229" s="790" t="s">
        <v>2200</v>
      </c>
      <c r="I229" s="712" t="s">
        <v>763</v>
      </c>
      <c r="J229" s="573" t="s">
        <v>772</v>
      </c>
      <c r="K229" s="573" t="s">
        <v>773</v>
      </c>
      <c r="L229" s="701" t="s">
        <v>2210</v>
      </c>
      <c r="M229" s="571" t="s">
        <v>2032</v>
      </c>
      <c r="N229" s="571">
        <v>0</v>
      </c>
      <c r="O229" s="570">
        <f>+P229</f>
        <v>100</v>
      </c>
      <c r="P229" s="569">
        <v>100</v>
      </c>
      <c r="Q229" s="628">
        <v>0.16500000000000001</v>
      </c>
      <c r="R229" s="580">
        <f t="shared" si="190"/>
        <v>4.1250000000000002E-2</v>
      </c>
      <c r="S229" s="627">
        <v>100</v>
      </c>
      <c r="T229" s="625">
        <f t="shared" si="174"/>
        <v>0.25</v>
      </c>
      <c r="U229" s="992">
        <v>100</v>
      </c>
      <c r="V229" s="626">
        <f t="shared" si="175"/>
        <v>25</v>
      </c>
      <c r="W229" s="594">
        <f t="shared" si="176"/>
        <v>100</v>
      </c>
      <c r="X229" s="594">
        <f t="shared" si="191"/>
        <v>100</v>
      </c>
      <c r="Y229" s="594">
        <f t="shared" si="215"/>
        <v>4.1250000000000002E-2</v>
      </c>
      <c r="Z229" s="594">
        <f t="shared" si="192"/>
        <v>100</v>
      </c>
      <c r="AA229" s="593">
        <v>20000000</v>
      </c>
      <c r="AB229" s="593">
        <v>20000000</v>
      </c>
      <c r="AC229" s="593">
        <v>0</v>
      </c>
      <c r="AD229" s="593">
        <v>0</v>
      </c>
      <c r="AE229" s="593">
        <v>0</v>
      </c>
      <c r="AF229" s="593">
        <v>0</v>
      </c>
      <c r="AG229" s="593">
        <v>0</v>
      </c>
      <c r="AH229" s="593">
        <v>0</v>
      </c>
      <c r="AI229" s="593">
        <v>0</v>
      </c>
      <c r="AJ229" s="593">
        <v>0</v>
      </c>
      <c r="AK229" s="593">
        <v>0</v>
      </c>
      <c r="AL229" s="593">
        <v>0</v>
      </c>
      <c r="AM229" s="593">
        <v>0</v>
      </c>
      <c r="AN229" s="593">
        <v>0</v>
      </c>
      <c r="AO229" s="593">
        <v>0</v>
      </c>
      <c r="AP229" s="593">
        <v>0</v>
      </c>
      <c r="AQ229" s="593">
        <v>0</v>
      </c>
      <c r="AR229" s="593">
        <v>0</v>
      </c>
      <c r="AS229" s="593">
        <v>0</v>
      </c>
      <c r="AT229" s="570">
        <f t="shared" si="193"/>
        <v>4.1250000000000002E-2</v>
      </c>
      <c r="AU229" s="571">
        <v>100</v>
      </c>
      <c r="AV229" s="625">
        <f t="shared" si="177"/>
        <v>0.25</v>
      </c>
      <c r="AW229" s="1003">
        <v>100</v>
      </c>
      <c r="AX229" s="604">
        <f t="shared" si="178"/>
        <v>25</v>
      </c>
      <c r="AY229" s="604">
        <f t="shared" si="179"/>
        <v>100</v>
      </c>
      <c r="AZ229" s="604">
        <f t="shared" si="194"/>
        <v>100</v>
      </c>
      <c r="BA229" s="592">
        <f t="shared" si="195"/>
        <v>4.1250000000000002E-2</v>
      </c>
      <c r="BB229" s="592">
        <f t="shared" si="196"/>
        <v>100</v>
      </c>
      <c r="BC229" s="591">
        <v>55000000</v>
      </c>
      <c r="BD229" s="591">
        <v>0</v>
      </c>
      <c r="BE229" s="591">
        <v>25000000</v>
      </c>
      <c r="BF229" s="591">
        <v>0</v>
      </c>
      <c r="BG229" s="591">
        <v>0</v>
      </c>
      <c r="BH229" s="591">
        <v>0</v>
      </c>
      <c r="BI229" s="591">
        <v>0</v>
      </c>
      <c r="BJ229" s="591">
        <v>30000000</v>
      </c>
      <c r="BK229" s="700">
        <v>0</v>
      </c>
      <c r="BL229" s="589">
        <v>0</v>
      </c>
      <c r="BM229" s="589">
        <v>0</v>
      </c>
      <c r="BN229" s="589">
        <v>0</v>
      </c>
      <c r="BO229" s="589">
        <v>0</v>
      </c>
      <c r="BP229" s="589">
        <v>0</v>
      </c>
      <c r="BQ229" s="589">
        <v>0</v>
      </c>
      <c r="BR229" s="589">
        <v>0</v>
      </c>
      <c r="BS229" s="589">
        <v>0</v>
      </c>
      <c r="BT229" s="589">
        <v>0</v>
      </c>
      <c r="BU229" s="589">
        <v>0</v>
      </c>
      <c r="BV229" s="588">
        <f t="shared" si="197"/>
        <v>4.1250000000000002E-2</v>
      </c>
      <c r="BW229" s="588">
        <v>100</v>
      </c>
      <c r="BX229" s="623">
        <f t="shared" si="180"/>
        <v>0.25</v>
      </c>
      <c r="BY229" s="607">
        <v>50</v>
      </c>
      <c r="BZ229" s="629">
        <v>50</v>
      </c>
      <c r="CA229" s="1017">
        <v>100</v>
      </c>
      <c r="CB229" s="557">
        <f t="shared" si="181"/>
        <v>25</v>
      </c>
      <c r="CC229" s="557">
        <f t="shared" si="182"/>
        <v>100</v>
      </c>
      <c r="CD229" s="622">
        <f t="shared" si="198"/>
        <v>100</v>
      </c>
      <c r="CE229" s="621">
        <f t="shared" si="199"/>
        <v>4.1250000000000002E-2</v>
      </c>
      <c r="CF229" s="605">
        <f t="shared" si="200"/>
        <v>100</v>
      </c>
      <c r="CG229" s="621">
        <f t="shared" si="201"/>
        <v>4.1250000000000002E-2</v>
      </c>
      <c r="CH229" s="553">
        <f t="shared" si="202"/>
        <v>4.1250000000000002E-2</v>
      </c>
      <c r="CI229" s="552">
        <v>100</v>
      </c>
      <c r="CJ229" s="551">
        <f t="shared" si="183"/>
        <v>0.25</v>
      </c>
      <c r="CK229" s="875">
        <v>0</v>
      </c>
      <c r="CL229" s="533">
        <f t="shared" si="184"/>
        <v>100</v>
      </c>
      <c r="CM229" s="619">
        <f t="shared" si="185"/>
        <v>0</v>
      </c>
      <c r="CN229" s="619">
        <f t="shared" si="186"/>
        <v>0</v>
      </c>
      <c r="CO229" s="619">
        <f t="shared" si="203"/>
        <v>0</v>
      </c>
      <c r="CP229" s="619">
        <f t="shared" si="204"/>
        <v>0</v>
      </c>
      <c r="CQ229" s="619">
        <f t="shared" si="205"/>
        <v>0</v>
      </c>
      <c r="CR229" s="546">
        <v>55000000</v>
      </c>
      <c r="CS229" s="546">
        <v>15000000</v>
      </c>
      <c r="CT229" s="546">
        <v>0</v>
      </c>
      <c r="CU229" s="546">
        <v>0</v>
      </c>
      <c r="CV229" s="546">
        <v>0</v>
      </c>
      <c r="CW229" s="546">
        <v>0</v>
      </c>
      <c r="CX229" s="546">
        <v>0</v>
      </c>
      <c r="CY229" s="546">
        <v>40000000</v>
      </c>
      <c r="CZ229" s="618">
        <v>0</v>
      </c>
      <c r="DA229" s="618">
        <v>0</v>
      </c>
      <c r="DB229" s="618">
        <v>0</v>
      </c>
      <c r="DC229" s="618">
        <v>0</v>
      </c>
      <c r="DD229" s="618">
        <v>0</v>
      </c>
      <c r="DE229" s="618">
        <v>0</v>
      </c>
      <c r="DF229" s="618">
        <v>0</v>
      </c>
      <c r="DG229" s="618">
        <v>0</v>
      </c>
      <c r="DH229" s="618">
        <v>0</v>
      </c>
      <c r="DI229" s="618">
        <v>0</v>
      </c>
      <c r="DJ229" s="618">
        <v>0</v>
      </c>
      <c r="DK229" s="1034">
        <f t="shared" si="187"/>
        <v>75</v>
      </c>
      <c r="DL229" s="543">
        <f t="shared" si="206"/>
        <v>0.16500000000000001</v>
      </c>
      <c r="DM229" s="542">
        <f t="shared" si="207"/>
        <v>75</v>
      </c>
      <c r="DN229" s="594">
        <f t="shared" si="208"/>
        <v>75</v>
      </c>
      <c r="DO229" s="540">
        <f t="shared" si="209"/>
        <v>0.12375</v>
      </c>
      <c r="DP229" s="597">
        <f>+IF(M229="M",DO229,0)</f>
        <v>0.12375</v>
      </c>
      <c r="DQ229" s="538">
        <f t="shared" si="210"/>
        <v>0.12375</v>
      </c>
      <c r="DR229" s="617">
        <f t="shared" si="211"/>
        <v>1</v>
      </c>
      <c r="DS229" s="616">
        <f t="shared" si="212"/>
        <v>0</v>
      </c>
      <c r="DT229" s="259">
        <v>269</v>
      </c>
      <c r="DU229" s="260" t="s">
        <v>275</v>
      </c>
      <c r="DV229" s="259"/>
      <c r="DW229" s="260" t="s">
        <v>242</v>
      </c>
      <c r="DX229" s="259"/>
      <c r="DY229" s="259"/>
      <c r="DZ229" s="259"/>
      <c r="EA229" s="987"/>
      <c r="EB229" s="1041" t="s">
        <v>2565</v>
      </c>
      <c r="EC229" s="802">
        <v>80000000</v>
      </c>
      <c r="EE229" s="1047"/>
    </row>
    <row r="230" spans="4:135" s="534" customFormat="1" ht="76.5" hidden="1" x14ac:dyDescent="0.3">
      <c r="D230" s="783">
        <v>227</v>
      </c>
      <c r="E230" s="799">
        <v>275</v>
      </c>
      <c r="F230" s="787" t="s">
        <v>200</v>
      </c>
      <c r="G230" s="739" t="s">
        <v>9</v>
      </c>
      <c r="H230" s="790" t="s">
        <v>2200</v>
      </c>
      <c r="I230" s="712" t="s">
        <v>763</v>
      </c>
      <c r="J230" s="573" t="s">
        <v>774</v>
      </c>
      <c r="K230" s="573" t="s">
        <v>775</v>
      </c>
      <c r="L230" s="701" t="s">
        <v>1707</v>
      </c>
      <c r="M230" s="571" t="s">
        <v>2017</v>
      </c>
      <c r="N230" s="571">
        <v>0</v>
      </c>
      <c r="O230" s="570">
        <f>+N230+P230</f>
        <v>6</v>
      </c>
      <c r="P230" s="569">
        <v>6</v>
      </c>
      <c r="Q230" s="628">
        <v>0.16500000000000001</v>
      </c>
      <c r="R230" s="580">
        <f t="shared" si="190"/>
        <v>0</v>
      </c>
      <c r="S230" s="627">
        <v>0</v>
      </c>
      <c r="T230" s="625">
        <f t="shared" si="174"/>
        <v>0</v>
      </c>
      <c r="U230" s="992">
        <v>0</v>
      </c>
      <c r="V230" s="626">
        <f t="shared" si="175"/>
        <v>0</v>
      </c>
      <c r="W230" s="594">
        <f t="shared" si="176"/>
        <v>0</v>
      </c>
      <c r="X230" s="594">
        <f t="shared" si="191"/>
        <v>0</v>
      </c>
      <c r="Y230" s="594">
        <f t="shared" si="215"/>
        <v>0</v>
      </c>
      <c r="Z230" s="594">
        <f t="shared" si="192"/>
        <v>0</v>
      </c>
      <c r="AA230" s="593">
        <v>30000000</v>
      </c>
      <c r="AB230" s="593">
        <v>30000000</v>
      </c>
      <c r="AC230" s="593">
        <v>0</v>
      </c>
      <c r="AD230" s="593">
        <v>0</v>
      </c>
      <c r="AE230" s="593">
        <v>0</v>
      </c>
      <c r="AF230" s="593">
        <v>0</v>
      </c>
      <c r="AG230" s="593">
        <v>0</v>
      </c>
      <c r="AH230" s="593">
        <v>0</v>
      </c>
      <c r="AI230" s="593">
        <v>0</v>
      </c>
      <c r="AJ230" s="593">
        <v>0</v>
      </c>
      <c r="AK230" s="593">
        <v>0</v>
      </c>
      <c r="AL230" s="593">
        <v>0</v>
      </c>
      <c r="AM230" s="593">
        <v>0</v>
      </c>
      <c r="AN230" s="593">
        <v>0</v>
      </c>
      <c r="AO230" s="593">
        <v>0</v>
      </c>
      <c r="AP230" s="593">
        <v>0</v>
      </c>
      <c r="AQ230" s="593">
        <v>0</v>
      </c>
      <c r="AR230" s="593">
        <v>0</v>
      </c>
      <c r="AS230" s="593">
        <v>0</v>
      </c>
      <c r="AT230" s="570">
        <f t="shared" si="193"/>
        <v>0</v>
      </c>
      <c r="AU230" s="571">
        <v>0</v>
      </c>
      <c r="AV230" s="625">
        <f t="shared" si="177"/>
        <v>0</v>
      </c>
      <c r="AW230" s="1003">
        <v>0</v>
      </c>
      <c r="AX230" s="604">
        <f t="shared" si="178"/>
        <v>0</v>
      </c>
      <c r="AY230" s="604">
        <f t="shared" si="179"/>
        <v>0</v>
      </c>
      <c r="AZ230" s="604">
        <f t="shared" si="194"/>
        <v>0</v>
      </c>
      <c r="BA230" s="592">
        <f t="shared" si="195"/>
        <v>0</v>
      </c>
      <c r="BB230" s="592">
        <f t="shared" si="196"/>
        <v>0</v>
      </c>
      <c r="BC230" s="591">
        <v>40000000</v>
      </c>
      <c r="BD230" s="591">
        <v>0</v>
      </c>
      <c r="BE230" s="591">
        <v>10000000</v>
      </c>
      <c r="BF230" s="591">
        <v>0</v>
      </c>
      <c r="BG230" s="591">
        <v>0</v>
      </c>
      <c r="BH230" s="591">
        <v>0</v>
      </c>
      <c r="BI230" s="591">
        <v>0</v>
      </c>
      <c r="BJ230" s="591">
        <v>30000000</v>
      </c>
      <c r="BK230" s="700">
        <v>0</v>
      </c>
      <c r="BL230" s="589">
        <v>0</v>
      </c>
      <c r="BM230" s="589">
        <v>0</v>
      </c>
      <c r="BN230" s="589">
        <v>0</v>
      </c>
      <c r="BO230" s="589">
        <v>0</v>
      </c>
      <c r="BP230" s="589">
        <v>0</v>
      </c>
      <c r="BQ230" s="589">
        <v>0</v>
      </c>
      <c r="BR230" s="589">
        <v>0</v>
      </c>
      <c r="BS230" s="589">
        <v>0</v>
      </c>
      <c r="BT230" s="589">
        <v>0</v>
      </c>
      <c r="BU230" s="589">
        <v>0</v>
      </c>
      <c r="BV230" s="588">
        <f t="shared" si="197"/>
        <v>0.16500000000000001</v>
      </c>
      <c r="BW230" s="588">
        <v>6</v>
      </c>
      <c r="BX230" s="623">
        <f t="shared" si="180"/>
        <v>1</v>
      </c>
      <c r="BY230" s="607">
        <v>75</v>
      </c>
      <c r="BZ230" s="629">
        <v>75</v>
      </c>
      <c r="CA230" s="1017">
        <v>6</v>
      </c>
      <c r="CB230" s="557">
        <f t="shared" si="181"/>
        <v>6</v>
      </c>
      <c r="CC230" s="557">
        <f t="shared" si="182"/>
        <v>100</v>
      </c>
      <c r="CD230" s="622">
        <f t="shared" si="198"/>
        <v>100</v>
      </c>
      <c r="CE230" s="621">
        <f t="shared" si="199"/>
        <v>0.16500000000000001</v>
      </c>
      <c r="CF230" s="605">
        <f t="shared" si="200"/>
        <v>100</v>
      </c>
      <c r="CG230" s="621">
        <f t="shared" si="201"/>
        <v>0.16500000000000001</v>
      </c>
      <c r="CH230" s="553">
        <f t="shared" si="202"/>
        <v>0</v>
      </c>
      <c r="CI230" s="552">
        <v>0</v>
      </c>
      <c r="CJ230" s="551">
        <f t="shared" si="183"/>
        <v>0</v>
      </c>
      <c r="CK230" s="874">
        <v>100</v>
      </c>
      <c r="CL230" s="533">
        <f t="shared" si="184"/>
        <v>-100</v>
      </c>
      <c r="CM230" s="619">
        <f t="shared" si="185"/>
        <v>100</v>
      </c>
      <c r="CN230" s="619">
        <f t="shared" si="186"/>
        <v>0</v>
      </c>
      <c r="CO230" s="549">
        <f t="shared" si="203"/>
        <v>0</v>
      </c>
      <c r="CP230" s="619">
        <f t="shared" si="204"/>
        <v>0</v>
      </c>
      <c r="CQ230" s="619">
        <f t="shared" si="205"/>
        <v>0</v>
      </c>
      <c r="CR230" s="546">
        <v>50000000</v>
      </c>
      <c r="CS230" s="546">
        <v>10000000</v>
      </c>
      <c r="CT230" s="546">
        <v>0</v>
      </c>
      <c r="CU230" s="546">
        <v>0</v>
      </c>
      <c r="CV230" s="546">
        <v>0</v>
      </c>
      <c r="CW230" s="546">
        <v>0</v>
      </c>
      <c r="CX230" s="546">
        <v>0</v>
      </c>
      <c r="CY230" s="546">
        <v>40000000</v>
      </c>
      <c r="CZ230" s="618">
        <v>0</v>
      </c>
      <c r="DA230" s="618">
        <v>0</v>
      </c>
      <c r="DB230" s="618">
        <v>0</v>
      </c>
      <c r="DC230" s="618">
        <v>0</v>
      </c>
      <c r="DD230" s="618">
        <v>0</v>
      </c>
      <c r="DE230" s="618">
        <v>0</v>
      </c>
      <c r="DF230" s="618">
        <v>0</v>
      </c>
      <c r="DG230" s="618">
        <v>0</v>
      </c>
      <c r="DH230" s="618">
        <v>0</v>
      </c>
      <c r="DI230" s="618">
        <v>0</v>
      </c>
      <c r="DJ230" s="618">
        <v>0</v>
      </c>
      <c r="DK230" s="1034">
        <f t="shared" si="187"/>
        <v>106</v>
      </c>
      <c r="DL230" s="543">
        <f t="shared" si="206"/>
        <v>0.16500000000000001</v>
      </c>
      <c r="DM230" s="542">
        <f t="shared" si="207"/>
        <v>1766.6666666666667</v>
      </c>
      <c r="DN230" s="594">
        <f t="shared" si="208"/>
        <v>100</v>
      </c>
      <c r="DO230" s="540">
        <f t="shared" si="209"/>
        <v>0.16500000000000001</v>
      </c>
      <c r="DP230" s="597">
        <f>+IF(((DN230*Q230)/100)&lt;Q230, ((DN230*Q230)/100),Q230)</f>
        <v>0.16500000000000001</v>
      </c>
      <c r="DQ230" s="538">
        <f t="shared" si="210"/>
        <v>0.16500000000000001</v>
      </c>
      <c r="DR230" s="617">
        <f t="shared" si="211"/>
        <v>1</v>
      </c>
      <c r="DS230" s="616">
        <f t="shared" si="212"/>
        <v>0</v>
      </c>
      <c r="DT230" s="259">
        <v>269</v>
      </c>
      <c r="DU230" s="260" t="s">
        <v>275</v>
      </c>
      <c r="DV230" s="259"/>
      <c r="DW230" s="260" t="s">
        <v>242</v>
      </c>
      <c r="DX230" s="259"/>
      <c r="DY230" s="259"/>
      <c r="DZ230" s="259"/>
      <c r="EA230" s="987"/>
      <c r="EB230" s="1041" t="s">
        <v>2566</v>
      </c>
      <c r="EC230" s="802">
        <v>40000000</v>
      </c>
      <c r="EE230" s="1047"/>
    </row>
    <row r="231" spans="4:135" s="534" customFormat="1" ht="76.5" hidden="1" x14ac:dyDescent="0.3">
      <c r="D231" s="783">
        <v>228</v>
      </c>
      <c r="E231" s="799">
        <v>276</v>
      </c>
      <c r="F231" s="787" t="s">
        <v>200</v>
      </c>
      <c r="G231" s="739" t="s">
        <v>239</v>
      </c>
      <c r="H231" s="790" t="s">
        <v>2200</v>
      </c>
      <c r="I231" s="712" t="s">
        <v>763</v>
      </c>
      <c r="J231" s="573" t="s">
        <v>2209</v>
      </c>
      <c r="K231" s="573" t="s">
        <v>776</v>
      </c>
      <c r="L231" s="701" t="s">
        <v>2208</v>
      </c>
      <c r="M231" s="571" t="s">
        <v>2017</v>
      </c>
      <c r="N231" s="571">
        <v>0</v>
      </c>
      <c r="O231" s="570">
        <f>+N231+P231</f>
        <v>4</v>
      </c>
      <c r="P231" s="569">
        <v>4</v>
      </c>
      <c r="Q231" s="628">
        <v>0.16500000000000001</v>
      </c>
      <c r="R231" s="580">
        <f t="shared" si="190"/>
        <v>4.1250000000000002E-2</v>
      </c>
      <c r="S231" s="627">
        <v>1</v>
      </c>
      <c r="T231" s="625">
        <f t="shared" si="174"/>
        <v>0.25</v>
      </c>
      <c r="U231" s="992">
        <v>1</v>
      </c>
      <c r="V231" s="626">
        <f t="shared" si="175"/>
        <v>1</v>
      </c>
      <c r="W231" s="594">
        <f t="shared" si="176"/>
        <v>100</v>
      </c>
      <c r="X231" s="594">
        <f t="shared" si="191"/>
        <v>100</v>
      </c>
      <c r="Y231" s="594">
        <f t="shared" si="215"/>
        <v>4.1250000000000002E-2</v>
      </c>
      <c r="Z231" s="594">
        <f t="shared" si="192"/>
        <v>100</v>
      </c>
      <c r="AA231" s="593">
        <v>0</v>
      </c>
      <c r="AB231" s="593">
        <v>0</v>
      </c>
      <c r="AC231" s="593">
        <v>0</v>
      </c>
      <c r="AD231" s="593">
        <v>0</v>
      </c>
      <c r="AE231" s="593">
        <v>0</v>
      </c>
      <c r="AF231" s="593">
        <v>0</v>
      </c>
      <c r="AG231" s="593">
        <v>0</v>
      </c>
      <c r="AH231" s="593">
        <v>0</v>
      </c>
      <c r="AI231" s="593">
        <v>0</v>
      </c>
      <c r="AJ231" s="593">
        <v>0</v>
      </c>
      <c r="AK231" s="593">
        <v>0</v>
      </c>
      <c r="AL231" s="593">
        <v>0</v>
      </c>
      <c r="AM231" s="593">
        <v>0</v>
      </c>
      <c r="AN231" s="593">
        <v>0</v>
      </c>
      <c r="AO231" s="593">
        <v>0</v>
      </c>
      <c r="AP231" s="593">
        <v>0</v>
      </c>
      <c r="AQ231" s="593">
        <v>0</v>
      </c>
      <c r="AR231" s="593">
        <v>0</v>
      </c>
      <c r="AS231" s="593">
        <v>0</v>
      </c>
      <c r="AT231" s="570">
        <f t="shared" si="193"/>
        <v>4.1250000000000002E-2</v>
      </c>
      <c r="AU231" s="571">
        <v>1</v>
      </c>
      <c r="AV231" s="625">
        <f t="shared" si="177"/>
        <v>0.25</v>
      </c>
      <c r="AW231" s="1003">
        <v>1</v>
      </c>
      <c r="AX231" s="604">
        <f t="shared" si="178"/>
        <v>1</v>
      </c>
      <c r="AY231" s="604">
        <f t="shared" si="179"/>
        <v>100</v>
      </c>
      <c r="AZ231" s="604">
        <f t="shared" si="194"/>
        <v>100</v>
      </c>
      <c r="BA231" s="592">
        <f t="shared" si="195"/>
        <v>4.1250000000000002E-2</v>
      </c>
      <c r="BB231" s="592">
        <f t="shared" si="196"/>
        <v>100</v>
      </c>
      <c r="BC231" s="591">
        <v>60000000</v>
      </c>
      <c r="BD231" s="591">
        <v>0</v>
      </c>
      <c r="BE231" s="591">
        <v>0</v>
      </c>
      <c r="BF231" s="591">
        <v>0</v>
      </c>
      <c r="BG231" s="591">
        <v>0</v>
      </c>
      <c r="BH231" s="591">
        <v>0</v>
      </c>
      <c r="BI231" s="591">
        <v>0</v>
      </c>
      <c r="BJ231" s="591">
        <v>60000000</v>
      </c>
      <c r="BK231" s="700">
        <v>25000000</v>
      </c>
      <c r="BL231" s="589">
        <v>25000000</v>
      </c>
      <c r="BM231" s="589">
        <v>0</v>
      </c>
      <c r="BN231" s="589">
        <v>0</v>
      </c>
      <c r="BO231" s="589">
        <v>0</v>
      </c>
      <c r="BP231" s="589">
        <v>0</v>
      </c>
      <c r="BQ231" s="589">
        <v>0</v>
      </c>
      <c r="BR231" s="589">
        <v>0</v>
      </c>
      <c r="BS231" s="589">
        <v>0</v>
      </c>
      <c r="BT231" s="589">
        <v>0</v>
      </c>
      <c r="BU231" s="589">
        <v>0</v>
      </c>
      <c r="BV231" s="588">
        <f t="shared" si="197"/>
        <v>4.1250000000000002E-2</v>
      </c>
      <c r="BW231" s="588">
        <v>1</v>
      </c>
      <c r="BX231" s="623">
        <f t="shared" si="180"/>
        <v>0.25</v>
      </c>
      <c r="BY231" s="607">
        <v>0</v>
      </c>
      <c r="BZ231" s="629">
        <v>0</v>
      </c>
      <c r="CA231" s="1017">
        <v>1</v>
      </c>
      <c r="CB231" s="557">
        <f t="shared" si="181"/>
        <v>1</v>
      </c>
      <c r="CC231" s="557">
        <f t="shared" si="182"/>
        <v>100</v>
      </c>
      <c r="CD231" s="622">
        <f t="shared" si="198"/>
        <v>100</v>
      </c>
      <c r="CE231" s="621">
        <f t="shared" si="199"/>
        <v>4.1250000000000002E-2</v>
      </c>
      <c r="CF231" s="605">
        <f t="shared" si="200"/>
        <v>100</v>
      </c>
      <c r="CG231" s="621">
        <f t="shared" si="201"/>
        <v>4.1250000000000002E-2</v>
      </c>
      <c r="CH231" s="553">
        <f t="shared" si="202"/>
        <v>4.1250000000000002E-2</v>
      </c>
      <c r="CI231" s="552">
        <v>1</v>
      </c>
      <c r="CJ231" s="551">
        <f t="shared" si="183"/>
        <v>0.25</v>
      </c>
      <c r="CK231" s="874">
        <v>0</v>
      </c>
      <c r="CL231" s="533">
        <f t="shared" si="184"/>
        <v>1</v>
      </c>
      <c r="CM231" s="619">
        <f t="shared" si="185"/>
        <v>0</v>
      </c>
      <c r="CN231" s="619">
        <f t="shared" si="186"/>
        <v>0</v>
      </c>
      <c r="CO231" s="549">
        <f t="shared" si="203"/>
        <v>0</v>
      </c>
      <c r="CP231" s="619">
        <f t="shared" si="204"/>
        <v>0</v>
      </c>
      <c r="CQ231" s="619">
        <f t="shared" si="205"/>
        <v>0</v>
      </c>
      <c r="CR231" s="546">
        <v>60000000</v>
      </c>
      <c r="CS231" s="546">
        <v>0</v>
      </c>
      <c r="CT231" s="546">
        <v>0</v>
      </c>
      <c r="CU231" s="546">
        <v>0</v>
      </c>
      <c r="CV231" s="546">
        <v>0</v>
      </c>
      <c r="CW231" s="546">
        <v>0</v>
      </c>
      <c r="CX231" s="546">
        <v>0</v>
      </c>
      <c r="CY231" s="546">
        <v>60000000</v>
      </c>
      <c r="CZ231" s="618">
        <v>0</v>
      </c>
      <c r="DA231" s="618">
        <v>0</v>
      </c>
      <c r="DB231" s="618">
        <v>0</v>
      </c>
      <c r="DC231" s="618">
        <v>0</v>
      </c>
      <c r="DD231" s="618">
        <v>0</v>
      </c>
      <c r="DE231" s="618">
        <v>0</v>
      </c>
      <c r="DF231" s="618">
        <v>0</v>
      </c>
      <c r="DG231" s="618">
        <v>0</v>
      </c>
      <c r="DH231" s="618">
        <v>0</v>
      </c>
      <c r="DI231" s="618">
        <v>0</v>
      </c>
      <c r="DJ231" s="618">
        <v>0</v>
      </c>
      <c r="DK231" s="1034">
        <f t="shared" si="187"/>
        <v>3</v>
      </c>
      <c r="DL231" s="543">
        <f t="shared" si="206"/>
        <v>0.16500000000000001</v>
      </c>
      <c r="DM231" s="542">
        <f t="shared" si="207"/>
        <v>75</v>
      </c>
      <c r="DN231" s="594">
        <f t="shared" si="208"/>
        <v>75</v>
      </c>
      <c r="DO231" s="540">
        <f t="shared" si="209"/>
        <v>0.12375</v>
      </c>
      <c r="DP231" s="597">
        <f>+IF(((DN231*Q231)/100)&lt;Q231, ((DN231*Q231)/100),Q231)</f>
        <v>0.12375</v>
      </c>
      <c r="DQ231" s="538">
        <f t="shared" si="210"/>
        <v>0.12375</v>
      </c>
      <c r="DR231" s="617">
        <f t="shared" si="211"/>
        <v>1</v>
      </c>
      <c r="DS231" s="616">
        <f t="shared" si="212"/>
        <v>0</v>
      </c>
      <c r="DT231" s="259">
        <v>269</v>
      </c>
      <c r="DU231" s="260" t="s">
        <v>275</v>
      </c>
      <c r="DV231" s="259"/>
      <c r="DW231" s="260" t="s">
        <v>242</v>
      </c>
      <c r="DX231" s="259"/>
      <c r="DY231" s="259"/>
      <c r="DZ231" s="259"/>
      <c r="EA231" s="987"/>
      <c r="EB231" s="1041" t="s">
        <v>2567</v>
      </c>
      <c r="EC231" s="802">
        <v>60000000</v>
      </c>
      <c r="EE231" s="1047"/>
    </row>
    <row r="232" spans="4:135" s="534" customFormat="1" ht="38.25" hidden="1" x14ac:dyDescent="0.3">
      <c r="D232" s="783">
        <v>229</v>
      </c>
      <c r="E232" s="799">
        <v>277</v>
      </c>
      <c r="F232" s="787" t="s">
        <v>200</v>
      </c>
      <c r="G232" s="739" t="s">
        <v>9</v>
      </c>
      <c r="H232" s="790" t="s">
        <v>2200</v>
      </c>
      <c r="I232" s="712" t="s">
        <v>777</v>
      </c>
      <c r="J232" s="573" t="s">
        <v>778</v>
      </c>
      <c r="K232" s="573" t="s">
        <v>779</v>
      </c>
      <c r="L232" s="701" t="s">
        <v>2201</v>
      </c>
      <c r="M232" s="571" t="s">
        <v>2032</v>
      </c>
      <c r="N232" s="571">
        <v>100</v>
      </c>
      <c r="O232" s="570">
        <f>+P232</f>
        <v>100</v>
      </c>
      <c r="P232" s="569">
        <v>100</v>
      </c>
      <c r="Q232" s="628">
        <v>0.16500000000000001</v>
      </c>
      <c r="R232" s="580">
        <f t="shared" si="190"/>
        <v>4.1250000000000002E-2</v>
      </c>
      <c r="S232" s="627">
        <v>100</v>
      </c>
      <c r="T232" s="625">
        <f t="shared" si="174"/>
        <v>0.25</v>
      </c>
      <c r="U232" s="992">
        <v>100</v>
      </c>
      <c r="V232" s="626">
        <f t="shared" si="175"/>
        <v>25</v>
      </c>
      <c r="W232" s="594">
        <f t="shared" si="176"/>
        <v>100</v>
      </c>
      <c r="X232" s="594">
        <f t="shared" si="191"/>
        <v>100</v>
      </c>
      <c r="Y232" s="594">
        <f t="shared" si="215"/>
        <v>4.1250000000000002E-2</v>
      </c>
      <c r="Z232" s="594">
        <f t="shared" si="192"/>
        <v>100</v>
      </c>
      <c r="AA232" s="593">
        <v>0</v>
      </c>
      <c r="AB232" s="593">
        <v>0</v>
      </c>
      <c r="AC232" s="593">
        <v>0</v>
      </c>
      <c r="AD232" s="593">
        <v>0</v>
      </c>
      <c r="AE232" s="593">
        <v>0</v>
      </c>
      <c r="AF232" s="593">
        <v>0</v>
      </c>
      <c r="AG232" s="593">
        <v>0</v>
      </c>
      <c r="AH232" s="593">
        <v>0</v>
      </c>
      <c r="AI232" s="593">
        <v>0</v>
      </c>
      <c r="AJ232" s="593">
        <v>0</v>
      </c>
      <c r="AK232" s="593">
        <v>0</v>
      </c>
      <c r="AL232" s="593">
        <v>0</v>
      </c>
      <c r="AM232" s="593">
        <v>0</v>
      </c>
      <c r="AN232" s="593">
        <v>0</v>
      </c>
      <c r="AO232" s="593">
        <v>0</v>
      </c>
      <c r="AP232" s="593">
        <v>0</v>
      </c>
      <c r="AQ232" s="593">
        <v>0</v>
      </c>
      <c r="AR232" s="593">
        <v>0</v>
      </c>
      <c r="AS232" s="593">
        <v>0</v>
      </c>
      <c r="AT232" s="570">
        <f t="shared" si="193"/>
        <v>4.1250000000000002E-2</v>
      </c>
      <c r="AU232" s="571">
        <v>100</v>
      </c>
      <c r="AV232" s="625">
        <f t="shared" si="177"/>
        <v>0.25</v>
      </c>
      <c r="AW232" s="1003">
        <v>100</v>
      </c>
      <c r="AX232" s="604">
        <f t="shared" si="178"/>
        <v>25</v>
      </c>
      <c r="AY232" s="604">
        <f t="shared" si="179"/>
        <v>100</v>
      </c>
      <c r="AZ232" s="604">
        <f t="shared" si="194"/>
        <v>100</v>
      </c>
      <c r="BA232" s="592">
        <f t="shared" si="195"/>
        <v>4.1250000000000002E-2</v>
      </c>
      <c r="BB232" s="592">
        <f t="shared" si="196"/>
        <v>100</v>
      </c>
      <c r="BC232" s="591">
        <v>250000000</v>
      </c>
      <c r="BD232" s="591">
        <v>0</v>
      </c>
      <c r="BE232" s="591">
        <v>250000000</v>
      </c>
      <c r="BF232" s="591">
        <v>0</v>
      </c>
      <c r="BG232" s="591">
        <v>0</v>
      </c>
      <c r="BH232" s="591">
        <v>0</v>
      </c>
      <c r="BI232" s="591">
        <v>0</v>
      </c>
      <c r="BJ232" s="591">
        <v>0</v>
      </c>
      <c r="BK232" s="700">
        <v>247222713</v>
      </c>
      <c r="BL232" s="589">
        <v>247222713</v>
      </c>
      <c r="BM232" s="589">
        <v>0</v>
      </c>
      <c r="BN232" s="589">
        <v>0</v>
      </c>
      <c r="BO232" s="589">
        <v>0</v>
      </c>
      <c r="BP232" s="589">
        <v>0</v>
      </c>
      <c r="BQ232" s="589">
        <v>0</v>
      </c>
      <c r="BR232" s="589">
        <v>0</v>
      </c>
      <c r="BS232" s="589">
        <v>0</v>
      </c>
      <c r="BT232" s="589">
        <v>0</v>
      </c>
      <c r="BU232" s="589">
        <v>0</v>
      </c>
      <c r="BV232" s="588">
        <f t="shared" si="197"/>
        <v>4.1250000000000002E-2</v>
      </c>
      <c r="BW232" s="588">
        <v>100</v>
      </c>
      <c r="BX232" s="623">
        <f t="shared" si="180"/>
        <v>0.25</v>
      </c>
      <c r="BY232" s="607">
        <v>50</v>
      </c>
      <c r="BZ232" s="629">
        <v>100</v>
      </c>
      <c r="CA232" s="1017">
        <v>100</v>
      </c>
      <c r="CB232" s="557">
        <f t="shared" si="181"/>
        <v>25</v>
      </c>
      <c r="CC232" s="557">
        <f t="shared" si="182"/>
        <v>100</v>
      </c>
      <c r="CD232" s="622">
        <f t="shared" si="198"/>
        <v>100</v>
      </c>
      <c r="CE232" s="621">
        <f t="shared" si="199"/>
        <v>4.1250000000000002E-2</v>
      </c>
      <c r="CF232" s="605">
        <f t="shared" si="200"/>
        <v>100</v>
      </c>
      <c r="CG232" s="621">
        <f t="shared" si="201"/>
        <v>4.1250000000000002E-2</v>
      </c>
      <c r="CH232" s="553">
        <f t="shared" si="202"/>
        <v>4.1250000000000002E-2</v>
      </c>
      <c r="CI232" s="552">
        <v>100</v>
      </c>
      <c r="CJ232" s="551">
        <f t="shared" si="183"/>
        <v>0.25</v>
      </c>
      <c r="CK232" s="874">
        <v>116</v>
      </c>
      <c r="CL232" s="533">
        <f t="shared" si="184"/>
        <v>-16</v>
      </c>
      <c r="CM232" s="619">
        <f t="shared" si="185"/>
        <v>29</v>
      </c>
      <c r="CN232" s="619">
        <f t="shared" si="186"/>
        <v>116</v>
      </c>
      <c r="CO232" s="619">
        <f t="shared" si="203"/>
        <v>100</v>
      </c>
      <c r="CP232" s="619">
        <f t="shared" si="204"/>
        <v>4.1250000000000002E-2</v>
      </c>
      <c r="CQ232" s="619">
        <f t="shared" si="205"/>
        <v>4.7850000000000004E-2</v>
      </c>
      <c r="CR232" s="546">
        <v>300000000</v>
      </c>
      <c r="CS232" s="546">
        <v>300000000</v>
      </c>
      <c r="CT232" s="546">
        <v>0</v>
      </c>
      <c r="CU232" s="546">
        <v>0</v>
      </c>
      <c r="CV232" s="546">
        <v>0</v>
      </c>
      <c r="CW232" s="546">
        <v>0</v>
      </c>
      <c r="CX232" s="546">
        <v>0</v>
      </c>
      <c r="CY232" s="546">
        <v>0</v>
      </c>
      <c r="CZ232" s="618">
        <v>0</v>
      </c>
      <c r="DA232" s="618">
        <v>0</v>
      </c>
      <c r="DB232" s="618">
        <v>0</v>
      </c>
      <c r="DC232" s="618">
        <v>0</v>
      </c>
      <c r="DD232" s="618">
        <v>0</v>
      </c>
      <c r="DE232" s="618">
        <v>0</v>
      </c>
      <c r="DF232" s="618">
        <v>0</v>
      </c>
      <c r="DG232" s="618">
        <v>0</v>
      </c>
      <c r="DH232" s="618">
        <v>0</v>
      </c>
      <c r="DI232" s="618">
        <v>0</v>
      </c>
      <c r="DJ232" s="618">
        <v>0</v>
      </c>
      <c r="DK232" s="1034">
        <f t="shared" si="187"/>
        <v>104</v>
      </c>
      <c r="DL232" s="543">
        <f t="shared" si="206"/>
        <v>0.16500000000000001</v>
      </c>
      <c r="DM232" s="542">
        <f t="shared" si="207"/>
        <v>104</v>
      </c>
      <c r="DN232" s="594">
        <f t="shared" si="208"/>
        <v>100</v>
      </c>
      <c r="DO232" s="540">
        <f t="shared" si="209"/>
        <v>0.16500000000000001</v>
      </c>
      <c r="DP232" s="597">
        <f>+IF(M232="M",DO232,0)</f>
        <v>0.16500000000000001</v>
      </c>
      <c r="DQ232" s="538">
        <f t="shared" si="210"/>
        <v>0.16500000000000001</v>
      </c>
      <c r="DR232" s="617">
        <f t="shared" si="211"/>
        <v>1</v>
      </c>
      <c r="DS232" s="616">
        <f t="shared" si="212"/>
        <v>0</v>
      </c>
      <c r="DT232" s="259">
        <v>269</v>
      </c>
      <c r="DU232" s="260" t="s">
        <v>275</v>
      </c>
      <c r="DV232" s="259"/>
      <c r="DW232" s="260" t="s">
        <v>242</v>
      </c>
      <c r="DX232" s="259"/>
      <c r="DY232" s="259"/>
      <c r="DZ232" s="259"/>
      <c r="EA232" s="987"/>
      <c r="EB232" s="1041" t="s">
        <v>2568</v>
      </c>
      <c r="EC232" s="802">
        <v>300000000</v>
      </c>
      <c r="EE232" s="1047"/>
    </row>
    <row r="233" spans="4:135" s="534" customFormat="1" ht="89.25" hidden="1" x14ac:dyDescent="0.3">
      <c r="D233" s="783">
        <v>230</v>
      </c>
      <c r="E233" s="799">
        <v>278</v>
      </c>
      <c r="F233" s="787" t="s">
        <v>200</v>
      </c>
      <c r="G233" s="739" t="s">
        <v>11</v>
      </c>
      <c r="H233" s="790" t="s">
        <v>2200</v>
      </c>
      <c r="I233" s="712" t="s">
        <v>777</v>
      </c>
      <c r="J233" s="573" t="s">
        <v>780</v>
      </c>
      <c r="K233" s="573" t="s">
        <v>781</v>
      </c>
      <c r="L233" s="701" t="s">
        <v>2201</v>
      </c>
      <c r="M233" s="571" t="s">
        <v>2032</v>
      </c>
      <c r="N233" s="571">
        <v>100</v>
      </c>
      <c r="O233" s="570">
        <f>+P233</f>
        <v>100</v>
      </c>
      <c r="P233" s="569">
        <v>100</v>
      </c>
      <c r="Q233" s="628">
        <v>0.16500000000000001</v>
      </c>
      <c r="R233" s="580">
        <f t="shared" si="190"/>
        <v>4.1250000000000002E-2</v>
      </c>
      <c r="S233" s="627">
        <v>100</v>
      </c>
      <c r="T233" s="625">
        <f t="shared" si="174"/>
        <v>0.25</v>
      </c>
      <c r="U233" s="992">
        <v>100</v>
      </c>
      <c r="V233" s="626">
        <f t="shared" si="175"/>
        <v>25</v>
      </c>
      <c r="W233" s="594">
        <f t="shared" si="176"/>
        <v>100</v>
      </c>
      <c r="X233" s="594">
        <f t="shared" si="191"/>
        <v>100</v>
      </c>
      <c r="Y233" s="594">
        <f t="shared" si="215"/>
        <v>4.1250000000000002E-2</v>
      </c>
      <c r="Z233" s="594">
        <f t="shared" si="192"/>
        <v>100</v>
      </c>
      <c r="AA233" s="593">
        <v>0</v>
      </c>
      <c r="AB233" s="593">
        <v>0</v>
      </c>
      <c r="AC233" s="593">
        <v>0</v>
      </c>
      <c r="AD233" s="593">
        <v>0</v>
      </c>
      <c r="AE233" s="593">
        <v>0</v>
      </c>
      <c r="AF233" s="593">
        <v>0</v>
      </c>
      <c r="AG233" s="593">
        <v>0</v>
      </c>
      <c r="AH233" s="593">
        <v>0</v>
      </c>
      <c r="AI233" s="593">
        <v>0</v>
      </c>
      <c r="AJ233" s="593">
        <v>0</v>
      </c>
      <c r="AK233" s="593">
        <v>0</v>
      </c>
      <c r="AL233" s="593">
        <v>0</v>
      </c>
      <c r="AM233" s="593">
        <v>0</v>
      </c>
      <c r="AN233" s="593">
        <v>0</v>
      </c>
      <c r="AO233" s="593">
        <v>0</v>
      </c>
      <c r="AP233" s="593">
        <v>0</v>
      </c>
      <c r="AQ233" s="593">
        <v>0</v>
      </c>
      <c r="AR233" s="593">
        <v>0</v>
      </c>
      <c r="AS233" s="593">
        <v>0</v>
      </c>
      <c r="AT233" s="570">
        <f t="shared" si="193"/>
        <v>4.1250000000000002E-2</v>
      </c>
      <c r="AU233" s="571">
        <v>100</v>
      </c>
      <c r="AV233" s="625">
        <f t="shared" si="177"/>
        <v>0.25</v>
      </c>
      <c r="AW233" s="1003">
        <v>100</v>
      </c>
      <c r="AX233" s="604">
        <f t="shared" si="178"/>
        <v>25</v>
      </c>
      <c r="AY233" s="604">
        <f t="shared" si="179"/>
        <v>100</v>
      </c>
      <c r="AZ233" s="604">
        <f t="shared" si="194"/>
        <v>100</v>
      </c>
      <c r="BA233" s="592">
        <f t="shared" si="195"/>
        <v>4.1250000000000002E-2</v>
      </c>
      <c r="BB233" s="592">
        <f t="shared" si="196"/>
        <v>100</v>
      </c>
      <c r="BC233" s="591">
        <v>1118000000</v>
      </c>
      <c r="BD233" s="591">
        <v>0</v>
      </c>
      <c r="BE233" s="591">
        <v>1118000000</v>
      </c>
      <c r="BF233" s="591">
        <v>0</v>
      </c>
      <c r="BG233" s="591">
        <v>0</v>
      </c>
      <c r="BH233" s="591">
        <v>0</v>
      </c>
      <c r="BI233" s="591">
        <v>0</v>
      </c>
      <c r="BJ233" s="591">
        <v>0</v>
      </c>
      <c r="BK233" s="700">
        <v>0</v>
      </c>
      <c r="BL233" s="589">
        <v>0</v>
      </c>
      <c r="BM233" s="589">
        <v>0</v>
      </c>
      <c r="BN233" s="589">
        <v>0</v>
      </c>
      <c r="BO233" s="589">
        <v>0</v>
      </c>
      <c r="BP233" s="589">
        <v>0</v>
      </c>
      <c r="BQ233" s="589">
        <v>0</v>
      </c>
      <c r="BR233" s="589">
        <v>0</v>
      </c>
      <c r="BS233" s="589">
        <v>0</v>
      </c>
      <c r="BT233" s="589">
        <v>0</v>
      </c>
      <c r="BU233" s="589">
        <v>0</v>
      </c>
      <c r="BV233" s="588">
        <f t="shared" si="197"/>
        <v>4.1250000000000002E-2</v>
      </c>
      <c r="BW233" s="588">
        <v>100</v>
      </c>
      <c r="BX233" s="623">
        <f t="shared" si="180"/>
        <v>0.25</v>
      </c>
      <c r="BY233" s="705">
        <v>136</v>
      </c>
      <c r="BZ233" s="705">
        <v>100</v>
      </c>
      <c r="CA233" s="1019">
        <v>100</v>
      </c>
      <c r="CB233" s="557">
        <f t="shared" si="181"/>
        <v>25</v>
      </c>
      <c r="CC233" s="557">
        <f t="shared" si="182"/>
        <v>100</v>
      </c>
      <c r="CD233" s="622">
        <f t="shared" si="198"/>
        <v>100</v>
      </c>
      <c r="CE233" s="621">
        <f t="shared" si="199"/>
        <v>4.1250000000000002E-2</v>
      </c>
      <c r="CF233" s="605">
        <f t="shared" si="200"/>
        <v>100</v>
      </c>
      <c r="CG233" s="621">
        <f t="shared" si="201"/>
        <v>4.1250000000000002E-2</v>
      </c>
      <c r="CH233" s="553">
        <f t="shared" si="202"/>
        <v>4.1250000000000002E-2</v>
      </c>
      <c r="CI233" s="552">
        <v>100</v>
      </c>
      <c r="CJ233" s="551">
        <f t="shared" si="183"/>
        <v>0.25</v>
      </c>
      <c r="CK233" s="871">
        <v>50</v>
      </c>
      <c r="CL233" s="533">
        <f t="shared" si="184"/>
        <v>50</v>
      </c>
      <c r="CM233" s="619">
        <f t="shared" si="185"/>
        <v>12.5</v>
      </c>
      <c r="CN233" s="619">
        <f t="shared" si="186"/>
        <v>50</v>
      </c>
      <c r="CO233" s="619">
        <f t="shared" si="203"/>
        <v>50</v>
      </c>
      <c r="CP233" s="619">
        <f t="shared" si="204"/>
        <v>2.0625000000000001E-2</v>
      </c>
      <c r="CQ233" s="619">
        <f t="shared" si="205"/>
        <v>2.0625000000000001E-2</v>
      </c>
      <c r="CR233" s="546">
        <v>1200000000</v>
      </c>
      <c r="CS233" s="546">
        <v>1200000000</v>
      </c>
      <c r="CT233" s="546">
        <v>0</v>
      </c>
      <c r="CU233" s="546">
        <v>0</v>
      </c>
      <c r="CV233" s="546">
        <v>0</v>
      </c>
      <c r="CW233" s="546">
        <v>0</v>
      </c>
      <c r="CX233" s="546">
        <v>0</v>
      </c>
      <c r="CY233" s="546">
        <v>0</v>
      </c>
      <c r="CZ233" s="618">
        <v>0</v>
      </c>
      <c r="DA233" s="618">
        <v>0</v>
      </c>
      <c r="DB233" s="618">
        <v>0</v>
      </c>
      <c r="DC233" s="618">
        <v>0</v>
      </c>
      <c r="DD233" s="618">
        <v>0</v>
      </c>
      <c r="DE233" s="618">
        <v>0</v>
      </c>
      <c r="DF233" s="618">
        <v>0</v>
      </c>
      <c r="DG233" s="618">
        <v>0</v>
      </c>
      <c r="DH233" s="618">
        <v>0</v>
      </c>
      <c r="DI233" s="618">
        <v>0</v>
      </c>
      <c r="DJ233" s="618">
        <v>0</v>
      </c>
      <c r="DK233" s="1034">
        <f t="shared" si="187"/>
        <v>87.5</v>
      </c>
      <c r="DL233" s="543">
        <f t="shared" si="206"/>
        <v>0.16500000000000001</v>
      </c>
      <c r="DM233" s="542">
        <f t="shared" si="207"/>
        <v>87.5</v>
      </c>
      <c r="DN233" s="594">
        <f t="shared" si="208"/>
        <v>87.5</v>
      </c>
      <c r="DO233" s="540">
        <f t="shared" si="209"/>
        <v>0.144375</v>
      </c>
      <c r="DP233" s="597">
        <f>+IF(M233="M",DO233,0)</f>
        <v>0.144375</v>
      </c>
      <c r="DQ233" s="538">
        <f t="shared" si="210"/>
        <v>0.144375</v>
      </c>
      <c r="DR233" s="617">
        <f t="shared" si="211"/>
        <v>1</v>
      </c>
      <c r="DS233" s="616">
        <f t="shared" si="212"/>
        <v>0</v>
      </c>
      <c r="DT233" s="259">
        <v>269</v>
      </c>
      <c r="DU233" s="260" t="s">
        <v>275</v>
      </c>
      <c r="DV233" s="259"/>
      <c r="DW233" s="260" t="s">
        <v>242</v>
      </c>
      <c r="DX233" s="259"/>
      <c r="DY233" s="259"/>
      <c r="DZ233" s="259"/>
      <c r="EA233" s="987"/>
      <c r="EB233" s="1041" t="s">
        <v>2569</v>
      </c>
      <c r="EC233" s="802">
        <v>1200000000</v>
      </c>
      <c r="EE233" s="1047"/>
    </row>
    <row r="234" spans="4:135" s="534" customFormat="1" ht="76.5" hidden="1" x14ac:dyDescent="0.3">
      <c r="D234" s="783">
        <v>231</v>
      </c>
      <c r="E234" s="799">
        <v>279</v>
      </c>
      <c r="F234" s="787" t="s">
        <v>200</v>
      </c>
      <c r="G234" s="739" t="s">
        <v>9</v>
      </c>
      <c r="H234" s="790" t="s">
        <v>2200</v>
      </c>
      <c r="I234" s="712" t="s">
        <v>782</v>
      </c>
      <c r="J234" s="573" t="s">
        <v>783</v>
      </c>
      <c r="K234" s="573" t="s">
        <v>784</v>
      </c>
      <c r="L234" s="702" t="s">
        <v>2019</v>
      </c>
      <c r="M234" s="571" t="s">
        <v>2017</v>
      </c>
      <c r="N234" s="571">
        <v>0</v>
      </c>
      <c r="O234" s="570">
        <f>+N234+P234</f>
        <v>5</v>
      </c>
      <c r="P234" s="569">
        <v>5</v>
      </c>
      <c r="Q234" s="628">
        <v>0.16500000000000001</v>
      </c>
      <c r="R234" s="580">
        <f t="shared" si="190"/>
        <v>0</v>
      </c>
      <c r="S234" s="627">
        <v>0</v>
      </c>
      <c r="T234" s="625">
        <f t="shared" si="174"/>
        <v>0</v>
      </c>
      <c r="U234" s="992">
        <v>0</v>
      </c>
      <c r="V234" s="626">
        <f t="shared" si="175"/>
        <v>0</v>
      </c>
      <c r="W234" s="594">
        <f t="shared" si="176"/>
        <v>0</v>
      </c>
      <c r="X234" s="594">
        <f t="shared" si="191"/>
        <v>0</v>
      </c>
      <c r="Y234" s="594">
        <f t="shared" si="215"/>
        <v>0</v>
      </c>
      <c r="Z234" s="594">
        <f t="shared" si="192"/>
        <v>0</v>
      </c>
      <c r="AA234" s="593">
        <v>0</v>
      </c>
      <c r="AB234" s="593">
        <v>0</v>
      </c>
      <c r="AC234" s="593">
        <v>0</v>
      </c>
      <c r="AD234" s="593">
        <v>0</v>
      </c>
      <c r="AE234" s="593">
        <v>0</v>
      </c>
      <c r="AF234" s="593">
        <v>0</v>
      </c>
      <c r="AG234" s="593">
        <v>0</v>
      </c>
      <c r="AH234" s="593">
        <v>0</v>
      </c>
      <c r="AI234" s="593">
        <v>0</v>
      </c>
      <c r="AJ234" s="593">
        <v>0</v>
      </c>
      <c r="AK234" s="593">
        <v>0</v>
      </c>
      <c r="AL234" s="593">
        <v>0</v>
      </c>
      <c r="AM234" s="593">
        <v>0</v>
      </c>
      <c r="AN234" s="593">
        <v>0</v>
      </c>
      <c r="AO234" s="593">
        <v>0</v>
      </c>
      <c r="AP234" s="593">
        <v>0</v>
      </c>
      <c r="AQ234" s="593">
        <v>0</v>
      </c>
      <c r="AR234" s="593">
        <v>0</v>
      </c>
      <c r="AS234" s="593">
        <v>0</v>
      </c>
      <c r="AT234" s="570">
        <f t="shared" si="193"/>
        <v>3.3000000000000002E-2</v>
      </c>
      <c r="AU234" s="571">
        <v>1</v>
      </c>
      <c r="AV234" s="625">
        <f t="shared" si="177"/>
        <v>0.2</v>
      </c>
      <c r="AW234" s="1003">
        <v>1</v>
      </c>
      <c r="AX234" s="604">
        <f t="shared" si="178"/>
        <v>1</v>
      </c>
      <c r="AY234" s="604">
        <f t="shared" si="179"/>
        <v>100</v>
      </c>
      <c r="AZ234" s="604">
        <f t="shared" si="194"/>
        <v>100</v>
      </c>
      <c r="BA234" s="592">
        <f t="shared" si="195"/>
        <v>3.3000000000000002E-2</v>
      </c>
      <c r="BB234" s="592">
        <f t="shared" si="196"/>
        <v>100</v>
      </c>
      <c r="BC234" s="591">
        <v>0</v>
      </c>
      <c r="BD234" s="591">
        <v>0</v>
      </c>
      <c r="BE234" s="591">
        <v>0</v>
      </c>
      <c r="BF234" s="591">
        <v>0</v>
      </c>
      <c r="BG234" s="591">
        <v>0</v>
      </c>
      <c r="BH234" s="591">
        <v>0</v>
      </c>
      <c r="BI234" s="591">
        <v>0</v>
      </c>
      <c r="BJ234" s="591">
        <v>0</v>
      </c>
      <c r="BK234" s="700">
        <v>0</v>
      </c>
      <c r="BL234" s="589">
        <v>0</v>
      </c>
      <c r="BM234" s="589">
        <v>0</v>
      </c>
      <c r="BN234" s="589">
        <v>0</v>
      </c>
      <c r="BO234" s="589">
        <v>0</v>
      </c>
      <c r="BP234" s="589">
        <v>0</v>
      </c>
      <c r="BQ234" s="589">
        <v>0</v>
      </c>
      <c r="BR234" s="589">
        <v>0</v>
      </c>
      <c r="BS234" s="589">
        <v>0</v>
      </c>
      <c r="BT234" s="589">
        <v>0</v>
      </c>
      <c r="BU234" s="589">
        <v>0</v>
      </c>
      <c r="BV234" s="588">
        <f t="shared" si="197"/>
        <v>6.6000000000000003E-2</v>
      </c>
      <c r="BW234" s="588">
        <v>2</v>
      </c>
      <c r="BX234" s="623">
        <f t="shared" si="180"/>
        <v>0.4</v>
      </c>
      <c r="BY234" s="607">
        <v>6</v>
      </c>
      <c r="BZ234" s="629">
        <v>6</v>
      </c>
      <c r="CA234" s="1017">
        <v>6</v>
      </c>
      <c r="CB234" s="557">
        <f t="shared" si="181"/>
        <v>6</v>
      </c>
      <c r="CC234" s="557">
        <f t="shared" si="182"/>
        <v>300</v>
      </c>
      <c r="CD234" s="622">
        <f t="shared" si="198"/>
        <v>100</v>
      </c>
      <c r="CE234" s="621">
        <f t="shared" si="199"/>
        <v>6.6000000000000003E-2</v>
      </c>
      <c r="CF234" s="605">
        <f t="shared" si="200"/>
        <v>100</v>
      </c>
      <c r="CG234" s="621">
        <f t="shared" si="201"/>
        <v>0.19800000000000001</v>
      </c>
      <c r="CH234" s="553">
        <f t="shared" si="202"/>
        <v>6.6000000000000003E-2</v>
      </c>
      <c r="CI234" s="552">
        <v>2</v>
      </c>
      <c r="CJ234" s="551">
        <f t="shared" si="183"/>
        <v>0.4</v>
      </c>
      <c r="CK234" s="874">
        <v>2</v>
      </c>
      <c r="CL234" s="533">
        <f t="shared" si="184"/>
        <v>0</v>
      </c>
      <c r="CM234" s="619">
        <f t="shared" si="185"/>
        <v>2</v>
      </c>
      <c r="CN234" s="619">
        <f t="shared" si="186"/>
        <v>100</v>
      </c>
      <c r="CO234" s="549">
        <f t="shared" si="203"/>
        <v>100</v>
      </c>
      <c r="CP234" s="619">
        <f t="shared" si="204"/>
        <v>6.6000000000000003E-2</v>
      </c>
      <c r="CQ234" s="619">
        <f t="shared" si="205"/>
        <v>6.6000000000000003E-2</v>
      </c>
      <c r="CR234" s="546">
        <v>0</v>
      </c>
      <c r="CS234" s="546">
        <v>0</v>
      </c>
      <c r="CT234" s="546">
        <v>0</v>
      </c>
      <c r="CU234" s="546">
        <v>0</v>
      </c>
      <c r="CV234" s="546">
        <v>0</v>
      </c>
      <c r="CW234" s="546">
        <v>0</v>
      </c>
      <c r="CX234" s="546">
        <v>0</v>
      </c>
      <c r="CY234" s="546">
        <v>0</v>
      </c>
      <c r="CZ234" s="618">
        <v>0</v>
      </c>
      <c r="DA234" s="618">
        <v>0</v>
      </c>
      <c r="DB234" s="618">
        <v>0</v>
      </c>
      <c r="DC234" s="618">
        <v>0</v>
      </c>
      <c r="DD234" s="618">
        <v>0</v>
      </c>
      <c r="DE234" s="618">
        <v>0</v>
      </c>
      <c r="DF234" s="618">
        <v>0</v>
      </c>
      <c r="DG234" s="618">
        <v>0</v>
      </c>
      <c r="DH234" s="618">
        <v>0</v>
      </c>
      <c r="DI234" s="618">
        <v>0</v>
      </c>
      <c r="DJ234" s="618">
        <v>0</v>
      </c>
      <c r="DK234" s="1034">
        <f t="shared" si="187"/>
        <v>9</v>
      </c>
      <c r="DL234" s="543">
        <f t="shared" si="206"/>
        <v>0.16500000000000001</v>
      </c>
      <c r="DM234" s="542">
        <f t="shared" si="207"/>
        <v>180</v>
      </c>
      <c r="DN234" s="594">
        <f t="shared" si="208"/>
        <v>100</v>
      </c>
      <c r="DO234" s="540">
        <f t="shared" si="209"/>
        <v>0.16500000000000001</v>
      </c>
      <c r="DP234" s="597">
        <f>+IF(((DN234*Q234)/100)&lt;Q234, ((DN234*Q234)/100),Q234)</f>
        <v>0.16500000000000001</v>
      </c>
      <c r="DQ234" s="538">
        <f t="shared" si="210"/>
        <v>0.16500000000000001</v>
      </c>
      <c r="DR234" s="617">
        <f t="shared" si="211"/>
        <v>1</v>
      </c>
      <c r="DS234" s="616">
        <f t="shared" si="212"/>
        <v>0</v>
      </c>
      <c r="DT234" s="259">
        <v>269</v>
      </c>
      <c r="DU234" s="260" t="s">
        <v>275</v>
      </c>
      <c r="DV234" s="259"/>
      <c r="DW234" s="260" t="s">
        <v>242</v>
      </c>
      <c r="DX234" s="259"/>
      <c r="DY234" s="259"/>
      <c r="DZ234" s="259"/>
      <c r="EA234" s="987"/>
      <c r="EB234" s="1041" t="s">
        <v>2570</v>
      </c>
      <c r="EC234" s="802">
        <v>0</v>
      </c>
      <c r="EE234" s="1047"/>
    </row>
    <row r="235" spans="4:135" s="534" customFormat="1" ht="84" hidden="1" x14ac:dyDescent="0.3">
      <c r="D235" s="783">
        <v>232</v>
      </c>
      <c r="E235" s="799">
        <v>280</v>
      </c>
      <c r="F235" s="787" t="s">
        <v>200</v>
      </c>
      <c r="G235" s="739" t="s">
        <v>7</v>
      </c>
      <c r="H235" s="790" t="s">
        <v>2200</v>
      </c>
      <c r="I235" s="712" t="s">
        <v>782</v>
      </c>
      <c r="J235" s="573" t="s">
        <v>785</v>
      </c>
      <c r="K235" s="573" t="s">
        <v>786</v>
      </c>
      <c r="L235" s="701" t="s">
        <v>2201</v>
      </c>
      <c r="M235" s="571" t="s">
        <v>2032</v>
      </c>
      <c r="N235" s="571">
        <v>31969</v>
      </c>
      <c r="O235" s="570">
        <f t="shared" ref="O235:O241" si="218">+P235</f>
        <v>100</v>
      </c>
      <c r="P235" s="569">
        <v>100</v>
      </c>
      <c r="Q235" s="628">
        <v>8.8999999999999996E-2</v>
      </c>
      <c r="R235" s="580">
        <f t="shared" si="190"/>
        <v>2.2249999999999999E-2</v>
      </c>
      <c r="S235" s="627">
        <v>100</v>
      </c>
      <c r="T235" s="625">
        <f t="shared" si="174"/>
        <v>0.25</v>
      </c>
      <c r="U235" s="992">
        <v>0</v>
      </c>
      <c r="V235" s="626">
        <f t="shared" si="175"/>
        <v>0</v>
      </c>
      <c r="W235" s="594">
        <f t="shared" si="176"/>
        <v>0</v>
      </c>
      <c r="X235" s="594">
        <f t="shared" si="191"/>
        <v>0</v>
      </c>
      <c r="Y235" s="594">
        <f t="shared" si="215"/>
        <v>0</v>
      </c>
      <c r="Z235" s="594">
        <f t="shared" si="192"/>
        <v>0</v>
      </c>
      <c r="AA235" s="593">
        <v>0</v>
      </c>
      <c r="AB235" s="593">
        <v>0</v>
      </c>
      <c r="AC235" s="593">
        <v>0</v>
      </c>
      <c r="AD235" s="593">
        <v>0</v>
      </c>
      <c r="AE235" s="593">
        <v>0</v>
      </c>
      <c r="AF235" s="593">
        <v>0</v>
      </c>
      <c r="AG235" s="593">
        <v>0</v>
      </c>
      <c r="AH235" s="593">
        <v>0</v>
      </c>
      <c r="AI235" s="593">
        <v>0</v>
      </c>
      <c r="AJ235" s="593">
        <v>0</v>
      </c>
      <c r="AK235" s="593">
        <v>0</v>
      </c>
      <c r="AL235" s="593">
        <v>0</v>
      </c>
      <c r="AM235" s="593">
        <v>0</v>
      </c>
      <c r="AN235" s="593">
        <v>0</v>
      </c>
      <c r="AO235" s="593">
        <v>0</v>
      </c>
      <c r="AP235" s="593">
        <v>0</v>
      </c>
      <c r="AQ235" s="593">
        <v>0</v>
      </c>
      <c r="AR235" s="593">
        <v>0</v>
      </c>
      <c r="AS235" s="593">
        <v>0</v>
      </c>
      <c r="AT235" s="570">
        <f t="shared" si="193"/>
        <v>2.2249999999999999E-2</v>
      </c>
      <c r="AU235" s="571">
        <v>100</v>
      </c>
      <c r="AV235" s="625">
        <f t="shared" si="177"/>
        <v>0.25</v>
      </c>
      <c r="AW235" s="1003">
        <v>100</v>
      </c>
      <c r="AX235" s="604">
        <f t="shared" si="178"/>
        <v>25</v>
      </c>
      <c r="AY235" s="604">
        <f t="shared" si="179"/>
        <v>100</v>
      </c>
      <c r="AZ235" s="604">
        <f t="shared" si="194"/>
        <v>100</v>
      </c>
      <c r="BA235" s="592">
        <f t="shared" si="195"/>
        <v>2.2250000000000002E-2</v>
      </c>
      <c r="BB235" s="592">
        <f t="shared" si="196"/>
        <v>100</v>
      </c>
      <c r="BC235" s="591">
        <v>11000000</v>
      </c>
      <c r="BD235" s="591">
        <v>0</v>
      </c>
      <c r="BE235" s="591">
        <v>3000000</v>
      </c>
      <c r="BF235" s="591">
        <v>0</v>
      </c>
      <c r="BG235" s="591">
        <v>0</v>
      </c>
      <c r="BH235" s="591">
        <v>0</v>
      </c>
      <c r="BI235" s="591">
        <v>0</v>
      </c>
      <c r="BJ235" s="591">
        <v>8000000</v>
      </c>
      <c r="BK235" s="700">
        <v>0</v>
      </c>
      <c r="BL235" s="589">
        <v>0</v>
      </c>
      <c r="BM235" s="589">
        <v>0</v>
      </c>
      <c r="BN235" s="589">
        <v>0</v>
      </c>
      <c r="BO235" s="589">
        <v>0</v>
      </c>
      <c r="BP235" s="589">
        <v>0</v>
      </c>
      <c r="BQ235" s="589">
        <v>0</v>
      </c>
      <c r="BR235" s="589">
        <v>0</v>
      </c>
      <c r="BS235" s="589">
        <v>0</v>
      </c>
      <c r="BT235" s="589">
        <v>0</v>
      </c>
      <c r="BU235" s="589">
        <v>0</v>
      </c>
      <c r="BV235" s="588">
        <f t="shared" si="197"/>
        <v>2.2249999999999999E-2</v>
      </c>
      <c r="BW235" s="588">
        <v>100</v>
      </c>
      <c r="BX235" s="623">
        <f t="shared" si="180"/>
        <v>0.25</v>
      </c>
      <c r="BY235" s="639">
        <v>40</v>
      </c>
      <c r="BZ235" s="638">
        <v>40</v>
      </c>
      <c r="CA235" s="1018">
        <v>100</v>
      </c>
      <c r="CB235" s="557">
        <f t="shared" si="181"/>
        <v>25</v>
      </c>
      <c r="CC235" s="557">
        <f t="shared" si="182"/>
        <v>100</v>
      </c>
      <c r="CD235" s="622">
        <f t="shared" si="198"/>
        <v>100</v>
      </c>
      <c r="CE235" s="621">
        <f t="shared" si="199"/>
        <v>2.2250000000000002E-2</v>
      </c>
      <c r="CF235" s="605">
        <f t="shared" si="200"/>
        <v>100</v>
      </c>
      <c r="CG235" s="621">
        <f t="shared" si="201"/>
        <v>2.2250000000000002E-2</v>
      </c>
      <c r="CH235" s="553">
        <f t="shared" si="202"/>
        <v>2.2249999999999999E-2</v>
      </c>
      <c r="CI235" s="552">
        <v>100</v>
      </c>
      <c r="CJ235" s="551">
        <f t="shared" si="183"/>
        <v>0.25</v>
      </c>
      <c r="CK235" s="874">
        <v>0</v>
      </c>
      <c r="CL235" s="533">
        <f t="shared" si="184"/>
        <v>100</v>
      </c>
      <c r="CM235" s="619">
        <f t="shared" si="185"/>
        <v>0</v>
      </c>
      <c r="CN235" s="619">
        <f t="shared" si="186"/>
        <v>0</v>
      </c>
      <c r="CO235" s="619">
        <f t="shared" si="203"/>
        <v>0</v>
      </c>
      <c r="CP235" s="619">
        <f t="shared" si="204"/>
        <v>0</v>
      </c>
      <c r="CQ235" s="619">
        <f t="shared" si="205"/>
        <v>0</v>
      </c>
      <c r="CR235" s="546">
        <v>14000000</v>
      </c>
      <c r="CS235" s="546">
        <v>6000000</v>
      </c>
      <c r="CT235" s="546">
        <v>0</v>
      </c>
      <c r="CU235" s="546">
        <v>0</v>
      </c>
      <c r="CV235" s="546">
        <v>0</v>
      </c>
      <c r="CW235" s="546">
        <v>0</v>
      </c>
      <c r="CX235" s="546">
        <v>0</v>
      </c>
      <c r="CY235" s="546">
        <v>8000000</v>
      </c>
      <c r="CZ235" s="618">
        <v>0</v>
      </c>
      <c r="DA235" s="618">
        <v>0</v>
      </c>
      <c r="DB235" s="618">
        <v>0</v>
      </c>
      <c r="DC235" s="618">
        <v>0</v>
      </c>
      <c r="DD235" s="618">
        <v>0</v>
      </c>
      <c r="DE235" s="618">
        <v>0</v>
      </c>
      <c r="DF235" s="618">
        <v>0</v>
      </c>
      <c r="DG235" s="618">
        <v>0</v>
      </c>
      <c r="DH235" s="618">
        <v>0</v>
      </c>
      <c r="DI235" s="618">
        <v>0</v>
      </c>
      <c r="DJ235" s="618">
        <v>0</v>
      </c>
      <c r="DK235" s="1034">
        <f t="shared" si="187"/>
        <v>50</v>
      </c>
      <c r="DL235" s="543">
        <f t="shared" si="206"/>
        <v>8.8999999999999996E-2</v>
      </c>
      <c r="DM235" s="542">
        <f t="shared" si="207"/>
        <v>50</v>
      </c>
      <c r="DN235" s="594">
        <f t="shared" si="208"/>
        <v>50</v>
      </c>
      <c r="DO235" s="540">
        <f t="shared" si="209"/>
        <v>4.4500000000000005E-2</v>
      </c>
      <c r="DP235" s="597">
        <f t="shared" ref="DP235:DP241" si="219">+IF(M235="M",DO235,0)</f>
        <v>4.4500000000000005E-2</v>
      </c>
      <c r="DQ235" s="538">
        <f t="shared" si="210"/>
        <v>4.4500000000000005E-2</v>
      </c>
      <c r="DR235" s="617">
        <f t="shared" si="211"/>
        <v>1</v>
      </c>
      <c r="DS235" s="616">
        <f t="shared" si="212"/>
        <v>0</v>
      </c>
      <c r="DT235" s="259">
        <v>200</v>
      </c>
      <c r="DU235" s="260" t="s">
        <v>556</v>
      </c>
      <c r="DV235" s="259">
        <v>202</v>
      </c>
      <c r="DW235" s="260" t="s">
        <v>279</v>
      </c>
      <c r="DX235" s="259"/>
      <c r="DY235" s="259"/>
      <c r="DZ235" s="259"/>
      <c r="EA235" s="987"/>
      <c r="EB235" s="1041" t="s">
        <v>2571</v>
      </c>
      <c r="EC235" s="802">
        <v>14000000</v>
      </c>
      <c r="EE235" s="1047"/>
    </row>
    <row r="236" spans="4:135" s="534" customFormat="1" ht="89.25" hidden="1" x14ac:dyDescent="0.3">
      <c r="D236" s="783">
        <v>233</v>
      </c>
      <c r="E236" s="799">
        <v>281</v>
      </c>
      <c r="F236" s="574" t="s">
        <v>200</v>
      </c>
      <c r="G236" s="574" t="s">
        <v>7</v>
      </c>
      <c r="H236" s="574" t="s">
        <v>2200</v>
      </c>
      <c r="I236" s="574" t="s">
        <v>782</v>
      </c>
      <c r="J236" s="573" t="s">
        <v>1442</v>
      </c>
      <c r="K236" s="573" t="s">
        <v>787</v>
      </c>
      <c r="L236" s="701" t="s">
        <v>2207</v>
      </c>
      <c r="M236" s="571" t="s">
        <v>2032</v>
      </c>
      <c r="N236" s="571">
        <v>0</v>
      </c>
      <c r="O236" s="570">
        <f t="shared" si="218"/>
        <v>50</v>
      </c>
      <c r="P236" s="569">
        <v>50</v>
      </c>
      <c r="Q236" s="631">
        <v>0.16500000000000001</v>
      </c>
      <c r="R236" s="580">
        <f t="shared" si="190"/>
        <v>4.1250000000000002E-2</v>
      </c>
      <c r="S236" s="627">
        <v>100</v>
      </c>
      <c r="T236" s="625">
        <f t="shared" si="174"/>
        <v>0.25</v>
      </c>
      <c r="U236" s="992">
        <v>0</v>
      </c>
      <c r="V236" s="626">
        <f t="shared" si="175"/>
        <v>0</v>
      </c>
      <c r="W236" s="594">
        <f t="shared" si="176"/>
        <v>0</v>
      </c>
      <c r="X236" s="594">
        <f t="shared" si="191"/>
        <v>0</v>
      </c>
      <c r="Y236" s="594">
        <f t="shared" si="215"/>
        <v>0</v>
      </c>
      <c r="Z236" s="594">
        <f t="shared" si="192"/>
        <v>0</v>
      </c>
      <c r="AA236" s="593">
        <v>0</v>
      </c>
      <c r="AB236" s="593">
        <v>0</v>
      </c>
      <c r="AC236" s="593">
        <v>0</v>
      </c>
      <c r="AD236" s="593">
        <v>0</v>
      </c>
      <c r="AE236" s="593">
        <v>0</v>
      </c>
      <c r="AF236" s="593">
        <v>0</v>
      </c>
      <c r="AG236" s="593">
        <v>0</v>
      </c>
      <c r="AH236" s="593">
        <v>0</v>
      </c>
      <c r="AI236" s="593">
        <v>0</v>
      </c>
      <c r="AJ236" s="593">
        <v>0</v>
      </c>
      <c r="AK236" s="593">
        <v>0</v>
      </c>
      <c r="AL236" s="593">
        <v>0</v>
      </c>
      <c r="AM236" s="593">
        <v>0</v>
      </c>
      <c r="AN236" s="593">
        <v>0</v>
      </c>
      <c r="AO236" s="593">
        <v>0</v>
      </c>
      <c r="AP236" s="593">
        <v>0</v>
      </c>
      <c r="AQ236" s="593">
        <v>0</v>
      </c>
      <c r="AR236" s="593">
        <v>0</v>
      </c>
      <c r="AS236" s="593">
        <v>0</v>
      </c>
      <c r="AT236" s="630">
        <f t="shared" si="193"/>
        <v>4.1250000000000002E-2</v>
      </c>
      <c r="AU236" s="571">
        <v>100</v>
      </c>
      <c r="AV236" s="625">
        <f t="shared" si="177"/>
        <v>0.25</v>
      </c>
      <c r="AW236" s="1003">
        <v>0</v>
      </c>
      <c r="AX236" s="604">
        <f t="shared" si="178"/>
        <v>0</v>
      </c>
      <c r="AY236" s="604">
        <f t="shared" si="179"/>
        <v>0</v>
      </c>
      <c r="AZ236" s="604">
        <f t="shared" si="194"/>
        <v>0</v>
      </c>
      <c r="BA236" s="592">
        <f t="shared" si="195"/>
        <v>0</v>
      </c>
      <c r="BB236" s="592">
        <f t="shared" si="196"/>
        <v>0</v>
      </c>
      <c r="BC236" s="591">
        <v>5000000</v>
      </c>
      <c r="BD236" s="591">
        <v>0</v>
      </c>
      <c r="BE236" s="591">
        <v>5000000</v>
      </c>
      <c r="BF236" s="591">
        <v>0</v>
      </c>
      <c r="BG236" s="591">
        <v>0</v>
      </c>
      <c r="BH236" s="591">
        <v>0</v>
      </c>
      <c r="BI236" s="591">
        <v>0</v>
      </c>
      <c r="BJ236" s="591">
        <v>0</v>
      </c>
      <c r="BK236" s="700">
        <v>0</v>
      </c>
      <c r="BL236" s="589">
        <v>0</v>
      </c>
      <c r="BM236" s="589">
        <v>0</v>
      </c>
      <c r="BN236" s="589">
        <v>0</v>
      </c>
      <c r="BO236" s="589">
        <v>0</v>
      </c>
      <c r="BP236" s="589">
        <v>0</v>
      </c>
      <c r="BQ236" s="589">
        <v>0</v>
      </c>
      <c r="BR236" s="589">
        <v>0</v>
      </c>
      <c r="BS236" s="589">
        <v>0</v>
      </c>
      <c r="BT236" s="589">
        <v>0</v>
      </c>
      <c r="BU236" s="589">
        <v>0</v>
      </c>
      <c r="BV236" s="588">
        <f t="shared" si="197"/>
        <v>4.1250000000000002E-2</v>
      </c>
      <c r="BW236" s="588">
        <v>100</v>
      </c>
      <c r="BX236" s="623">
        <f t="shared" si="180"/>
        <v>0.25</v>
      </c>
      <c r="BY236" s="639">
        <v>80</v>
      </c>
      <c r="BZ236" s="638">
        <v>80</v>
      </c>
      <c r="CA236" s="1018">
        <v>100</v>
      </c>
      <c r="CB236" s="557">
        <f t="shared" si="181"/>
        <v>25</v>
      </c>
      <c r="CC236" s="557">
        <f t="shared" si="182"/>
        <v>100</v>
      </c>
      <c r="CD236" s="622">
        <f t="shared" si="198"/>
        <v>100</v>
      </c>
      <c r="CE236" s="621">
        <f t="shared" si="199"/>
        <v>4.1250000000000002E-2</v>
      </c>
      <c r="CF236" s="605">
        <f t="shared" si="200"/>
        <v>100</v>
      </c>
      <c r="CG236" s="621">
        <f t="shared" si="201"/>
        <v>4.1250000000000002E-2</v>
      </c>
      <c r="CH236" s="553">
        <f t="shared" si="202"/>
        <v>4.1250000000000002E-2</v>
      </c>
      <c r="CI236" s="552">
        <v>100</v>
      </c>
      <c r="CJ236" s="551">
        <f t="shared" si="183"/>
        <v>0.25</v>
      </c>
      <c r="CK236" s="874">
        <v>16</v>
      </c>
      <c r="CL236" s="533">
        <f t="shared" si="184"/>
        <v>84</v>
      </c>
      <c r="CM236" s="619">
        <f t="shared" si="185"/>
        <v>4</v>
      </c>
      <c r="CN236" s="619">
        <f t="shared" si="186"/>
        <v>16</v>
      </c>
      <c r="CO236" s="619">
        <f t="shared" si="203"/>
        <v>16</v>
      </c>
      <c r="CP236" s="619">
        <f t="shared" si="204"/>
        <v>6.6E-3</v>
      </c>
      <c r="CQ236" s="619">
        <f t="shared" si="205"/>
        <v>6.6E-3</v>
      </c>
      <c r="CR236" s="546">
        <v>12000000</v>
      </c>
      <c r="CS236" s="546">
        <v>12000000</v>
      </c>
      <c r="CT236" s="546">
        <v>0</v>
      </c>
      <c r="CU236" s="546">
        <v>0</v>
      </c>
      <c r="CV236" s="546">
        <v>0</v>
      </c>
      <c r="CW236" s="546">
        <v>0</v>
      </c>
      <c r="CX236" s="546">
        <v>0</v>
      </c>
      <c r="CY236" s="546">
        <v>0</v>
      </c>
      <c r="CZ236" s="618">
        <v>0</v>
      </c>
      <c r="DA236" s="618">
        <v>0</v>
      </c>
      <c r="DB236" s="618">
        <v>0</v>
      </c>
      <c r="DC236" s="618">
        <v>0</v>
      </c>
      <c r="DD236" s="618">
        <v>0</v>
      </c>
      <c r="DE236" s="618">
        <v>0</v>
      </c>
      <c r="DF236" s="618">
        <v>0</v>
      </c>
      <c r="DG236" s="618">
        <v>0</v>
      </c>
      <c r="DH236" s="618">
        <v>0</v>
      </c>
      <c r="DI236" s="618">
        <v>0</v>
      </c>
      <c r="DJ236" s="618">
        <v>0</v>
      </c>
      <c r="DK236" s="1034">
        <f t="shared" si="187"/>
        <v>29</v>
      </c>
      <c r="DL236" s="543">
        <f t="shared" si="206"/>
        <v>0.16500000000000001</v>
      </c>
      <c r="DM236" s="542">
        <f t="shared" si="207"/>
        <v>58</v>
      </c>
      <c r="DN236" s="594">
        <f t="shared" si="208"/>
        <v>58</v>
      </c>
      <c r="DO236" s="540">
        <f t="shared" si="209"/>
        <v>9.5700000000000007E-2</v>
      </c>
      <c r="DP236" s="597">
        <f t="shared" si="219"/>
        <v>9.5700000000000007E-2</v>
      </c>
      <c r="DQ236" s="538">
        <f t="shared" si="210"/>
        <v>9.5700000000000007E-2</v>
      </c>
      <c r="DR236" s="617">
        <f t="shared" si="211"/>
        <v>1</v>
      </c>
      <c r="DS236" s="616">
        <f t="shared" si="212"/>
        <v>0</v>
      </c>
      <c r="DT236" s="259">
        <v>200</v>
      </c>
      <c r="DU236" s="260" t="s">
        <v>556</v>
      </c>
      <c r="DV236" s="259">
        <v>202</v>
      </c>
      <c r="DW236" s="260" t="s">
        <v>279</v>
      </c>
      <c r="DX236" s="259">
        <v>269</v>
      </c>
      <c r="DY236" s="259"/>
      <c r="DZ236" s="259"/>
      <c r="EA236" s="987"/>
      <c r="EB236" s="1041" t="s">
        <v>2572</v>
      </c>
      <c r="EC236" s="802">
        <v>12000000</v>
      </c>
      <c r="EE236" s="1047"/>
    </row>
    <row r="237" spans="4:135" s="534" customFormat="1" ht="76.5" hidden="1" x14ac:dyDescent="0.3">
      <c r="D237" s="783">
        <v>234</v>
      </c>
      <c r="E237" s="799">
        <v>282</v>
      </c>
      <c r="F237" s="787" t="s">
        <v>200</v>
      </c>
      <c r="G237" s="739" t="s">
        <v>10</v>
      </c>
      <c r="H237" s="790" t="s">
        <v>2200</v>
      </c>
      <c r="I237" s="712" t="s">
        <v>782</v>
      </c>
      <c r="J237" s="573" t="s">
        <v>788</v>
      </c>
      <c r="K237" s="573" t="s">
        <v>789</v>
      </c>
      <c r="L237" s="701" t="s">
        <v>2201</v>
      </c>
      <c r="M237" s="571" t="s">
        <v>2032</v>
      </c>
      <c r="N237" s="571">
        <v>1</v>
      </c>
      <c r="O237" s="570">
        <f t="shared" si="218"/>
        <v>100</v>
      </c>
      <c r="P237" s="569">
        <v>100</v>
      </c>
      <c r="Q237" s="628">
        <v>0.16500000000000001</v>
      </c>
      <c r="R237" s="580">
        <f t="shared" si="190"/>
        <v>4.1250000000000002E-2</v>
      </c>
      <c r="S237" s="627">
        <v>100</v>
      </c>
      <c r="T237" s="625">
        <f t="shared" si="174"/>
        <v>0.25</v>
      </c>
      <c r="U237" s="992">
        <v>100</v>
      </c>
      <c r="V237" s="626">
        <f t="shared" si="175"/>
        <v>25</v>
      </c>
      <c r="W237" s="594">
        <f t="shared" si="176"/>
        <v>100</v>
      </c>
      <c r="X237" s="594">
        <f t="shared" si="191"/>
        <v>100</v>
      </c>
      <c r="Y237" s="594">
        <f t="shared" si="215"/>
        <v>4.1250000000000002E-2</v>
      </c>
      <c r="Z237" s="594">
        <f t="shared" si="192"/>
        <v>100</v>
      </c>
      <c r="AA237" s="593">
        <v>41000000</v>
      </c>
      <c r="AB237" s="593">
        <v>41000000</v>
      </c>
      <c r="AC237" s="593">
        <v>0</v>
      </c>
      <c r="AD237" s="593">
        <v>0</v>
      </c>
      <c r="AE237" s="593">
        <v>0</v>
      </c>
      <c r="AF237" s="593">
        <v>0</v>
      </c>
      <c r="AG237" s="593">
        <v>0</v>
      </c>
      <c r="AH237" s="593">
        <v>0</v>
      </c>
      <c r="AI237" s="593">
        <v>43000000</v>
      </c>
      <c r="AJ237" s="593">
        <v>0</v>
      </c>
      <c r="AK237" s="593">
        <v>0</v>
      </c>
      <c r="AL237" s="593">
        <v>0</v>
      </c>
      <c r="AM237" s="593">
        <v>0</v>
      </c>
      <c r="AN237" s="593">
        <v>0</v>
      </c>
      <c r="AO237" s="593">
        <v>0</v>
      </c>
      <c r="AP237" s="593">
        <v>43000000</v>
      </c>
      <c r="AQ237" s="593">
        <v>0</v>
      </c>
      <c r="AR237" s="593">
        <v>0</v>
      </c>
      <c r="AS237" s="593">
        <v>0</v>
      </c>
      <c r="AT237" s="570">
        <f t="shared" si="193"/>
        <v>4.1250000000000002E-2</v>
      </c>
      <c r="AU237" s="571">
        <v>100</v>
      </c>
      <c r="AV237" s="625">
        <f t="shared" si="177"/>
        <v>0.25</v>
      </c>
      <c r="AW237" s="1003">
        <v>100</v>
      </c>
      <c r="AX237" s="604">
        <f t="shared" si="178"/>
        <v>25</v>
      </c>
      <c r="AY237" s="604">
        <f t="shared" si="179"/>
        <v>100</v>
      </c>
      <c r="AZ237" s="604">
        <f t="shared" si="194"/>
        <v>100</v>
      </c>
      <c r="BA237" s="592">
        <f t="shared" si="195"/>
        <v>4.1250000000000002E-2</v>
      </c>
      <c r="BB237" s="592">
        <f t="shared" si="196"/>
        <v>100</v>
      </c>
      <c r="BC237" s="591">
        <v>0</v>
      </c>
      <c r="BD237" s="591">
        <v>0</v>
      </c>
      <c r="BE237" s="591">
        <v>0</v>
      </c>
      <c r="BF237" s="591">
        <v>0</v>
      </c>
      <c r="BG237" s="591">
        <v>0</v>
      </c>
      <c r="BH237" s="591">
        <v>0</v>
      </c>
      <c r="BI237" s="591">
        <v>0</v>
      </c>
      <c r="BJ237" s="591">
        <v>0</v>
      </c>
      <c r="BK237" s="700">
        <v>1000000</v>
      </c>
      <c r="BL237" s="589">
        <v>0</v>
      </c>
      <c r="BM237" s="589">
        <v>1000000</v>
      </c>
      <c r="BN237" s="589">
        <v>0</v>
      </c>
      <c r="BO237" s="589">
        <v>0</v>
      </c>
      <c r="BP237" s="589">
        <v>0</v>
      </c>
      <c r="BQ237" s="589">
        <v>0</v>
      </c>
      <c r="BR237" s="589">
        <v>0</v>
      </c>
      <c r="BS237" s="589">
        <v>0</v>
      </c>
      <c r="BT237" s="589">
        <v>0</v>
      </c>
      <c r="BU237" s="589">
        <v>0</v>
      </c>
      <c r="BV237" s="588">
        <f t="shared" si="197"/>
        <v>4.1250000000000002E-2</v>
      </c>
      <c r="BW237" s="588">
        <v>100</v>
      </c>
      <c r="BX237" s="623">
        <f t="shared" si="180"/>
        <v>0.25</v>
      </c>
      <c r="BY237" s="607">
        <v>100</v>
      </c>
      <c r="BZ237" s="629">
        <v>100</v>
      </c>
      <c r="CA237" s="1017">
        <v>100</v>
      </c>
      <c r="CB237" s="557">
        <f t="shared" si="181"/>
        <v>25</v>
      </c>
      <c r="CC237" s="557">
        <f t="shared" si="182"/>
        <v>100</v>
      </c>
      <c r="CD237" s="622">
        <f t="shared" si="198"/>
        <v>100</v>
      </c>
      <c r="CE237" s="621">
        <f t="shared" si="199"/>
        <v>4.1250000000000002E-2</v>
      </c>
      <c r="CF237" s="605">
        <f t="shared" si="200"/>
        <v>100</v>
      </c>
      <c r="CG237" s="621">
        <f t="shared" si="201"/>
        <v>4.1250000000000002E-2</v>
      </c>
      <c r="CH237" s="553">
        <f t="shared" si="202"/>
        <v>4.1250000000000002E-2</v>
      </c>
      <c r="CI237" s="552">
        <v>100</v>
      </c>
      <c r="CJ237" s="551">
        <f t="shared" si="183"/>
        <v>0.25</v>
      </c>
      <c r="CK237" s="874">
        <v>100</v>
      </c>
      <c r="CL237" s="533">
        <f t="shared" si="184"/>
        <v>0</v>
      </c>
      <c r="CM237" s="619">
        <f t="shared" si="185"/>
        <v>25</v>
      </c>
      <c r="CN237" s="619">
        <f t="shared" si="186"/>
        <v>100</v>
      </c>
      <c r="CO237" s="619">
        <f t="shared" si="203"/>
        <v>100</v>
      </c>
      <c r="CP237" s="619">
        <f t="shared" si="204"/>
        <v>4.1250000000000002E-2</v>
      </c>
      <c r="CQ237" s="619">
        <f t="shared" si="205"/>
        <v>4.1250000000000002E-2</v>
      </c>
      <c r="CR237" s="546">
        <v>0</v>
      </c>
      <c r="CS237" s="546">
        <v>0</v>
      </c>
      <c r="CT237" s="546">
        <v>0</v>
      </c>
      <c r="CU237" s="546">
        <v>0</v>
      </c>
      <c r="CV237" s="546">
        <v>0</v>
      </c>
      <c r="CW237" s="546">
        <v>0</v>
      </c>
      <c r="CX237" s="546">
        <v>0</v>
      </c>
      <c r="CY237" s="546">
        <v>0</v>
      </c>
      <c r="CZ237" s="618">
        <v>0</v>
      </c>
      <c r="DA237" s="618">
        <v>0</v>
      </c>
      <c r="DB237" s="618">
        <v>0</v>
      </c>
      <c r="DC237" s="618">
        <v>0</v>
      </c>
      <c r="DD237" s="618">
        <v>0</v>
      </c>
      <c r="DE237" s="618">
        <v>0</v>
      </c>
      <c r="DF237" s="618">
        <v>0</v>
      </c>
      <c r="DG237" s="618">
        <v>0</v>
      </c>
      <c r="DH237" s="618">
        <v>0</v>
      </c>
      <c r="DI237" s="618">
        <v>0</v>
      </c>
      <c r="DJ237" s="618">
        <v>0</v>
      </c>
      <c r="DK237" s="1034">
        <f t="shared" si="187"/>
        <v>100</v>
      </c>
      <c r="DL237" s="543">
        <f t="shared" si="206"/>
        <v>0.16500000000000001</v>
      </c>
      <c r="DM237" s="542">
        <f t="shared" si="207"/>
        <v>100</v>
      </c>
      <c r="DN237" s="594">
        <f t="shared" si="208"/>
        <v>100</v>
      </c>
      <c r="DO237" s="540">
        <f t="shared" si="209"/>
        <v>0.16500000000000001</v>
      </c>
      <c r="DP237" s="597">
        <f t="shared" si="219"/>
        <v>0.16500000000000001</v>
      </c>
      <c r="DQ237" s="538">
        <f t="shared" si="210"/>
        <v>0.16500000000000001</v>
      </c>
      <c r="DR237" s="617">
        <f t="shared" si="211"/>
        <v>1</v>
      </c>
      <c r="DS237" s="616">
        <f t="shared" si="212"/>
        <v>0</v>
      </c>
      <c r="DT237" s="259">
        <v>269</v>
      </c>
      <c r="DU237" s="260" t="s">
        <v>275</v>
      </c>
      <c r="DV237" s="259"/>
      <c r="DW237" s="260" t="s">
        <v>242</v>
      </c>
      <c r="DX237" s="259"/>
      <c r="DY237" s="259"/>
      <c r="DZ237" s="259"/>
      <c r="EA237" s="987"/>
      <c r="EB237" s="1041" t="s">
        <v>2573</v>
      </c>
      <c r="EC237" s="802">
        <v>0</v>
      </c>
      <c r="EE237" s="1047"/>
    </row>
    <row r="238" spans="4:135" s="534" customFormat="1" ht="127.5" hidden="1" x14ac:dyDescent="0.3">
      <c r="D238" s="783">
        <v>235</v>
      </c>
      <c r="E238" s="799">
        <v>283</v>
      </c>
      <c r="F238" s="787" t="s">
        <v>200</v>
      </c>
      <c r="G238" s="739" t="s">
        <v>7</v>
      </c>
      <c r="H238" s="790" t="s">
        <v>2200</v>
      </c>
      <c r="I238" s="712" t="s">
        <v>782</v>
      </c>
      <c r="J238" s="573" t="s">
        <v>790</v>
      </c>
      <c r="K238" s="573" t="s">
        <v>791</v>
      </c>
      <c r="L238" s="701" t="s">
        <v>2201</v>
      </c>
      <c r="M238" s="571" t="s">
        <v>2032</v>
      </c>
      <c r="N238" s="571">
        <v>100</v>
      </c>
      <c r="O238" s="570">
        <f t="shared" si="218"/>
        <v>100</v>
      </c>
      <c r="P238" s="569">
        <v>100</v>
      </c>
      <c r="Q238" s="628">
        <v>0.16500000000000001</v>
      </c>
      <c r="R238" s="580">
        <f t="shared" si="190"/>
        <v>4.1250000000000002E-2</v>
      </c>
      <c r="S238" s="627">
        <v>100</v>
      </c>
      <c r="T238" s="625">
        <f t="shared" si="174"/>
        <v>0.25</v>
      </c>
      <c r="U238" s="992">
        <v>0</v>
      </c>
      <c r="V238" s="626">
        <f t="shared" si="175"/>
        <v>0</v>
      </c>
      <c r="W238" s="594">
        <f t="shared" si="176"/>
        <v>0</v>
      </c>
      <c r="X238" s="594">
        <f t="shared" si="191"/>
        <v>0</v>
      </c>
      <c r="Y238" s="594">
        <f t="shared" si="215"/>
        <v>0</v>
      </c>
      <c r="Z238" s="594">
        <f t="shared" si="192"/>
        <v>0</v>
      </c>
      <c r="AA238" s="593">
        <v>50000000</v>
      </c>
      <c r="AB238" s="593">
        <v>0</v>
      </c>
      <c r="AC238" s="593">
        <v>50000000</v>
      </c>
      <c r="AD238" s="593">
        <v>0</v>
      </c>
      <c r="AE238" s="593">
        <v>0</v>
      </c>
      <c r="AF238" s="593">
        <v>0</v>
      </c>
      <c r="AG238" s="593">
        <v>0</v>
      </c>
      <c r="AH238" s="593">
        <v>0</v>
      </c>
      <c r="AI238" s="593">
        <v>0</v>
      </c>
      <c r="AJ238" s="593">
        <v>0</v>
      </c>
      <c r="AK238" s="593">
        <v>0</v>
      </c>
      <c r="AL238" s="593">
        <v>0</v>
      </c>
      <c r="AM238" s="593">
        <v>0</v>
      </c>
      <c r="AN238" s="593">
        <v>0</v>
      </c>
      <c r="AO238" s="593">
        <v>0</v>
      </c>
      <c r="AP238" s="593">
        <v>0</v>
      </c>
      <c r="AQ238" s="593">
        <v>0</v>
      </c>
      <c r="AR238" s="593">
        <v>0</v>
      </c>
      <c r="AS238" s="593">
        <v>0</v>
      </c>
      <c r="AT238" s="570">
        <f t="shared" si="193"/>
        <v>4.1250000000000002E-2</v>
      </c>
      <c r="AU238" s="571">
        <v>100</v>
      </c>
      <c r="AV238" s="625">
        <f t="shared" si="177"/>
        <v>0.25</v>
      </c>
      <c r="AW238" s="1003">
        <v>0</v>
      </c>
      <c r="AX238" s="604">
        <f t="shared" si="178"/>
        <v>0</v>
      </c>
      <c r="AY238" s="604">
        <f t="shared" si="179"/>
        <v>0</v>
      </c>
      <c r="AZ238" s="604">
        <f t="shared" si="194"/>
        <v>0</v>
      </c>
      <c r="BA238" s="592">
        <f t="shared" si="195"/>
        <v>0</v>
      </c>
      <c r="BB238" s="592">
        <f t="shared" si="196"/>
        <v>0</v>
      </c>
      <c r="BC238" s="591">
        <v>26000000</v>
      </c>
      <c r="BD238" s="591">
        <v>0</v>
      </c>
      <c r="BE238" s="591">
        <v>26000000</v>
      </c>
      <c r="BF238" s="591">
        <v>0</v>
      </c>
      <c r="BG238" s="591">
        <v>0</v>
      </c>
      <c r="BH238" s="591">
        <v>0</v>
      </c>
      <c r="BI238" s="591">
        <v>0</v>
      </c>
      <c r="BJ238" s="591">
        <v>0</v>
      </c>
      <c r="BK238" s="700">
        <v>0</v>
      </c>
      <c r="BL238" s="589">
        <v>0</v>
      </c>
      <c r="BM238" s="589">
        <v>0</v>
      </c>
      <c r="BN238" s="589">
        <v>0</v>
      </c>
      <c r="BO238" s="589">
        <v>0</v>
      </c>
      <c r="BP238" s="589">
        <v>0</v>
      </c>
      <c r="BQ238" s="589">
        <v>0</v>
      </c>
      <c r="BR238" s="589">
        <v>0</v>
      </c>
      <c r="BS238" s="589">
        <v>0</v>
      </c>
      <c r="BT238" s="589">
        <v>0</v>
      </c>
      <c r="BU238" s="589">
        <v>0</v>
      </c>
      <c r="BV238" s="588">
        <f t="shared" si="197"/>
        <v>4.1250000000000002E-2</v>
      </c>
      <c r="BW238" s="588">
        <v>100</v>
      </c>
      <c r="BX238" s="623">
        <f t="shared" si="180"/>
        <v>0.25</v>
      </c>
      <c r="BY238" s="639">
        <v>99</v>
      </c>
      <c r="BZ238" s="638">
        <v>99</v>
      </c>
      <c r="CA238" s="1018">
        <v>100</v>
      </c>
      <c r="CB238" s="557">
        <f t="shared" si="181"/>
        <v>25</v>
      </c>
      <c r="CC238" s="557">
        <f t="shared" si="182"/>
        <v>100</v>
      </c>
      <c r="CD238" s="622">
        <f t="shared" si="198"/>
        <v>100</v>
      </c>
      <c r="CE238" s="621">
        <f t="shared" si="199"/>
        <v>4.1250000000000002E-2</v>
      </c>
      <c r="CF238" s="605">
        <f t="shared" si="200"/>
        <v>100</v>
      </c>
      <c r="CG238" s="621">
        <f t="shared" si="201"/>
        <v>4.1250000000000002E-2</v>
      </c>
      <c r="CH238" s="553">
        <f t="shared" si="202"/>
        <v>4.1250000000000002E-2</v>
      </c>
      <c r="CI238" s="552">
        <v>100</v>
      </c>
      <c r="CJ238" s="551">
        <f t="shared" si="183"/>
        <v>0.25</v>
      </c>
      <c r="CK238" s="875">
        <v>25</v>
      </c>
      <c r="CL238" s="533">
        <f t="shared" si="184"/>
        <v>75</v>
      </c>
      <c r="CM238" s="619">
        <f t="shared" si="185"/>
        <v>6.25</v>
      </c>
      <c r="CN238" s="619">
        <f t="shared" si="186"/>
        <v>25</v>
      </c>
      <c r="CO238" s="619">
        <f t="shared" si="203"/>
        <v>25</v>
      </c>
      <c r="CP238" s="619">
        <f t="shared" si="204"/>
        <v>1.03125E-2</v>
      </c>
      <c r="CQ238" s="619">
        <f t="shared" si="205"/>
        <v>1.03125E-2</v>
      </c>
      <c r="CR238" s="546">
        <v>60000000</v>
      </c>
      <c r="CS238" s="546">
        <v>60000000</v>
      </c>
      <c r="CT238" s="546">
        <v>0</v>
      </c>
      <c r="CU238" s="546">
        <v>0</v>
      </c>
      <c r="CV238" s="546">
        <v>0</v>
      </c>
      <c r="CW238" s="546">
        <v>0</v>
      </c>
      <c r="CX238" s="546">
        <v>0</v>
      </c>
      <c r="CY238" s="546">
        <v>0</v>
      </c>
      <c r="CZ238" s="618">
        <v>0</v>
      </c>
      <c r="DA238" s="618">
        <v>0</v>
      </c>
      <c r="DB238" s="618">
        <v>0</v>
      </c>
      <c r="DC238" s="618">
        <v>0</v>
      </c>
      <c r="DD238" s="618">
        <v>0</v>
      </c>
      <c r="DE238" s="618">
        <v>0</v>
      </c>
      <c r="DF238" s="618">
        <v>0</v>
      </c>
      <c r="DG238" s="618">
        <v>0</v>
      </c>
      <c r="DH238" s="618">
        <v>0</v>
      </c>
      <c r="DI238" s="618">
        <v>0</v>
      </c>
      <c r="DJ238" s="618">
        <v>0</v>
      </c>
      <c r="DK238" s="1034">
        <f t="shared" si="187"/>
        <v>31.25</v>
      </c>
      <c r="DL238" s="543">
        <f t="shared" si="206"/>
        <v>0.16500000000000001</v>
      </c>
      <c r="DM238" s="542">
        <f t="shared" si="207"/>
        <v>31.25</v>
      </c>
      <c r="DN238" s="594">
        <f t="shared" si="208"/>
        <v>31.25</v>
      </c>
      <c r="DO238" s="540">
        <f t="shared" si="209"/>
        <v>5.1562499999999997E-2</v>
      </c>
      <c r="DP238" s="597">
        <f t="shared" si="219"/>
        <v>5.1562499999999997E-2</v>
      </c>
      <c r="DQ238" s="538">
        <f t="shared" si="210"/>
        <v>5.1562499999999997E-2</v>
      </c>
      <c r="DR238" s="617">
        <f t="shared" si="211"/>
        <v>1</v>
      </c>
      <c r="DS238" s="616">
        <f t="shared" si="212"/>
        <v>0</v>
      </c>
      <c r="DT238" s="259">
        <v>7</v>
      </c>
      <c r="DU238" s="260" t="s">
        <v>300</v>
      </c>
      <c r="DV238" s="259">
        <v>8</v>
      </c>
      <c r="DW238" s="260" t="s">
        <v>299</v>
      </c>
      <c r="DX238" s="259">
        <v>179</v>
      </c>
      <c r="DY238" s="259">
        <v>269</v>
      </c>
      <c r="DZ238" s="259"/>
      <c r="EA238" s="987"/>
      <c r="EB238" s="1041" t="s">
        <v>2574</v>
      </c>
      <c r="EC238" s="802">
        <v>60000000</v>
      </c>
      <c r="EE238" s="1047"/>
    </row>
    <row r="239" spans="4:135" s="534" customFormat="1" ht="102" hidden="1" x14ac:dyDescent="0.3">
      <c r="D239" s="783">
        <v>236</v>
      </c>
      <c r="E239" s="799">
        <v>284</v>
      </c>
      <c r="F239" s="787" t="s">
        <v>200</v>
      </c>
      <c r="G239" s="739" t="s">
        <v>7</v>
      </c>
      <c r="H239" s="790" t="s">
        <v>2200</v>
      </c>
      <c r="I239" s="712" t="s">
        <v>782</v>
      </c>
      <c r="J239" s="573" t="s">
        <v>792</v>
      </c>
      <c r="K239" s="573" t="s">
        <v>793</v>
      </c>
      <c r="L239" s="701" t="s">
        <v>2201</v>
      </c>
      <c r="M239" s="571" t="s">
        <v>2032</v>
      </c>
      <c r="N239" s="571">
        <v>100</v>
      </c>
      <c r="O239" s="570">
        <f t="shared" si="218"/>
        <v>100</v>
      </c>
      <c r="P239" s="569">
        <v>100</v>
      </c>
      <c r="Q239" s="628">
        <v>0.16500000000000001</v>
      </c>
      <c r="R239" s="580">
        <f t="shared" si="190"/>
        <v>4.1250000000000002E-2</v>
      </c>
      <c r="S239" s="627">
        <v>100</v>
      </c>
      <c r="T239" s="625">
        <f t="shared" si="174"/>
        <v>0.25</v>
      </c>
      <c r="U239" s="992">
        <v>0</v>
      </c>
      <c r="V239" s="626">
        <f t="shared" si="175"/>
        <v>0</v>
      </c>
      <c r="W239" s="594">
        <f t="shared" si="176"/>
        <v>0</v>
      </c>
      <c r="X239" s="594">
        <f t="shared" si="191"/>
        <v>0</v>
      </c>
      <c r="Y239" s="594">
        <f t="shared" si="215"/>
        <v>0</v>
      </c>
      <c r="Z239" s="594">
        <f t="shared" si="192"/>
        <v>0</v>
      </c>
      <c r="AA239" s="593">
        <v>0</v>
      </c>
      <c r="AB239" s="593">
        <v>0</v>
      </c>
      <c r="AC239" s="593">
        <v>0</v>
      </c>
      <c r="AD239" s="593">
        <v>0</v>
      </c>
      <c r="AE239" s="593">
        <v>0</v>
      </c>
      <c r="AF239" s="593">
        <v>0</v>
      </c>
      <c r="AG239" s="593">
        <v>0</v>
      </c>
      <c r="AH239" s="593">
        <v>0</v>
      </c>
      <c r="AI239" s="593">
        <v>0</v>
      </c>
      <c r="AJ239" s="593">
        <v>0</v>
      </c>
      <c r="AK239" s="593">
        <v>0</v>
      </c>
      <c r="AL239" s="593">
        <v>0</v>
      </c>
      <c r="AM239" s="593">
        <v>0</v>
      </c>
      <c r="AN239" s="593">
        <v>0</v>
      </c>
      <c r="AO239" s="593">
        <v>0</v>
      </c>
      <c r="AP239" s="593">
        <v>0</v>
      </c>
      <c r="AQ239" s="593">
        <v>0</v>
      </c>
      <c r="AR239" s="593">
        <v>0</v>
      </c>
      <c r="AS239" s="593">
        <v>0</v>
      </c>
      <c r="AT239" s="570">
        <f t="shared" si="193"/>
        <v>4.1250000000000002E-2</v>
      </c>
      <c r="AU239" s="571">
        <v>100</v>
      </c>
      <c r="AV239" s="625">
        <f t="shared" si="177"/>
        <v>0.25</v>
      </c>
      <c r="AW239" s="1003">
        <v>0</v>
      </c>
      <c r="AX239" s="604">
        <f t="shared" si="178"/>
        <v>0</v>
      </c>
      <c r="AY239" s="604">
        <f t="shared" si="179"/>
        <v>0</v>
      </c>
      <c r="AZ239" s="604">
        <f t="shared" si="194"/>
        <v>0</v>
      </c>
      <c r="BA239" s="592">
        <f t="shared" si="195"/>
        <v>0</v>
      </c>
      <c r="BB239" s="592">
        <f t="shared" si="196"/>
        <v>0</v>
      </c>
      <c r="BC239" s="591">
        <v>26000000</v>
      </c>
      <c r="BD239" s="591">
        <v>0</v>
      </c>
      <c r="BE239" s="591">
        <v>26000000</v>
      </c>
      <c r="BF239" s="591">
        <v>0</v>
      </c>
      <c r="BG239" s="591">
        <v>0</v>
      </c>
      <c r="BH239" s="591">
        <v>0</v>
      </c>
      <c r="BI239" s="591">
        <v>0</v>
      </c>
      <c r="BJ239" s="591">
        <v>0</v>
      </c>
      <c r="BK239" s="700">
        <v>0</v>
      </c>
      <c r="BL239" s="589">
        <v>0</v>
      </c>
      <c r="BM239" s="589">
        <v>0</v>
      </c>
      <c r="BN239" s="589">
        <v>0</v>
      </c>
      <c r="BO239" s="589">
        <v>0</v>
      </c>
      <c r="BP239" s="589">
        <v>0</v>
      </c>
      <c r="BQ239" s="589">
        <v>0</v>
      </c>
      <c r="BR239" s="589">
        <v>0</v>
      </c>
      <c r="BS239" s="589">
        <v>0</v>
      </c>
      <c r="BT239" s="589">
        <v>0</v>
      </c>
      <c r="BU239" s="589">
        <v>0</v>
      </c>
      <c r="BV239" s="588">
        <f t="shared" si="197"/>
        <v>4.1250000000000002E-2</v>
      </c>
      <c r="BW239" s="588">
        <v>100</v>
      </c>
      <c r="BX239" s="623">
        <f t="shared" si="180"/>
        <v>0.25</v>
      </c>
      <c r="BY239" s="639">
        <v>100</v>
      </c>
      <c r="BZ239" s="638">
        <v>100</v>
      </c>
      <c r="CA239" s="1018">
        <v>100</v>
      </c>
      <c r="CB239" s="557">
        <f t="shared" si="181"/>
        <v>25</v>
      </c>
      <c r="CC239" s="557">
        <f t="shared" si="182"/>
        <v>100</v>
      </c>
      <c r="CD239" s="622">
        <f t="shared" si="198"/>
        <v>100</v>
      </c>
      <c r="CE239" s="621">
        <f t="shared" si="199"/>
        <v>4.1250000000000002E-2</v>
      </c>
      <c r="CF239" s="605">
        <f t="shared" si="200"/>
        <v>100</v>
      </c>
      <c r="CG239" s="621">
        <f t="shared" si="201"/>
        <v>4.1250000000000002E-2</v>
      </c>
      <c r="CH239" s="553">
        <f t="shared" si="202"/>
        <v>4.1250000000000002E-2</v>
      </c>
      <c r="CI239" s="552">
        <v>100</v>
      </c>
      <c r="CJ239" s="551">
        <f t="shared" si="183"/>
        <v>0.25</v>
      </c>
      <c r="CK239" s="875">
        <v>25</v>
      </c>
      <c r="CL239" s="533">
        <f t="shared" si="184"/>
        <v>75</v>
      </c>
      <c r="CM239" s="619">
        <f t="shared" si="185"/>
        <v>6.25</v>
      </c>
      <c r="CN239" s="619">
        <f t="shared" si="186"/>
        <v>25</v>
      </c>
      <c r="CO239" s="619">
        <f t="shared" si="203"/>
        <v>25</v>
      </c>
      <c r="CP239" s="619">
        <f t="shared" si="204"/>
        <v>1.03125E-2</v>
      </c>
      <c r="CQ239" s="619">
        <f t="shared" si="205"/>
        <v>1.03125E-2</v>
      </c>
      <c r="CR239" s="546">
        <v>60000000</v>
      </c>
      <c r="CS239" s="546">
        <v>60000000</v>
      </c>
      <c r="CT239" s="546">
        <v>0</v>
      </c>
      <c r="CU239" s="546">
        <v>0</v>
      </c>
      <c r="CV239" s="546">
        <v>0</v>
      </c>
      <c r="CW239" s="546">
        <v>0</v>
      </c>
      <c r="CX239" s="546">
        <v>0</v>
      </c>
      <c r="CY239" s="546">
        <v>0</v>
      </c>
      <c r="CZ239" s="618">
        <v>0</v>
      </c>
      <c r="DA239" s="618">
        <v>0</v>
      </c>
      <c r="DB239" s="618">
        <v>0</v>
      </c>
      <c r="DC239" s="618">
        <v>0</v>
      </c>
      <c r="DD239" s="618">
        <v>0</v>
      </c>
      <c r="DE239" s="618">
        <v>0</v>
      </c>
      <c r="DF239" s="618">
        <v>0</v>
      </c>
      <c r="DG239" s="618">
        <v>0</v>
      </c>
      <c r="DH239" s="618">
        <v>0</v>
      </c>
      <c r="DI239" s="618">
        <v>0</v>
      </c>
      <c r="DJ239" s="618">
        <v>0</v>
      </c>
      <c r="DK239" s="1034">
        <f t="shared" si="187"/>
        <v>31.25</v>
      </c>
      <c r="DL239" s="543">
        <f t="shared" si="206"/>
        <v>0.16500000000000001</v>
      </c>
      <c r="DM239" s="542">
        <f t="shared" si="207"/>
        <v>31.25</v>
      </c>
      <c r="DN239" s="594">
        <f t="shared" si="208"/>
        <v>31.25</v>
      </c>
      <c r="DO239" s="540">
        <f t="shared" si="209"/>
        <v>5.1562499999999997E-2</v>
      </c>
      <c r="DP239" s="597">
        <f t="shared" si="219"/>
        <v>5.1562499999999997E-2</v>
      </c>
      <c r="DQ239" s="538">
        <f t="shared" si="210"/>
        <v>5.1562499999999997E-2</v>
      </c>
      <c r="DR239" s="617">
        <f t="shared" si="211"/>
        <v>1</v>
      </c>
      <c r="DS239" s="616">
        <f t="shared" si="212"/>
        <v>0</v>
      </c>
      <c r="DT239" s="259">
        <v>7</v>
      </c>
      <c r="DU239" s="260" t="s">
        <v>300</v>
      </c>
      <c r="DV239" s="259">
        <v>8</v>
      </c>
      <c r="DW239" s="260" t="s">
        <v>299</v>
      </c>
      <c r="DX239" s="259">
        <v>269</v>
      </c>
      <c r="DY239" s="259"/>
      <c r="DZ239" s="259"/>
      <c r="EA239" s="987"/>
      <c r="EB239" s="1041" t="s">
        <v>2575</v>
      </c>
      <c r="EC239" s="802">
        <v>60000000</v>
      </c>
      <c r="EE239" s="1047"/>
    </row>
    <row r="240" spans="4:135" s="534" customFormat="1" ht="114.75" hidden="1" x14ac:dyDescent="0.3">
      <c r="D240" s="783">
        <v>237</v>
      </c>
      <c r="E240" s="799">
        <v>285</v>
      </c>
      <c r="F240" s="574" t="s">
        <v>200</v>
      </c>
      <c r="G240" s="574" t="s">
        <v>7</v>
      </c>
      <c r="H240" s="574" t="s">
        <v>2200</v>
      </c>
      <c r="I240" s="574" t="s">
        <v>782</v>
      </c>
      <c r="J240" s="573" t="s">
        <v>1443</v>
      </c>
      <c r="K240" s="573" t="s">
        <v>794</v>
      </c>
      <c r="L240" s="701" t="s">
        <v>2207</v>
      </c>
      <c r="M240" s="571" t="s">
        <v>2032</v>
      </c>
      <c r="N240" s="571">
        <v>0</v>
      </c>
      <c r="O240" s="570">
        <f t="shared" si="218"/>
        <v>50</v>
      </c>
      <c r="P240" s="569">
        <v>50</v>
      </c>
      <c r="Q240" s="631">
        <v>0.16500000000000001</v>
      </c>
      <c r="R240" s="580">
        <f t="shared" si="190"/>
        <v>4.1250000000000002E-2</v>
      </c>
      <c r="S240" s="627">
        <v>100</v>
      </c>
      <c r="T240" s="625">
        <f t="shared" si="174"/>
        <v>0.25</v>
      </c>
      <c r="U240" s="992">
        <v>100</v>
      </c>
      <c r="V240" s="626">
        <f t="shared" si="175"/>
        <v>25</v>
      </c>
      <c r="W240" s="594">
        <f t="shared" si="176"/>
        <v>100</v>
      </c>
      <c r="X240" s="594">
        <f t="shared" si="191"/>
        <v>100</v>
      </c>
      <c r="Y240" s="594">
        <f t="shared" si="215"/>
        <v>4.1250000000000002E-2</v>
      </c>
      <c r="Z240" s="594">
        <f t="shared" si="192"/>
        <v>100</v>
      </c>
      <c r="AA240" s="593">
        <v>0</v>
      </c>
      <c r="AB240" s="593">
        <v>0</v>
      </c>
      <c r="AC240" s="593">
        <v>0</v>
      </c>
      <c r="AD240" s="593">
        <v>0</v>
      </c>
      <c r="AE240" s="593">
        <v>0</v>
      </c>
      <c r="AF240" s="593">
        <v>0</v>
      </c>
      <c r="AG240" s="593">
        <v>0</v>
      </c>
      <c r="AH240" s="593">
        <v>0</v>
      </c>
      <c r="AI240" s="593">
        <v>0</v>
      </c>
      <c r="AJ240" s="593">
        <v>0</v>
      </c>
      <c r="AK240" s="593">
        <v>0</v>
      </c>
      <c r="AL240" s="593">
        <v>0</v>
      </c>
      <c r="AM240" s="593">
        <v>0</v>
      </c>
      <c r="AN240" s="593">
        <v>0</v>
      </c>
      <c r="AO240" s="593">
        <v>0</v>
      </c>
      <c r="AP240" s="593">
        <v>0</v>
      </c>
      <c r="AQ240" s="593">
        <v>0</v>
      </c>
      <c r="AR240" s="593">
        <v>0</v>
      </c>
      <c r="AS240" s="593">
        <v>0</v>
      </c>
      <c r="AT240" s="630">
        <f t="shared" si="193"/>
        <v>4.1250000000000002E-2</v>
      </c>
      <c r="AU240" s="571">
        <v>100</v>
      </c>
      <c r="AV240" s="625">
        <f t="shared" si="177"/>
        <v>0.25</v>
      </c>
      <c r="AW240" s="1003">
        <v>100</v>
      </c>
      <c r="AX240" s="604">
        <f t="shared" si="178"/>
        <v>25</v>
      </c>
      <c r="AY240" s="604">
        <f t="shared" si="179"/>
        <v>100</v>
      </c>
      <c r="AZ240" s="604">
        <f t="shared" si="194"/>
        <v>100</v>
      </c>
      <c r="BA240" s="592">
        <f t="shared" si="195"/>
        <v>4.1250000000000002E-2</v>
      </c>
      <c r="BB240" s="592">
        <f t="shared" si="196"/>
        <v>100</v>
      </c>
      <c r="BC240" s="591">
        <v>15500000</v>
      </c>
      <c r="BD240" s="591">
        <v>0</v>
      </c>
      <c r="BE240" s="591">
        <v>13000000</v>
      </c>
      <c r="BF240" s="591">
        <v>0</v>
      </c>
      <c r="BG240" s="591">
        <v>0</v>
      </c>
      <c r="BH240" s="591">
        <v>0</v>
      </c>
      <c r="BI240" s="591">
        <v>0</v>
      </c>
      <c r="BJ240" s="591">
        <v>2500000</v>
      </c>
      <c r="BK240" s="700">
        <v>0</v>
      </c>
      <c r="BL240" s="589">
        <v>0</v>
      </c>
      <c r="BM240" s="589">
        <v>0</v>
      </c>
      <c r="BN240" s="589">
        <v>0</v>
      </c>
      <c r="BO240" s="589">
        <v>0</v>
      </c>
      <c r="BP240" s="589">
        <v>0</v>
      </c>
      <c r="BQ240" s="589">
        <v>0</v>
      </c>
      <c r="BR240" s="589">
        <v>0</v>
      </c>
      <c r="BS240" s="589">
        <v>0</v>
      </c>
      <c r="BT240" s="589">
        <v>0</v>
      </c>
      <c r="BU240" s="589">
        <v>0</v>
      </c>
      <c r="BV240" s="588">
        <f t="shared" si="197"/>
        <v>4.1250000000000002E-2</v>
      </c>
      <c r="BW240" s="588">
        <v>100</v>
      </c>
      <c r="BX240" s="623">
        <f t="shared" si="180"/>
        <v>0.25</v>
      </c>
      <c r="BY240" s="639">
        <v>50</v>
      </c>
      <c r="BZ240" s="638">
        <v>60</v>
      </c>
      <c r="CA240" s="1018">
        <v>100</v>
      </c>
      <c r="CB240" s="557">
        <f t="shared" si="181"/>
        <v>25</v>
      </c>
      <c r="CC240" s="557">
        <f t="shared" si="182"/>
        <v>100</v>
      </c>
      <c r="CD240" s="622">
        <f t="shared" si="198"/>
        <v>100</v>
      </c>
      <c r="CE240" s="621">
        <f t="shared" si="199"/>
        <v>4.1250000000000002E-2</v>
      </c>
      <c r="CF240" s="605">
        <f t="shared" si="200"/>
        <v>100</v>
      </c>
      <c r="CG240" s="621">
        <f t="shared" si="201"/>
        <v>4.1250000000000002E-2</v>
      </c>
      <c r="CH240" s="553">
        <f t="shared" si="202"/>
        <v>4.1250000000000002E-2</v>
      </c>
      <c r="CI240" s="552">
        <v>100</v>
      </c>
      <c r="CJ240" s="551">
        <f t="shared" si="183"/>
        <v>0.25</v>
      </c>
      <c r="CK240" s="875">
        <v>0</v>
      </c>
      <c r="CL240" s="533">
        <f t="shared" si="184"/>
        <v>100</v>
      </c>
      <c r="CM240" s="619">
        <f t="shared" si="185"/>
        <v>0</v>
      </c>
      <c r="CN240" s="619">
        <f t="shared" si="186"/>
        <v>0</v>
      </c>
      <c r="CO240" s="619">
        <f t="shared" si="203"/>
        <v>0</v>
      </c>
      <c r="CP240" s="619">
        <f t="shared" si="204"/>
        <v>0</v>
      </c>
      <c r="CQ240" s="619">
        <f t="shared" si="205"/>
        <v>0</v>
      </c>
      <c r="CR240" s="546">
        <v>32500000</v>
      </c>
      <c r="CS240" s="546">
        <v>30000000</v>
      </c>
      <c r="CT240" s="546">
        <v>0</v>
      </c>
      <c r="CU240" s="546">
        <v>0</v>
      </c>
      <c r="CV240" s="546">
        <v>0</v>
      </c>
      <c r="CW240" s="546">
        <v>0</v>
      </c>
      <c r="CX240" s="546">
        <v>0</v>
      </c>
      <c r="CY240" s="546">
        <v>2500000</v>
      </c>
      <c r="CZ240" s="618">
        <v>0</v>
      </c>
      <c r="DA240" s="618">
        <v>0</v>
      </c>
      <c r="DB240" s="618">
        <v>0</v>
      </c>
      <c r="DC240" s="618">
        <v>0</v>
      </c>
      <c r="DD240" s="618">
        <v>0</v>
      </c>
      <c r="DE240" s="618">
        <v>0</v>
      </c>
      <c r="DF240" s="618">
        <v>0</v>
      </c>
      <c r="DG240" s="618">
        <v>0</v>
      </c>
      <c r="DH240" s="618">
        <v>0</v>
      </c>
      <c r="DI240" s="618">
        <v>0</v>
      </c>
      <c r="DJ240" s="618">
        <v>0</v>
      </c>
      <c r="DK240" s="1034">
        <f t="shared" si="187"/>
        <v>75</v>
      </c>
      <c r="DL240" s="543">
        <f t="shared" si="206"/>
        <v>0.16500000000000001</v>
      </c>
      <c r="DM240" s="542">
        <f t="shared" si="207"/>
        <v>150</v>
      </c>
      <c r="DN240" s="594">
        <f t="shared" si="208"/>
        <v>100</v>
      </c>
      <c r="DO240" s="540">
        <f t="shared" si="209"/>
        <v>0.16500000000000001</v>
      </c>
      <c r="DP240" s="597">
        <f t="shared" si="219"/>
        <v>0.16500000000000001</v>
      </c>
      <c r="DQ240" s="538">
        <f t="shared" si="210"/>
        <v>0.16500000000000001</v>
      </c>
      <c r="DR240" s="617">
        <f t="shared" si="211"/>
        <v>1</v>
      </c>
      <c r="DS240" s="616">
        <f t="shared" si="212"/>
        <v>0</v>
      </c>
      <c r="DT240" s="259">
        <v>269</v>
      </c>
      <c r="DU240" s="260" t="s">
        <v>275</v>
      </c>
      <c r="DV240" s="259"/>
      <c r="DW240" s="260" t="s">
        <v>242</v>
      </c>
      <c r="DX240" s="259"/>
      <c r="DY240" s="259"/>
      <c r="DZ240" s="259"/>
      <c r="EA240" s="987"/>
      <c r="EB240" s="1041" t="s">
        <v>2576</v>
      </c>
      <c r="EC240" s="802">
        <v>32500000</v>
      </c>
      <c r="EE240" s="1047"/>
    </row>
    <row r="241" spans="4:135" s="534" customFormat="1" ht="114.75" hidden="1" x14ac:dyDescent="0.3">
      <c r="D241" s="783">
        <v>238</v>
      </c>
      <c r="E241" s="799">
        <v>286</v>
      </c>
      <c r="F241" s="787" t="s">
        <v>200</v>
      </c>
      <c r="G241" s="739" t="s">
        <v>10</v>
      </c>
      <c r="H241" s="790" t="s">
        <v>2200</v>
      </c>
      <c r="I241" s="712" t="s">
        <v>782</v>
      </c>
      <c r="J241" s="573" t="s">
        <v>795</v>
      </c>
      <c r="K241" s="573" t="s">
        <v>796</v>
      </c>
      <c r="L241" s="701" t="s">
        <v>2201</v>
      </c>
      <c r="M241" s="571" t="s">
        <v>2032</v>
      </c>
      <c r="N241" s="571">
        <v>100</v>
      </c>
      <c r="O241" s="570">
        <f t="shared" si="218"/>
        <v>100</v>
      </c>
      <c r="P241" s="569">
        <v>100</v>
      </c>
      <c r="Q241" s="628">
        <v>0.16500000000000001</v>
      </c>
      <c r="R241" s="580">
        <f t="shared" si="190"/>
        <v>4.1250000000000002E-2</v>
      </c>
      <c r="S241" s="627">
        <v>100</v>
      </c>
      <c r="T241" s="625">
        <f t="shared" si="174"/>
        <v>0.25</v>
      </c>
      <c r="U241" s="992">
        <v>100</v>
      </c>
      <c r="V241" s="626">
        <f t="shared" si="175"/>
        <v>25</v>
      </c>
      <c r="W241" s="594">
        <f t="shared" si="176"/>
        <v>100</v>
      </c>
      <c r="X241" s="594">
        <f t="shared" si="191"/>
        <v>100</v>
      </c>
      <c r="Y241" s="594">
        <f t="shared" si="215"/>
        <v>4.1250000000000002E-2</v>
      </c>
      <c r="Z241" s="594">
        <f t="shared" si="192"/>
        <v>100</v>
      </c>
      <c r="AA241" s="593">
        <v>6000000</v>
      </c>
      <c r="AB241" s="593">
        <v>6000000</v>
      </c>
      <c r="AC241" s="593">
        <v>0</v>
      </c>
      <c r="AD241" s="593">
        <v>0</v>
      </c>
      <c r="AE241" s="593">
        <v>0</v>
      </c>
      <c r="AF241" s="593">
        <v>0</v>
      </c>
      <c r="AG241" s="593">
        <v>0</v>
      </c>
      <c r="AH241" s="593">
        <v>0</v>
      </c>
      <c r="AI241" s="593">
        <v>0</v>
      </c>
      <c r="AJ241" s="593">
        <v>0</v>
      </c>
      <c r="AK241" s="593">
        <v>0</v>
      </c>
      <c r="AL241" s="593">
        <v>0</v>
      </c>
      <c r="AM241" s="593">
        <v>0</v>
      </c>
      <c r="AN241" s="593">
        <v>0</v>
      </c>
      <c r="AO241" s="593">
        <v>0</v>
      </c>
      <c r="AP241" s="593">
        <v>0</v>
      </c>
      <c r="AQ241" s="593">
        <v>0</v>
      </c>
      <c r="AR241" s="593">
        <v>0</v>
      </c>
      <c r="AS241" s="593">
        <v>0</v>
      </c>
      <c r="AT241" s="570">
        <f t="shared" si="193"/>
        <v>4.1250000000000002E-2</v>
      </c>
      <c r="AU241" s="571">
        <v>100</v>
      </c>
      <c r="AV241" s="625">
        <f t="shared" si="177"/>
        <v>0.25</v>
      </c>
      <c r="AW241" s="1003">
        <v>100</v>
      </c>
      <c r="AX241" s="604">
        <f t="shared" si="178"/>
        <v>25</v>
      </c>
      <c r="AY241" s="604">
        <f t="shared" si="179"/>
        <v>100</v>
      </c>
      <c r="AZ241" s="604">
        <f t="shared" si="194"/>
        <v>100</v>
      </c>
      <c r="BA241" s="592">
        <f t="shared" si="195"/>
        <v>4.1250000000000002E-2</v>
      </c>
      <c r="BB241" s="592">
        <f t="shared" si="196"/>
        <v>100</v>
      </c>
      <c r="BC241" s="591">
        <v>2021000000</v>
      </c>
      <c r="BD241" s="591">
        <v>1921000000</v>
      </c>
      <c r="BE241" s="591">
        <v>100000000</v>
      </c>
      <c r="BF241" s="591">
        <v>0</v>
      </c>
      <c r="BG241" s="591">
        <v>0</v>
      </c>
      <c r="BH241" s="591">
        <v>0</v>
      </c>
      <c r="BI241" s="591">
        <v>0</v>
      </c>
      <c r="BJ241" s="591">
        <v>0</v>
      </c>
      <c r="BK241" s="700">
        <v>150000000</v>
      </c>
      <c r="BL241" s="589">
        <v>0</v>
      </c>
      <c r="BM241" s="589">
        <v>150000000</v>
      </c>
      <c r="BN241" s="589">
        <v>0</v>
      </c>
      <c r="BO241" s="589">
        <v>0</v>
      </c>
      <c r="BP241" s="589">
        <v>0</v>
      </c>
      <c r="BQ241" s="589">
        <v>0</v>
      </c>
      <c r="BR241" s="589">
        <v>0</v>
      </c>
      <c r="BS241" s="589">
        <v>0</v>
      </c>
      <c r="BT241" s="589">
        <v>0</v>
      </c>
      <c r="BU241" s="589">
        <v>0</v>
      </c>
      <c r="BV241" s="588">
        <f t="shared" si="197"/>
        <v>4.1250000000000002E-2</v>
      </c>
      <c r="BW241" s="588">
        <v>100</v>
      </c>
      <c r="BX241" s="623">
        <f t="shared" si="180"/>
        <v>0.25</v>
      </c>
      <c r="BY241" s="607">
        <v>100</v>
      </c>
      <c r="BZ241" s="629">
        <v>100</v>
      </c>
      <c r="CA241" s="1017">
        <v>100</v>
      </c>
      <c r="CB241" s="557">
        <f t="shared" si="181"/>
        <v>25</v>
      </c>
      <c r="CC241" s="557">
        <f t="shared" si="182"/>
        <v>100</v>
      </c>
      <c r="CD241" s="622">
        <f t="shared" si="198"/>
        <v>100</v>
      </c>
      <c r="CE241" s="621">
        <f t="shared" si="199"/>
        <v>4.1250000000000002E-2</v>
      </c>
      <c r="CF241" s="605">
        <f t="shared" si="200"/>
        <v>100</v>
      </c>
      <c r="CG241" s="621">
        <f t="shared" si="201"/>
        <v>4.1250000000000002E-2</v>
      </c>
      <c r="CH241" s="553">
        <f t="shared" si="202"/>
        <v>4.1250000000000002E-2</v>
      </c>
      <c r="CI241" s="552">
        <v>100</v>
      </c>
      <c r="CJ241" s="551">
        <f t="shared" si="183"/>
        <v>0.25</v>
      </c>
      <c r="CK241" s="874">
        <v>100</v>
      </c>
      <c r="CL241" s="533">
        <f t="shared" si="184"/>
        <v>0</v>
      </c>
      <c r="CM241" s="619">
        <f t="shared" si="185"/>
        <v>25</v>
      </c>
      <c r="CN241" s="619">
        <f t="shared" si="186"/>
        <v>100</v>
      </c>
      <c r="CO241" s="619">
        <f t="shared" si="203"/>
        <v>100</v>
      </c>
      <c r="CP241" s="619">
        <f t="shared" si="204"/>
        <v>4.1250000000000002E-2</v>
      </c>
      <c r="CQ241" s="619">
        <f t="shared" si="205"/>
        <v>4.1250000000000002E-2</v>
      </c>
      <c r="CR241" s="546">
        <v>2021000000</v>
      </c>
      <c r="CS241" s="546">
        <v>100000000</v>
      </c>
      <c r="CT241" s="546">
        <v>1921000000</v>
      </c>
      <c r="CU241" s="546">
        <v>0</v>
      </c>
      <c r="CV241" s="546">
        <v>0</v>
      </c>
      <c r="CW241" s="546">
        <v>0</v>
      </c>
      <c r="CX241" s="546">
        <v>0</v>
      </c>
      <c r="CY241" s="546">
        <v>0</v>
      </c>
      <c r="CZ241" s="618">
        <v>0</v>
      </c>
      <c r="DA241" s="618">
        <v>0</v>
      </c>
      <c r="DB241" s="618">
        <v>0</v>
      </c>
      <c r="DC241" s="618">
        <v>0</v>
      </c>
      <c r="DD241" s="618">
        <v>0</v>
      </c>
      <c r="DE241" s="618">
        <v>0</v>
      </c>
      <c r="DF241" s="618">
        <v>0</v>
      </c>
      <c r="DG241" s="618">
        <v>0</v>
      </c>
      <c r="DH241" s="618">
        <v>0</v>
      </c>
      <c r="DI241" s="618">
        <v>0</v>
      </c>
      <c r="DJ241" s="618">
        <v>0</v>
      </c>
      <c r="DK241" s="1034">
        <f t="shared" si="187"/>
        <v>100</v>
      </c>
      <c r="DL241" s="543">
        <f t="shared" si="206"/>
        <v>0.16500000000000001</v>
      </c>
      <c r="DM241" s="542">
        <f t="shared" si="207"/>
        <v>100</v>
      </c>
      <c r="DN241" s="594">
        <f t="shared" si="208"/>
        <v>100</v>
      </c>
      <c r="DO241" s="540">
        <f t="shared" si="209"/>
        <v>0.16500000000000001</v>
      </c>
      <c r="DP241" s="597">
        <f t="shared" si="219"/>
        <v>0.16500000000000001</v>
      </c>
      <c r="DQ241" s="538">
        <f t="shared" si="210"/>
        <v>0.16500000000000001</v>
      </c>
      <c r="DR241" s="617">
        <f t="shared" si="211"/>
        <v>1</v>
      </c>
      <c r="DS241" s="616">
        <f t="shared" si="212"/>
        <v>0</v>
      </c>
      <c r="DT241" s="259">
        <v>203</v>
      </c>
      <c r="DU241" s="260" t="s">
        <v>278</v>
      </c>
      <c r="DV241" s="259"/>
      <c r="DW241" s="260" t="s">
        <v>242</v>
      </c>
      <c r="DX241" s="259"/>
      <c r="DY241" s="259"/>
      <c r="DZ241" s="259"/>
      <c r="EA241" s="987"/>
      <c r="EB241" s="1041" t="s">
        <v>2577</v>
      </c>
      <c r="EC241" s="802">
        <v>2021000000</v>
      </c>
      <c r="EE241" s="1047"/>
    </row>
    <row r="242" spans="4:135" s="534" customFormat="1" ht="114.75" hidden="1" x14ac:dyDescent="0.3">
      <c r="D242" s="783">
        <v>239</v>
      </c>
      <c r="E242" s="799">
        <v>287</v>
      </c>
      <c r="F242" s="787" t="s">
        <v>200</v>
      </c>
      <c r="G242" s="739" t="s">
        <v>10</v>
      </c>
      <c r="H242" s="790" t="s">
        <v>2200</v>
      </c>
      <c r="I242" s="712" t="s">
        <v>782</v>
      </c>
      <c r="J242" s="573" t="s">
        <v>797</v>
      </c>
      <c r="K242" s="573" t="s">
        <v>798</v>
      </c>
      <c r="L242" s="701" t="s">
        <v>1582</v>
      </c>
      <c r="M242" s="571" t="s">
        <v>2017</v>
      </c>
      <c r="N242" s="571">
        <v>56</v>
      </c>
      <c r="O242" s="570">
        <f>+N242+P242</f>
        <v>100</v>
      </c>
      <c r="P242" s="569">
        <v>44</v>
      </c>
      <c r="Q242" s="628">
        <v>0.16500000000000001</v>
      </c>
      <c r="R242" s="580">
        <f t="shared" si="190"/>
        <v>1.5000000000000001E-2</v>
      </c>
      <c r="S242" s="627">
        <v>4</v>
      </c>
      <c r="T242" s="625">
        <f t="shared" si="174"/>
        <v>9.0909090909090912E-2</v>
      </c>
      <c r="U242" s="992">
        <v>15</v>
      </c>
      <c r="V242" s="626">
        <f t="shared" si="175"/>
        <v>15</v>
      </c>
      <c r="W242" s="594">
        <f t="shared" si="176"/>
        <v>375</v>
      </c>
      <c r="X242" s="594">
        <f t="shared" si="191"/>
        <v>100</v>
      </c>
      <c r="Y242" s="594">
        <f t="shared" si="215"/>
        <v>1.5000000000000003E-2</v>
      </c>
      <c r="Z242" s="594">
        <f t="shared" si="192"/>
        <v>100</v>
      </c>
      <c r="AA242" s="593">
        <v>6500000</v>
      </c>
      <c r="AB242" s="593">
        <v>6500000</v>
      </c>
      <c r="AC242" s="593">
        <v>0</v>
      </c>
      <c r="AD242" s="593">
        <v>0</v>
      </c>
      <c r="AE242" s="593">
        <v>0</v>
      </c>
      <c r="AF242" s="593">
        <v>0</v>
      </c>
      <c r="AG242" s="593">
        <v>0</v>
      </c>
      <c r="AH242" s="593">
        <v>0</v>
      </c>
      <c r="AI242" s="593">
        <v>0</v>
      </c>
      <c r="AJ242" s="593">
        <v>0</v>
      </c>
      <c r="AK242" s="593">
        <v>0</v>
      </c>
      <c r="AL242" s="593">
        <v>0</v>
      </c>
      <c r="AM242" s="593">
        <v>0</v>
      </c>
      <c r="AN242" s="593">
        <v>0</v>
      </c>
      <c r="AO242" s="593">
        <v>0</v>
      </c>
      <c r="AP242" s="593">
        <v>0</v>
      </c>
      <c r="AQ242" s="593">
        <v>0</v>
      </c>
      <c r="AR242" s="593">
        <v>0</v>
      </c>
      <c r="AS242" s="593">
        <v>0</v>
      </c>
      <c r="AT242" s="570">
        <f t="shared" si="193"/>
        <v>5.6250000000000001E-2</v>
      </c>
      <c r="AU242" s="571">
        <v>15</v>
      </c>
      <c r="AV242" s="625">
        <f t="shared" si="177"/>
        <v>0.34090909090909088</v>
      </c>
      <c r="AW242" s="1003">
        <v>15</v>
      </c>
      <c r="AX242" s="604">
        <f t="shared" si="178"/>
        <v>15</v>
      </c>
      <c r="AY242" s="604">
        <f t="shared" si="179"/>
        <v>100</v>
      </c>
      <c r="AZ242" s="604">
        <f t="shared" si="194"/>
        <v>100</v>
      </c>
      <c r="BA242" s="592">
        <f t="shared" si="195"/>
        <v>5.6250000000000001E-2</v>
      </c>
      <c r="BB242" s="592">
        <f t="shared" si="196"/>
        <v>100</v>
      </c>
      <c r="BC242" s="591">
        <v>65000000</v>
      </c>
      <c r="BD242" s="591">
        <v>0</v>
      </c>
      <c r="BE242" s="591">
        <v>65000000</v>
      </c>
      <c r="BF242" s="591">
        <v>0</v>
      </c>
      <c r="BG242" s="591">
        <v>0</v>
      </c>
      <c r="BH242" s="591">
        <v>0</v>
      </c>
      <c r="BI242" s="591">
        <v>0</v>
      </c>
      <c r="BJ242" s="591">
        <v>0</v>
      </c>
      <c r="BK242" s="700">
        <v>0</v>
      </c>
      <c r="BL242" s="589">
        <v>0</v>
      </c>
      <c r="BM242" s="589">
        <v>0</v>
      </c>
      <c r="BN242" s="589">
        <v>0</v>
      </c>
      <c r="BO242" s="589">
        <v>0</v>
      </c>
      <c r="BP242" s="589">
        <v>0</v>
      </c>
      <c r="BQ242" s="589">
        <v>0</v>
      </c>
      <c r="BR242" s="589">
        <v>0</v>
      </c>
      <c r="BS242" s="589">
        <v>0</v>
      </c>
      <c r="BT242" s="589">
        <v>0</v>
      </c>
      <c r="BU242" s="589">
        <v>0</v>
      </c>
      <c r="BV242" s="588">
        <f t="shared" si="197"/>
        <v>7.4999999999999997E-2</v>
      </c>
      <c r="BW242" s="588">
        <v>20</v>
      </c>
      <c r="BX242" s="623">
        <f t="shared" si="180"/>
        <v>0.45454545454545453</v>
      </c>
      <c r="BY242" s="607">
        <v>10</v>
      </c>
      <c r="BZ242" s="629">
        <v>7</v>
      </c>
      <c r="CA242" s="1017">
        <v>20</v>
      </c>
      <c r="CB242" s="557">
        <f t="shared" si="181"/>
        <v>20</v>
      </c>
      <c r="CC242" s="557">
        <f t="shared" si="182"/>
        <v>100</v>
      </c>
      <c r="CD242" s="622">
        <f t="shared" si="198"/>
        <v>100</v>
      </c>
      <c r="CE242" s="621">
        <f t="shared" si="199"/>
        <v>7.4999999999999997E-2</v>
      </c>
      <c r="CF242" s="605">
        <f t="shared" si="200"/>
        <v>100</v>
      </c>
      <c r="CG242" s="621">
        <f t="shared" si="201"/>
        <v>7.4999999999999997E-2</v>
      </c>
      <c r="CH242" s="553">
        <f t="shared" si="202"/>
        <v>1.8749999999999999E-2</v>
      </c>
      <c r="CI242" s="552">
        <v>5</v>
      </c>
      <c r="CJ242" s="551">
        <f t="shared" si="183"/>
        <v>0.11363636363636363</v>
      </c>
      <c r="CK242" s="874">
        <v>100</v>
      </c>
      <c r="CL242" s="533">
        <f t="shared" si="184"/>
        <v>-95</v>
      </c>
      <c r="CM242" s="619">
        <f t="shared" si="185"/>
        <v>100</v>
      </c>
      <c r="CN242" s="619">
        <f t="shared" si="186"/>
        <v>2000</v>
      </c>
      <c r="CO242" s="549">
        <f t="shared" si="203"/>
        <v>100</v>
      </c>
      <c r="CP242" s="619">
        <f t="shared" si="204"/>
        <v>1.8749999999999999E-2</v>
      </c>
      <c r="CQ242" s="619">
        <f t="shared" si="205"/>
        <v>0.375</v>
      </c>
      <c r="CR242" s="546">
        <v>150000000</v>
      </c>
      <c r="CS242" s="546">
        <v>150000000</v>
      </c>
      <c r="CT242" s="546">
        <v>0</v>
      </c>
      <c r="CU242" s="546">
        <v>0</v>
      </c>
      <c r="CV242" s="546">
        <v>0</v>
      </c>
      <c r="CW242" s="546">
        <v>0</v>
      </c>
      <c r="CX242" s="546">
        <v>0</v>
      </c>
      <c r="CY242" s="546">
        <v>0</v>
      </c>
      <c r="CZ242" s="618">
        <v>0</v>
      </c>
      <c r="DA242" s="618">
        <v>0</v>
      </c>
      <c r="DB242" s="618">
        <v>0</v>
      </c>
      <c r="DC242" s="618">
        <v>0</v>
      </c>
      <c r="DD242" s="618">
        <v>0</v>
      </c>
      <c r="DE242" s="618">
        <v>0</v>
      </c>
      <c r="DF242" s="618">
        <v>0</v>
      </c>
      <c r="DG242" s="618">
        <v>0</v>
      </c>
      <c r="DH242" s="618">
        <v>0</v>
      </c>
      <c r="DI242" s="618">
        <v>0</v>
      </c>
      <c r="DJ242" s="618">
        <v>0</v>
      </c>
      <c r="DK242" s="1034">
        <f t="shared" si="187"/>
        <v>150</v>
      </c>
      <c r="DL242" s="543">
        <f t="shared" si="206"/>
        <v>0.16499999999999998</v>
      </c>
      <c r="DM242" s="542">
        <f t="shared" si="207"/>
        <v>340.90909090909093</v>
      </c>
      <c r="DN242" s="594">
        <f t="shared" si="208"/>
        <v>100</v>
      </c>
      <c r="DO242" s="540">
        <f t="shared" si="209"/>
        <v>0.16500000000000001</v>
      </c>
      <c r="DP242" s="597">
        <f>+IF(((DN242*Q242)/100)&lt;Q242, ((DN242*Q242)/100),Q242)</f>
        <v>0.16500000000000001</v>
      </c>
      <c r="DQ242" s="538">
        <f t="shared" si="210"/>
        <v>0.16500000000000001</v>
      </c>
      <c r="DR242" s="617">
        <f t="shared" si="211"/>
        <v>0.99999999999999989</v>
      </c>
      <c r="DS242" s="616">
        <f t="shared" si="212"/>
        <v>0</v>
      </c>
      <c r="DT242" s="259">
        <v>203</v>
      </c>
      <c r="DU242" s="260" t="s">
        <v>278</v>
      </c>
      <c r="DV242" s="259"/>
      <c r="DW242" s="260" t="s">
        <v>242</v>
      </c>
      <c r="DX242" s="259"/>
      <c r="DY242" s="259"/>
      <c r="DZ242" s="259"/>
      <c r="EA242" s="987"/>
      <c r="EB242" s="1041" t="s">
        <v>2578</v>
      </c>
      <c r="EC242" s="802">
        <v>150000000</v>
      </c>
      <c r="EE242" s="1047"/>
    </row>
    <row r="243" spans="4:135" s="534" customFormat="1" ht="114.75" hidden="1" x14ac:dyDescent="0.3">
      <c r="D243" s="783">
        <v>240</v>
      </c>
      <c r="E243" s="799">
        <v>288</v>
      </c>
      <c r="F243" s="787" t="s">
        <v>200</v>
      </c>
      <c r="G243" s="739" t="s">
        <v>10</v>
      </c>
      <c r="H243" s="790" t="s">
        <v>2200</v>
      </c>
      <c r="I243" s="712" t="s">
        <v>782</v>
      </c>
      <c r="J243" s="573" t="s">
        <v>799</v>
      </c>
      <c r="K243" s="573" t="s">
        <v>800</v>
      </c>
      <c r="L243" s="701" t="s">
        <v>1707</v>
      </c>
      <c r="M243" s="571" t="s">
        <v>2017</v>
      </c>
      <c r="N243" s="571">
        <v>10</v>
      </c>
      <c r="O243" s="570">
        <f>+N243+P243</f>
        <v>60</v>
      </c>
      <c r="P243" s="569">
        <v>50</v>
      </c>
      <c r="Q243" s="628">
        <v>0.16500000000000001</v>
      </c>
      <c r="R243" s="580">
        <f t="shared" si="190"/>
        <v>1.6500000000000001E-2</v>
      </c>
      <c r="S243" s="627">
        <v>5</v>
      </c>
      <c r="T243" s="625">
        <f t="shared" si="174"/>
        <v>0.1</v>
      </c>
      <c r="U243" s="992">
        <v>5</v>
      </c>
      <c r="V243" s="626">
        <f t="shared" si="175"/>
        <v>5</v>
      </c>
      <c r="W243" s="594">
        <f t="shared" si="176"/>
        <v>100</v>
      </c>
      <c r="X243" s="594">
        <f t="shared" si="191"/>
        <v>100</v>
      </c>
      <c r="Y243" s="594">
        <f t="shared" si="215"/>
        <v>1.6500000000000001E-2</v>
      </c>
      <c r="Z243" s="594">
        <f t="shared" si="192"/>
        <v>100</v>
      </c>
      <c r="AA243" s="593">
        <v>0</v>
      </c>
      <c r="AB243" s="593">
        <v>0</v>
      </c>
      <c r="AC243" s="593">
        <v>0</v>
      </c>
      <c r="AD243" s="593">
        <v>0</v>
      </c>
      <c r="AE243" s="593">
        <v>0</v>
      </c>
      <c r="AF243" s="593">
        <v>0</v>
      </c>
      <c r="AG243" s="593">
        <v>0</v>
      </c>
      <c r="AH243" s="593">
        <v>0</v>
      </c>
      <c r="AI243" s="593">
        <v>0</v>
      </c>
      <c r="AJ243" s="593">
        <v>0</v>
      </c>
      <c r="AK243" s="593">
        <v>0</v>
      </c>
      <c r="AL243" s="593">
        <v>0</v>
      </c>
      <c r="AM243" s="593">
        <v>0</v>
      </c>
      <c r="AN243" s="593">
        <v>0</v>
      </c>
      <c r="AO243" s="593">
        <v>0</v>
      </c>
      <c r="AP243" s="593">
        <v>0</v>
      </c>
      <c r="AQ243" s="593">
        <v>0</v>
      </c>
      <c r="AR243" s="593">
        <v>0</v>
      </c>
      <c r="AS243" s="593">
        <v>0</v>
      </c>
      <c r="AT243" s="570">
        <f t="shared" si="193"/>
        <v>6.6000000000000003E-2</v>
      </c>
      <c r="AU243" s="571">
        <v>20</v>
      </c>
      <c r="AV243" s="625">
        <f t="shared" si="177"/>
        <v>0.4</v>
      </c>
      <c r="AW243" s="1003">
        <v>20</v>
      </c>
      <c r="AX243" s="604">
        <f t="shared" si="178"/>
        <v>20</v>
      </c>
      <c r="AY243" s="604">
        <f t="shared" si="179"/>
        <v>100</v>
      </c>
      <c r="AZ243" s="604">
        <f t="shared" si="194"/>
        <v>100</v>
      </c>
      <c r="BA243" s="592">
        <f t="shared" si="195"/>
        <v>6.6000000000000003E-2</v>
      </c>
      <c r="BB243" s="592">
        <f t="shared" si="196"/>
        <v>100</v>
      </c>
      <c r="BC243" s="591">
        <v>65000000</v>
      </c>
      <c r="BD243" s="591">
        <v>0</v>
      </c>
      <c r="BE243" s="591">
        <v>65000000</v>
      </c>
      <c r="BF243" s="591">
        <v>0</v>
      </c>
      <c r="BG243" s="591">
        <v>0</v>
      </c>
      <c r="BH243" s="591">
        <v>0</v>
      </c>
      <c r="BI243" s="591">
        <v>0</v>
      </c>
      <c r="BJ243" s="591">
        <v>0</v>
      </c>
      <c r="BK243" s="700">
        <v>0</v>
      </c>
      <c r="BL243" s="589">
        <v>0</v>
      </c>
      <c r="BM243" s="589">
        <v>0</v>
      </c>
      <c r="BN243" s="589">
        <v>0</v>
      </c>
      <c r="BO243" s="589">
        <v>0</v>
      </c>
      <c r="BP243" s="589">
        <v>0</v>
      </c>
      <c r="BQ243" s="589">
        <v>0</v>
      </c>
      <c r="BR243" s="589">
        <v>0</v>
      </c>
      <c r="BS243" s="589">
        <v>0</v>
      </c>
      <c r="BT243" s="589">
        <v>0</v>
      </c>
      <c r="BU243" s="589">
        <v>0</v>
      </c>
      <c r="BV243" s="588">
        <f t="shared" si="197"/>
        <v>6.6000000000000003E-2</v>
      </c>
      <c r="BW243" s="588">
        <v>20</v>
      </c>
      <c r="BX243" s="623">
        <f t="shared" si="180"/>
        <v>0.4</v>
      </c>
      <c r="BY243" s="607">
        <v>10</v>
      </c>
      <c r="BZ243" s="629">
        <v>15</v>
      </c>
      <c r="CA243" s="1017">
        <v>20</v>
      </c>
      <c r="CB243" s="557">
        <f t="shared" si="181"/>
        <v>20</v>
      </c>
      <c r="CC243" s="557">
        <f t="shared" si="182"/>
        <v>100</v>
      </c>
      <c r="CD243" s="622">
        <f t="shared" si="198"/>
        <v>100</v>
      </c>
      <c r="CE243" s="621">
        <f t="shared" si="199"/>
        <v>6.6000000000000003E-2</v>
      </c>
      <c r="CF243" s="605">
        <f t="shared" si="200"/>
        <v>100</v>
      </c>
      <c r="CG243" s="621">
        <f t="shared" si="201"/>
        <v>6.6000000000000003E-2</v>
      </c>
      <c r="CH243" s="553">
        <f t="shared" si="202"/>
        <v>1.6500000000000001E-2</v>
      </c>
      <c r="CI243" s="552">
        <v>5</v>
      </c>
      <c r="CJ243" s="551">
        <f t="shared" si="183"/>
        <v>0.1</v>
      </c>
      <c r="CK243" s="874">
        <v>5</v>
      </c>
      <c r="CL243" s="533">
        <f t="shared" si="184"/>
        <v>0</v>
      </c>
      <c r="CM243" s="619">
        <f t="shared" si="185"/>
        <v>5</v>
      </c>
      <c r="CN243" s="619">
        <f t="shared" si="186"/>
        <v>100</v>
      </c>
      <c r="CO243" s="549">
        <f t="shared" si="203"/>
        <v>100</v>
      </c>
      <c r="CP243" s="619">
        <f t="shared" si="204"/>
        <v>1.6500000000000001E-2</v>
      </c>
      <c r="CQ243" s="619">
        <f t="shared" si="205"/>
        <v>1.6500000000000001E-2</v>
      </c>
      <c r="CR243" s="546">
        <v>150000000</v>
      </c>
      <c r="CS243" s="546">
        <v>150000000</v>
      </c>
      <c r="CT243" s="546">
        <v>0</v>
      </c>
      <c r="CU243" s="546">
        <v>0</v>
      </c>
      <c r="CV243" s="546">
        <v>0</v>
      </c>
      <c r="CW243" s="546">
        <v>0</v>
      </c>
      <c r="CX243" s="546">
        <v>0</v>
      </c>
      <c r="CY243" s="546">
        <v>0</v>
      </c>
      <c r="CZ243" s="618">
        <v>0</v>
      </c>
      <c r="DA243" s="618">
        <v>0</v>
      </c>
      <c r="DB243" s="618">
        <v>0</v>
      </c>
      <c r="DC243" s="618">
        <v>0</v>
      </c>
      <c r="DD243" s="618">
        <v>0</v>
      </c>
      <c r="DE243" s="618">
        <v>0</v>
      </c>
      <c r="DF243" s="618">
        <v>0</v>
      </c>
      <c r="DG243" s="618">
        <v>0</v>
      </c>
      <c r="DH243" s="618">
        <v>0</v>
      </c>
      <c r="DI243" s="618">
        <v>0</v>
      </c>
      <c r="DJ243" s="618">
        <v>0</v>
      </c>
      <c r="DK243" s="1034">
        <f t="shared" si="187"/>
        <v>50</v>
      </c>
      <c r="DL243" s="543">
        <f t="shared" si="206"/>
        <v>0.16500000000000004</v>
      </c>
      <c r="DM243" s="542">
        <f t="shared" si="207"/>
        <v>100</v>
      </c>
      <c r="DN243" s="594">
        <f t="shared" si="208"/>
        <v>100</v>
      </c>
      <c r="DO243" s="540">
        <f t="shared" si="209"/>
        <v>0.16500000000000001</v>
      </c>
      <c r="DP243" s="597">
        <f>+IF(((DN243*Q243)/100)&lt;Q243, ((DN243*Q243)/100),Q243)</f>
        <v>0.16500000000000001</v>
      </c>
      <c r="DQ243" s="538">
        <f t="shared" si="210"/>
        <v>0.16500000000000001</v>
      </c>
      <c r="DR243" s="617">
        <f t="shared" si="211"/>
        <v>1</v>
      </c>
      <c r="DS243" s="616">
        <f t="shared" si="212"/>
        <v>0</v>
      </c>
      <c r="DT243" s="259">
        <v>203</v>
      </c>
      <c r="DU243" s="260" t="s">
        <v>278</v>
      </c>
      <c r="DV243" s="259"/>
      <c r="DW243" s="260" t="s">
        <v>242</v>
      </c>
      <c r="DX243" s="259"/>
      <c r="DY243" s="259"/>
      <c r="DZ243" s="259"/>
      <c r="EA243" s="987"/>
      <c r="EB243" s="1041" t="s">
        <v>2579</v>
      </c>
      <c r="EC243" s="802">
        <v>150000000</v>
      </c>
      <c r="EE243" s="1047"/>
    </row>
    <row r="244" spans="4:135" s="534" customFormat="1" ht="76.5" hidden="1" x14ac:dyDescent="0.3">
      <c r="D244" s="783">
        <v>241</v>
      </c>
      <c r="E244" s="799">
        <v>289</v>
      </c>
      <c r="F244" s="787" t="s">
        <v>200</v>
      </c>
      <c r="G244" s="739" t="s">
        <v>10</v>
      </c>
      <c r="H244" s="790" t="s">
        <v>2200</v>
      </c>
      <c r="I244" s="712" t="s">
        <v>782</v>
      </c>
      <c r="J244" s="573" t="s">
        <v>801</v>
      </c>
      <c r="K244" s="573" t="s">
        <v>802</v>
      </c>
      <c r="L244" s="701" t="s">
        <v>2201</v>
      </c>
      <c r="M244" s="571" t="s">
        <v>2032</v>
      </c>
      <c r="N244" s="571">
        <v>100</v>
      </c>
      <c r="O244" s="570">
        <f>+P244</f>
        <v>100</v>
      </c>
      <c r="P244" s="569">
        <v>100</v>
      </c>
      <c r="Q244" s="628">
        <v>0.16500000000000001</v>
      </c>
      <c r="R244" s="580">
        <f t="shared" si="190"/>
        <v>4.1250000000000002E-2</v>
      </c>
      <c r="S244" s="627">
        <v>100</v>
      </c>
      <c r="T244" s="625">
        <f t="shared" ref="T244:T307" si="220">IF($M244="M",0.25,(IF($P244&gt;0,S244/$P244," ")))</f>
        <v>0.25</v>
      </c>
      <c r="U244" s="992">
        <v>100</v>
      </c>
      <c r="V244" s="626">
        <f t="shared" ref="V244:V307" si="221">+IF(M244="I",(+U244),IF(M244="M",(+U244)/4,))</f>
        <v>25</v>
      </c>
      <c r="W244" s="594">
        <f t="shared" ref="W244:W307" si="222">IF(S244=0,0,+U244*100/S244)</f>
        <v>100</v>
      </c>
      <c r="X244" s="594">
        <f t="shared" si="191"/>
        <v>100</v>
      </c>
      <c r="Y244" s="594">
        <f t="shared" si="215"/>
        <v>4.1250000000000002E-2</v>
      </c>
      <c r="Z244" s="594">
        <f t="shared" si="192"/>
        <v>100</v>
      </c>
      <c r="AA244" s="593">
        <v>30000000</v>
      </c>
      <c r="AB244" s="593">
        <v>30000000</v>
      </c>
      <c r="AC244" s="593">
        <v>0</v>
      </c>
      <c r="AD244" s="593">
        <v>0</v>
      </c>
      <c r="AE244" s="593">
        <v>0</v>
      </c>
      <c r="AF244" s="593">
        <v>0</v>
      </c>
      <c r="AG244" s="593">
        <v>0</v>
      </c>
      <c r="AH244" s="593">
        <v>0</v>
      </c>
      <c r="AI244" s="593">
        <v>0</v>
      </c>
      <c r="AJ244" s="593">
        <v>0</v>
      </c>
      <c r="AK244" s="593">
        <v>0</v>
      </c>
      <c r="AL244" s="593">
        <v>0</v>
      </c>
      <c r="AM244" s="593">
        <v>0</v>
      </c>
      <c r="AN244" s="593">
        <v>0</v>
      </c>
      <c r="AO244" s="593">
        <v>0</v>
      </c>
      <c r="AP244" s="593">
        <v>0</v>
      </c>
      <c r="AQ244" s="593">
        <v>0</v>
      </c>
      <c r="AR244" s="593">
        <v>0</v>
      </c>
      <c r="AS244" s="593">
        <v>0</v>
      </c>
      <c r="AT244" s="570">
        <f t="shared" si="193"/>
        <v>4.1250000000000002E-2</v>
      </c>
      <c r="AU244" s="571">
        <v>100</v>
      </c>
      <c r="AV244" s="625">
        <f t="shared" ref="AV244:AV307" si="223">IF($M244="M",0.25,(IF($P244&gt;0,AU244/$P244," ")))</f>
        <v>0.25</v>
      </c>
      <c r="AW244" s="1003">
        <v>100</v>
      </c>
      <c r="AX244" s="604">
        <f t="shared" ref="AX244:AX307" si="224">+IF(M244="I",(+AW244),IF(M244="M",(+AW244)/4,))</f>
        <v>25</v>
      </c>
      <c r="AY244" s="604">
        <f t="shared" ref="AY244:AY307" si="225">IF(AU244=0,0,+AW244*100/AU244)</f>
        <v>100</v>
      </c>
      <c r="AZ244" s="604">
        <f t="shared" si="194"/>
        <v>100</v>
      </c>
      <c r="BA244" s="592">
        <f t="shared" si="195"/>
        <v>4.1250000000000002E-2</v>
      </c>
      <c r="BB244" s="592">
        <f t="shared" si="196"/>
        <v>100</v>
      </c>
      <c r="BC244" s="591">
        <v>48000000</v>
      </c>
      <c r="BD244" s="591">
        <v>0</v>
      </c>
      <c r="BE244" s="591">
        <v>48000000</v>
      </c>
      <c r="BF244" s="591">
        <v>0</v>
      </c>
      <c r="BG244" s="591">
        <v>0</v>
      </c>
      <c r="BH244" s="591">
        <v>0</v>
      </c>
      <c r="BI244" s="591">
        <v>0</v>
      </c>
      <c r="BJ244" s="591">
        <v>0</v>
      </c>
      <c r="BK244" s="700">
        <v>33551666</v>
      </c>
      <c r="BL244" s="589">
        <v>33225000</v>
      </c>
      <c r="BM244" s="589">
        <v>326666</v>
      </c>
      <c r="BN244" s="589">
        <v>0</v>
      </c>
      <c r="BO244" s="589">
        <v>0</v>
      </c>
      <c r="BP244" s="589">
        <v>0</v>
      </c>
      <c r="BQ244" s="589">
        <v>0</v>
      </c>
      <c r="BR244" s="589">
        <v>0</v>
      </c>
      <c r="BS244" s="589">
        <v>0</v>
      </c>
      <c r="BT244" s="589">
        <v>0</v>
      </c>
      <c r="BU244" s="589">
        <v>0</v>
      </c>
      <c r="BV244" s="588">
        <f t="shared" si="197"/>
        <v>4.1250000000000002E-2</v>
      </c>
      <c r="BW244" s="588">
        <v>100</v>
      </c>
      <c r="BX244" s="623">
        <f t="shared" ref="BX244:BX307" si="226">IF($M244="M",0.25,(IF($P244&gt;0,BW244/$P244," ")))</f>
        <v>0.25</v>
      </c>
      <c r="BY244" s="607">
        <v>100</v>
      </c>
      <c r="BZ244" s="629">
        <v>100</v>
      </c>
      <c r="CA244" s="1017">
        <v>100</v>
      </c>
      <c r="CB244" s="557">
        <f t="shared" ref="CB244:CB307" si="227">+IF(M244="I",(+CA244),IF(M244="M",(+CA244)/4,))</f>
        <v>25</v>
      </c>
      <c r="CC244" s="557">
        <f t="shared" ref="CC244:CC307" si="228">IF(BW244=0,0,+CA244*100/BW244)</f>
        <v>100</v>
      </c>
      <c r="CD244" s="622">
        <f t="shared" si="198"/>
        <v>100</v>
      </c>
      <c r="CE244" s="621">
        <f t="shared" si="199"/>
        <v>4.1250000000000002E-2</v>
      </c>
      <c r="CF244" s="605">
        <f t="shared" si="200"/>
        <v>100</v>
      </c>
      <c r="CG244" s="621">
        <f t="shared" si="201"/>
        <v>4.1250000000000002E-2</v>
      </c>
      <c r="CH244" s="553">
        <f t="shared" si="202"/>
        <v>4.1250000000000002E-2</v>
      </c>
      <c r="CI244" s="552">
        <v>100</v>
      </c>
      <c r="CJ244" s="551">
        <f t="shared" ref="CJ244:CJ307" si="229">IF($M244="M",0.25,(IF($P244&gt;0,CI244/$P244," ")))</f>
        <v>0.25</v>
      </c>
      <c r="CK244" s="871">
        <v>100</v>
      </c>
      <c r="CL244" s="533">
        <f t="shared" ref="CL244:CL307" si="230">+CI244-CK244</f>
        <v>0</v>
      </c>
      <c r="CM244" s="619">
        <f t="shared" ref="CM244:CM307" si="231">+IF(M244="I",(+CK244),IF(M244="M",(+CK244)/4,))</f>
        <v>25</v>
      </c>
      <c r="CN244" s="619">
        <f t="shared" ref="CN244:CN307" si="232">IF(CI244=0,0,+CK244*100/CI244)</f>
        <v>100</v>
      </c>
      <c r="CO244" s="619">
        <f t="shared" si="203"/>
        <v>100</v>
      </c>
      <c r="CP244" s="619">
        <f t="shared" si="204"/>
        <v>4.1250000000000002E-2</v>
      </c>
      <c r="CQ244" s="619">
        <f t="shared" si="205"/>
        <v>4.1250000000000002E-2</v>
      </c>
      <c r="CR244" s="546">
        <v>110000000</v>
      </c>
      <c r="CS244" s="546">
        <v>110000000</v>
      </c>
      <c r="CT244" s="546">
        <v>0</v>
      </c>
      <c r="CU244" s="546">
        <v>0</v>
      </c>
      <c r="CV244" s="546">
        <v>0</v>
      </c>
      <c r="CW244" s="546">
        <v>0</v>
      </c>
      <c r="CX244" s="546">
        <v>0</v>
      </c>
      <c r="CY244" s="546">
        <v>0</v>
      </c>
      <c r="CZ244" s="618">
        <v>0</v>
      </c>
      <c r="DA244" s="618">
        <v>0</v>
      </c>
      <c r="DB244" s="618">
        <v>0</v>
      </c>
      <c r="DC244" s="618">
        <v>0</v>
      </c>
      <c r="DD244" s="618">
        <v>0</v>
      </c>
      <c r="DE244" s="618">
        <v>0</v>
      </c>
      <c r="DF244" s="618">
        <v>0</v>
      </c>
      <c r="DG244" s="618">
        <v>0</v>
      </c>
      <c r="DH244" s="618">
        <v>0</v>
      </c>
      <c r="DI244" s="618">
        <v>0</v>
      </c>
      <c r="DJ244" s="618">
        <v>0</v>
      </c>
      <c r="DK244" s="1034">
        <f t="shared" ref="DK244:DK307" si="233">+IF(M244="I",(+U244+AW244+CA244+CK244),IF(M244="M",(+U244+AW244+CA244+CK244)/4,))</f>
        <v>100</v>
      </c>
      <c r="DL244" s="543">
        <f t="shared" si="206"/>
        <v>0.16500000000000001</v>
      </c>
      <c r="DM244" s="542">
        <f t="shared" si="207"/>
        <v>100</v>
      </c>
      <c r="DN244" s="594">
        <f t="shared" si="208"/>
        <v>100</v>
      </c>
      <c r="DO244" s="540">
        <f t="shared" si="209"/>
        <v>0.16500000000000001</v>
      </c>
      <c r="DP244" s="597">
        <f>+IF(M244="M",DO244,0)</f>
        <v>0.16500000000000001</v>
      </c>
      <c r="DQ244" s="538">
        <f t="shared" si="210"/>
        <v>0.16500000000000001</v>
      </c>
      <c r="DR244" s="617">
        <f t="shared" si="211"/>
        <v>1</v>
      </c>
      <c r="DS244" s="616">
        <f t="shared" si="212"/>
        <v>0</v>
      </c>
      <c r="DT244" s="259">
        <v>269</v>
      </c>
      <c r="DU244" s="260" t="s">
        <v>275</v>
      </c>
      <c r="DV244" s="259"/>
      <c r="DW244" s="260" t="s">
        <v>242</v>
      </c>
      <c r="DX244" s="259"/>
      <c r="DY244" s="259"/>
      <c r="DZ244" s="259"/>
      <c r="EA244" s="987"/>
      <c r="EB244" s="1041" t="s">
        <v>2580</v>
      </c>
      <c r="EC244" s="802">
        <v>110000000</v>
      </c>
      <c r="EE244" s="1047"/>
    </row>
    <row r="245" spans="4:135" s="534" customFormat="1" ht="76.5" hidden="1" x14ac:dyDescent="0.3">
      <c r="D245" s="783">
        <v>242</v>
      </c>
      <c r="E245" s="799">
        <v>290</v>
      </c>
      <c r="F245" s="787" t="s">
        <v>200</v>
      </c>
      <c r="G245" s="739" t="s">
        <v>10</v>
      </c>
      <c r="H245" s="790" t="s">
        <v>2200</v>
      </c>
      <c r="I245" s="712" t="s">
        <v>782</v>
      </c>
      <c r="J245" s="573" t="s">
        <v>803</v>
      </c>
      <c r="K245" s="573" t="s">
        <v>804</v>
      </c>
      <c r="L245" s="701" t="s">
        <v>2201</v>
      </c>
      <c r="M245" s="571" t="s">
        <v>2032</v>
      </c>
      <c r="N245" s="571">
        <v>100</v>
      </c>
      <c r="O245" s="570">
        <f>+P245</f>
        <v>100</v>
      </c>
      <c r="P245" s="569">
        <v>100</v>
      </c>
      <c r="Q245" s="628">
        <v>0.16500000000000001</v>
      </c>
      <c r="R245" s="580">
        <f t="shared" si="190"/>
        <v>4.1250000000000002E-2</v>
      </c>
      <c r="S245" s="627">
        <v>100</v>
      </c>
      <c r="T245" s="625">
        <f t="shared" si="220"/>
        <v>0.25</v>
      </c>
      <c r="U245" s="992">
        <v>100</v>
      </c>
      <c r="V245" s="626">
        <f t="shared" si="221"/>
        <v>25</v>
      </c>
      <c r="W245" s="594">
        <f t="shared" si="222"/>
        <v>100</v>
      </c>
      <c r="X245" s="594">
        <f t="shared" si="191"/>
        <v>100</v>
      </c>
      <c r="Y245" s="594">
        <f t="shared" si="215"/>
        <v>4.1250000000000002E-2</v>
      </c>
      <c r="Z245" s="594">
        <f t="shared" si="192"/>
        <v>100</v>
      </c>
      <c r="AA245" s="593">
        <v>107436000</v>
      </c>
      <c r="AB245" s="593">
        <v>62199000</v>
      </c>
      <c r="AC245" s="593">
        <v>0</v>
      </c>
      <c r="AD245" s="593">
        <v>45237000</v>
      </c>
      <c r="AE245" s="593">
        <v>0</v>
      </c>
      <c r="AF245" s="593">
        <v>0</v>
      </c>
      <c r="AG245" s="593">
        <v>0</v>
      </c>
      <c r="AH245" s="593">
        <v>0</v>
      </c>
      <c r="AI245" s="593">
        <v>133020000</v>
      </c>
      <c r="AJ245" s="593">
        <v>133020000</v>
      </c>
      <c r="AK245" s="593">
        <v>0</v>
      </c>
      <c r="AL245" s="593">
        <v>0</v>
      </c>
      <c r="AM245" s="593">
        <v>0</v>
      </c>
      <c r="AN245" s="593">
        <v>0</v>
      </c>
      <c r="AO245" s="593">
        <v>0</v>
      </c>
      <c r="AP245" s="593">
        <v>0</v>
      </c>
      <c r="AQ245" s="593">
        <v>0</v>
      </c>
      <c r="AR245" s="593">
        <v>0</v>
      </c>
      <c r="AS245" s="593">
        <v>0</v>
      </c>
      <c r="AT245" s="570">
        <f t="shared" si="193"/>
        <v>4.1250000000000002E-2</v>
      </c>
      <c r="AU245" s="571">
        <v>100</v>
      </c>
      <c r="AV245" s="625">
        <f t="shared" si="223"/>
        <v>0.25</v>
      </c>
      <c r="AW245" s="1003">
        <v>100</v>
      </c>
      <c r="AX245" s="604">
        <f t="shared" si="224"/>
        <v>25</v>
      </c>
      <c r="AY245" s="604">
        <f t="shared" si="225"/>
        <v>100</v>
      </c>
      <c r="AZ245" s="604">
        <f t="shared" si="194"/>
        <v>100</v>
      </c>
      <c r="BA245" s="592">
        <f t="shared" si="195"/>
        <v>4.1250000000000002E-2</v>
      </c>
      <c r="BB245" s="592">
        <f t="shared" si="196"/>
        <v>100</v>
      </c>
      <c r="BC245" s="591">
        <v>35000000</v>
      </c>
      <c r="BD245" s="591">
        <v>0</v>
      </c>
      <c r="BE245" s="591">
        <v>35000000</v>
      </c>
      <c r="BF245" s="591">
        <v>0</v>
      </c>
      <c r="BG245" s="591">
        <v>0</v>
      </c>
      <c r="BH245" s="591">
        <v>0</v>
      </c>
      <c r="BI245" s="591">
        <v>0</v>
      </c>
      <c r="BJ245" s="591">
        <v>0</v>
      </c>
      <c r="BK245" s="700">
        <v>0</v>
      </c>
      <c r="BL245" s="589">
        <v>0</v>
      </c>
      <c r="BM245" s="589">
        <v>0</v>
      </c>
      <c r="BN245" s="589">
        <v>0</v>
      </c>
      <c r="BO245" s="589">
        <v>0</v>
      </c>
      <c r="BP245" s="589">
        <v>0</v>
      </c>
      <c r="BQ245" s="589">
        <v>0</v>
      </c>
      <c r="BR245" s="589">
        <v>0</v>
      </c>
      <c r="BS245" s="589">
        <v>0</v>
      </c>
      <c r="BT245" s="589">
        <v>0</v>
      </c>
      <c r="BU245" s="589">
        <v>0</v>
      </c>
      <c r="BV245" s="588">
        <f t="shared" si="197"/>
        <v>4.1250000000000002E-2</v>
      </c>
      <c r="BW245" s="588">
        <v>100</v>
      </c>
      <c r="BX245" s="623">
        <f t="shared" si="226"/>
        <v>0.25</v>
      </c>
      <c r="BY245" s="607">
        <v>100</v>
      </c>
      <c r="BZ245" s="629">
        <v>100</v>
      </c>
      <c r="CA245" s="1017">
        <v>100</v>
      </c>
      <c r="CB245" s="557">
        <f t="shared" si="227"/>
        <v>25</v>
      </c>
      <c r="CC245" s="557">
        <f t="shared" si="228"/>
        <v>100</v>
      </c>
      <c r="CD245" s="622">
        <f t="shared" si="198"/>
        <v>100</v>
      </c>
      <c r="CE245" s="621">
        <f t="shared" si="199"/>
        <v>4.1250000000000002E-2</v>
      </c>
      <c r="CF245" s="605">
        <f t="shared" si="200"/>
        <v>100</v>
      </c>
      <c r="CG245" s="621">
        <f t="shared" si="201"/>
        <v>4.1250000000000002E-2</v>
      </c>
      <c r="CH245" s="553">
        <f t="shared" si="202"/>
        <v>4.1250000000000002E-2</v>
      </c>
      <c r="CI245" s="552">
        <v>100</v>
      </c>
      <c r="CJ245" s="551">
        <f t="shared" si="229"/>
        <v>0.25</v>
      </c>
      <c r="CK245" s="874">
        <v>100</v>
      </c>
      <c r="CL245" s="533">
        <f t="shared" si="230"/>
        <v>0</v>
      </c>
      <c r="CM245" s="619">
        <f t="shared" si="231"/>
        <v>25</v>
      </c>
      <c r="CN245" s="619">
        <f t="shared" si="232"/>
        <v>100</v>
      </c>
      <c r="CO245" s="619">
        <f t="shared" si="203"/>
        <v>100</v>
      </c>
      <c r="CP245" s="619">
        <f t="shared" si="204"/>
        <v>4.1250000000000002E-2</v>
      </c>
      <c r="CQ245" s="619">
        <f t="shared" si="205"/>
        <v>4.1250000000000002E-2</v>
      </c>
      <c r="CR245" s="546">
        <v>80000000</v>
      </c>
      <c r="CS245" s="546">
        <v>80000000</v>
      </c>
      <c r="CT245" s="546">
        <v>0</v>
      </c>
      <c r="CU245" s="546">
        <v>0</v>
      </c>
      <c r="CV245" s="546">
        <v>0</v>
      </c>
      <c r="CW245" s="546">
        <v>0</v>
      </c>
      <c r="CX245" s="546">
        <v>0</v>
      </c>
      <c r="CY245" s="546">
        <v>0</v>
      </c>
      <c r="CZ245" s="618">
        <v>0</v>
      </c>
      <c r="DA245" s="618">
        <v>0</v>
      </c>
      <c r="DB245" s="618">
        <v>0</v>
      </c>
      <c r="DC245" s="618">
        <v>0</v>
      </c>
      <c r="DD245" s="618">
        <v>0</v>
      </c>
      <c r="DE245" s="618">
        <v>0</v>
      </c>
      <c r="DF245" s="618">
        <v>0</v>
      </c>
      <c r="DG245" s="618">
        <v>0</v>
      </c>
      <c r="DH245" s="618">
        <v>0</v>
      </c>
      <c r="DI245" s="618">
        <v>0</v>
      </c>
      <c r="DJ245" s="618">
        <v>0</v>
      </c>
      <c r="DK245" s="1034">
        <f t="shared" si="233"/>
        <v>100</v>
      </c>
      <c r="DL245" s="543">
        <f t="shared" si="206"/>
        <v>0.16500000000000001</v>
      </c>
      <c r="DM245" s="542">
        <f t="shared" si="207"/>
        <v>100</v>
      </c>
      <c r="DN245" s="594">
        <f t="shared" si="208"/>
        <v>100</v>
      </c>
      <c r="DO245" s="540">
        <f t="shared" si="209"/>
        <v>0.16500000000000001</v>
      </c>
      <c r="DP245" s="597">
        <f>+IF(M245="M",DO245,0)</f>
        <v>0.16500000000000001</v>
      </c>
      <c r="DQ245" s="538">
        <f t="shared" si="210"/>
        <v>0.16500000000000001</v>
      </c>
      <c r="DR245" s="617">
        <f t="shared" si="211"/>
        <v>1</v>
      </c>
      <c r="DS245" s="616">
        <f t="shared" si="212"/>
        <v>0</v>
      </c>
      <c r="DT245" s="259">
        <v>269</v>
      </c>
      <c r="DU245" s="260" t="s">
        <v>275</v>
      </c>
      <c r="DV245" s="259"/>
      <c r="DW245" s="260" t="s">
        <v>242</v>
      </c>
      <c r="DX245" s="259"/>
      <c r="DY245" s="259"/>
      <c r="DZ245" s="259"/>
      <c r="EA245" s="987"/>
      <c r="EB245" s="1041" t="s">
        <v>2580</v>
      </c>
      <c r="EC245" s="802">
        <v>80000000</v>
      </c>
      <c r="EE245" s="1047"/>
    </row>
    <row r="246" spans="4:135" s="534" customFormat="1" ht="102" hidden="1" x14ac:dyDescent="0.3">
      <c r="D246" s="783">
        <v>243</v>
      </c>
      <c r="E246" s="799">
        <v>291</v>
      </c>
      <c r="F246" s="787" t="s">
        <v>200</v>
      </c>
      <c r="G246" s="739" t="s">
        <v>10</v>
      </c>
      <c r="H246" s="790" t="s">
        <v>2200</v>
      </c>
      <c r="I246" s="712" t="s">
        <v>782</v>
      </c>
      <c r="J246" s="573" t="s">
        <v>805</v>
      </c>
      <c r="K246" s="573" t="s">
        <v>806</v>
      </c>
      <c r="L246" s="702" t="s">
        <v>1682</v>
      </c>
      <c r="M246" s="571" t="s">
        <v>2017</v>
      </c>
      <c r="N246" s="571">
        <v>100</v>
      </c>
      <c r="O246" s="570">
        <f>+N246+P246</f>
        <v>700</v>
      </c>
      <c r="P246" s="569">
        <v>600</v>
      </c>
      <c r="Q246" s="628">
        <v>0.16500000000000001</v>
      </c>
      <c r="R246" s="580">
        <f t="shared" si="190"/>
        <v>0</v>
      </c>
      <c r="S246" s="627">
        <v>0</v>
      </c>
      <c r="T246" s="625">
        <f t="shared" si="220"/>
        <v>0</v>
      </c>
      <c r="U246" s="992">
        <v>0</v>
      </c>
      <c r="V246" s="626">
        <f t="shared" si="221"/>
        <v>0</v>
      </c>
      <c r="W246" s="594">
        <f t="shared" si="222"/>
        <v>0</v>
      </c>
      <c r="X246" s="594">
        <f t="shared" si="191"/>
        <v>0</v>
      </c>
      <c r="Y246" s="594">
        <f t="shared" si="215"/>
        <v>0</v>
      </c>
      <c r="Z246" s="594">
        <f t="shared" si="192"/>
        <v>0</v>
      </c>
      <c r="AA246" s="593">
        <v>0</v>
      </c>
      <c r="AB246" s="593">
        <v>0</v>
      </c>
      <c r="AC246" s="593">
        <v>0</v>
      </c>
      <c r="AD246" s="593">
        <v>0</v>
      </c>
      <c r="AE246" s="593">
        <v>0</v>
      </c>
      <c r="AF246" s="593">
        <v>0</v>
      </c>
      <c r="AG246" s="593">
        <v>0</v>
      </c>
      <c r="AH246" s="593">
        <v>0</v>
      </c>
      <c r="AI246" s="593">
        <v>0</v>
      </c>
      <c r="AJ246" s="593">
        <v>0</v>
      </c>
      <c r="AK246" s="593">
        <v>0</v>
      </c>
      <c r="AL246" s="593">
        <v>0</v>
      </c>
      <c r="AM246" s="593">
        <v>0</v>
      </c>
      <c r="AN246" s="593">
        <v>0</v>
      </c>
      <c r="AO246" s="593">
        <v>0</v>
      </c>
      <c r="AP246" s="593">
        <v>0</v>
      </c>
      <c r="AQ246" s="593">
        <v>0</v>
      </c>
      <c r="AR246" s="593">
        <v>0</v>
      </c>
      <c r="AS246" s="593">
        <v>0</v>
      </c>
      <c r="AT246" s="570">
        <f t="shared" si="193"/>
        <v>5.5E-2</v>
      </c>
      <c r="AU246" s="571">
        <v>200</v>
      </c>
      <c r="AV246" s="625">
        <f t="shared" si="223"/>
        <v>0.33333333333333331</v>
      </c>
      <c r="AW246" s="1003">
        <v>256</v>
      </c>
      <c r="AX246" s="604">
        <f t="shared" si="224"/>
        <v>256</v>
      </c>
      <c r="AY246" s="604">
        <f t="shared" si="225"/>
        <v>128</v>
      </c>
      <c r="AZ246" s="604">
        <f t="shared" si="194"/>
        <v>100</v>
      </c>
      <c r="BA246" s="592">
        <f t="shared" si="195"/>
        <v>5.5E-2</v>
      </c>
      <c r="BB246" s="592">
        <f t="shared" si="196"/>
        <v>100</v>
      </c>
      <c r="BC246" s="591">
        <v>26000000</v>
      </c>
      <c r="BD246" s="591">
        <v>0</v>
      </c>
      <c r="BE246" s="591">
        <v>26000000</v>
      </c>
      <c r="BF246" s="591">
        <v>0</v>
      </c>
      <c r="BG246" s="591">
        <v>0</v>
      </c>
      <c r="BH246" s="591">
        <v>0</v>
      </c>
      <c r="BI246" s="591">
        <v>0</v>
      </c>
      <c r="BJ246" s="591">
        <v>0</v>
      </c>
      <c r="BK246" s="700">
        <v>24155000</v>
      </c>
      <c r="BL246" s="589">
        <v>24155000</v>
      </c>
      <c r="BM246" s="589">
        <v>0</v>
      </c>
      <c r="BN246" s="589">
        <v>0</v>
      </c>
      <c r="BO246" s="589">
        <v>0</v>
      </c>
      <c r="BP246" s="589">
        <v>0</v>
      </c>
      <c r="BQ246" s="589">
        <v>0</v>
      </c>
      <c r="BR246" s="589">
        <v>0</v>
      </c>
      <c r="BS246" s="589">
        <v>0</v>
      </c>
      <c r="BT246" s="589">
        <v>0</v>
      </c>
      <c r="BU246" s="589">
        <v>0</v>
      </c>
      <c r="BV246" s="588">
        <f t="shared" si="197"/>
        <v>5.5E-2</v>
      </c>
      <c r="BW246" s="588">
        <v>200</v>
      </c>
      <c r="BX246" s="623">
        <f t="shared" si="226"/>
        <v>0.33333333333333331</v>
      </c>
      <c r="BY246" s="607">
        <v>0</v>
      </c>
      <c r="BZ246" s="629">
        <v>17</v>
      </c>
      <c r="CA246" s="1017">
        <v>18</v>
      </c>
      <c r="CB246" s="557">
        <f t="shared" si="227"/>
        <v>18</v>
      </c>
      <c r="CC246" s="557">
        <f t="shared" si="228"/>
        <v>9</v>
      </c>
      <c r="CD246" s="622">
        <f t="shared" si="198"/>
        <v>9</v>
      </c>
      <c r="CE246" s="621">
        <f t="shared" si="199"/>
        <v>4.9499999999999995E-3</v>
      </c>
      <c r="CF246" s="605">
        <f t="shared" si="200"/>
        <v>9</v>
      </c>
      <c r="CG246" s="621">
        <f t="shared" si="201"/>
        <v>4.9499999999999995E-3</v>
      </c>
      <c r="CH246" s="553">
        <f t="shared" si="202"/>
        <v>5.5E-2</v>
      </c>
      <c r="CI246" s="552">
        <v>200</v>
      </c>
      <c r="CJ246" s="551">
        <f t="shared" si="229"/>
        <v>0.33333333333333331</v>
      </c>
      <c r="CK246" s="874">
        <v>0</v>
      </c>
      <c r="CL246" s="533">
        <f t="shared" si="230"/>
        <v>200</v>
      </c>
      <c r="CM246" s="619">
        <f t="shared" si="231"/>
        <v>0</v>
      </c>
      <c r="CN246" s="619">
        <f t="shared" si="232"/>
        <v>0</v>
      </c>
      <c r="CO246" s="549">
        <f t="shared" si="203"/>
        <v>0</v>
      </c>
      <c r="CP246" s="619">
        <f t="shared" si="204"/>
        <v>0</v>
      </c>
      <c r="CQ246" s="619">
        <f t="shared" si="205"/>
        <v>0</v>
      </c>
      <c r="CR246" s="546">
        <v>60000000</v>
      </c>
      <c r="CS246" s="546">
        <v>60000000</v>
      </c>
      <c r="CT246" s="546">
        <v>0</v>
      </c>
      <c r="CU246" s="546">
        <v>0</v>
      </c>
      <c r="CV246" s="546">
        <v>0</v>
      </c>
      <c r="CW246" s="546">
        <v>0</v>
      </c>
      <c r="CX246" s="546">
        <v>0</v>
      </c>
      <c r="CY246" s="546">
        <v>0</v>
      </c>
      <c r="CZ246" s="618">
        <v>0</v>
      </c>
      <c r="DA246" s="618">
        <v>0</v>
      </c>
      <c r="DB246" s="618">
        <v>0</v>
      </c>
      <c r="DC246" s="618">
        <v>0</v>
      </c>
      <c r="DD246" s="618">
        <v>0</v>
      </c>
      <c r="DE246" s="618">
        <v>0</v>
      </c>
      <c r="DF246" s="618">
        <v>0</v>
      </c>
      <c r="DG246" s="618">
        <v>0</v>
      </c>
      <c r="DH246" s="618">
        <v>0</v>
      </c>
      <c r="DI246" s="618">
        <v>0</v>
      </c>
      <c r="DJ246" s="618">
        <v>0</v>
      </c>
      <c r="DK246" s="1034">
        <f t="shared" si="233"/>
        <v>274</v>
      </c>
      <c r="DL246" s="543">
        <f t="shared" si="206"/>
        <v>0.16500000000000001</v>
      </c>
      <c r="DM246" s="542">
        <f t="shared" si="207"/>
        <v>45.666666666666664</v>
      </c>
      <c r="DN246" s="594">
        <f t="shared" si="208"/>
        <v>45.666666666666664</v>
      </c>
      <c r="DO246" s="540">
        <f t="shared" si="209"/>
        <v>7.535E-2</v>
      </c>
      <c r="DP246" s="597">
        <f>+IF(((DN246*Q246)/100)&lt;Q246, ((DN246*Q246)/100),Q246)</f>
        <v>7.535E-2</v>
      </c>
      <c r="DQ246" s="538">
        <f t="shared" si="210"/>
        <v>7.535E-2</v>
      </c>
      <c r="DR246" s="617">
        <f t="shared" si="211"/>
        <v>1</v>
      </c>
      <c r="DS246" s="616">
        <f t="shared" si="212"/>
        <v>0</v>
      </c>
      <c r="DT246" s="259">
        <v>269</v>
      </c>
      <c r="DU246" s="260" t="s">
        <v>275</v>
      </c>
      <c r="DV246" s="259"/>
      <c r="DW246" s="260" t="s">
        <v>242</v>
      </c>
      <c r="DX246" s="259"/>
      <c r="DY246" s="259"/>
      <c r="DZ246" s="259"/>
      <c r="EA246" s="987"/>
      <c r="EB246" s="1041" t="s">
        <v>2581</v>
      </c>
      <c r="EC246" s="802">
        <v>60000000</v>
      </c>
      <c r="EE246" s="1047"/>
    </row>
    <row r="247" spans="4:135" s="534" customFormat="1" ht="63.75" hidden="1" x14ac:dyDescent="0.3">
      <c r="D247" s="783">
        <v>244</v>
      </c>
      <c r="E247" s="799">
        <v>292</v>
      </c>
      <c r="F247" s="787" t="s">
        <v>200</v>
      </c>
      <c r="G247" s="739" t="s">
        <v>7</v>
      </c>
      <c r="H247" s="790" t="s">
        <v>2200</v>
      </c>
      <c r="I247" s="712" t="s">
        <v>782</v>
      </c>
      <c r="J247" s="573" t="s">
        <v>807</v>
      </c>
      <c r="K247" s="573" t="s">
        <v>808</v>
      </c>
      <c r="L247" s="701" t="s">
        <v>2201</v>
      </c>
      <c r="M247" s="571" t="s">
        <v>2032</v>
      </c>
      <c r="N247" s="571">
        <v>0</v>
      </c>
      <c r="O247" s="570">
        <f>+P247</f>
        <v>100</v>
      </c>
      <c r="P247" s="569">
        <v>100</v>
      </c>
      <c r="Q247" s="628">
        <v>0.25</v>
      </c>
      <c r="R247" s="580">
        <f t="shared" si="190"/>
        <v>6.25E-2</v>
      </c>
      <c r="S247" s="627">
        <v>100</v>
      </c>
      <c r="T247" s="625">
        <f t="shared" si="220"/>
        <v>0.25</v>
      </c>
      <c r="U247" s="992">
        <v>0</v>
      </c>
      <c r="V247" s="626">
        <f t="shared" si="221"/>
        <v>0</v>
      </c>
      <c r="W247" s="594">
        <f t="shared" si="222"/>
        <v>0</v>
      </c>
      <c r="X247" s="594">
        <f t="shared" si="191"/>
        <v>0</v>
      </c>
      <c r="Y247" s="594">
        <f t="shared" si="215"/>
        <v>0</v>
      </c>
      <c r="Z247" s="594">
        <f t="shared" si="192"/>
        <v>0</v>
      </c>
      <c r="AA247" s="593">
        <v>0</v>
      </c>
      <c r="AB247" s="593">
        <v>0</v>
      </c>
      <c r="AC247" s="593">
        <v>0</v>
      </c>
      <c r="AD247" s="593">
        <v>0</v>
      </c>
      <c r="AE247" s="593">
        <v>0</v>
      </c>
      <c r="AF247" s="593">
        <v>0</v>
      </c>
      <c r="AG247" s="593">
        <v>0</v>
      </c>
      <c r="AH247" s="593">
        <v>0</v>
      </c>
      <c r="AI247" s="593">
        <v>0</v>
      </c>
      <c r="AJ247" s="593">
        <v>0</v>
      </c>
      <c r="AK247" s="593">
        <v>0</v>
      </c>
      <c r="AL247" s="593">
        <v>0</v>
      </c>
      <c r="AM247" s="593">
        <v>0</v>
      </c>
      <c r="AN247" s="593">
        <v>0</v>
      </c>
      <c r="AO247" s="593">
        <v>0</v>
      </c>
      <c r="AP247" s="593">
        <v>0</v>
      </c>
      <c r="AQ247" s="593">
        <v>0</v>
      </c>
      <c r="AR247" s="593">
        <v>0</v>
      </c>
      <c r="AS247" s="593">
        <v>0</v>
      </c>
      <c r="AT247" s="570">
        <f t="shared" si="193"/>
        <v>6.25E-2</v>
      </c>
      <c r="AU247" s="571">
        <v>100</v>
      </c>
      <c r="AV247" s="625">
        <f t="shared" si="223"/>
        <v>0.25</v>
      </c>
      <c r="AW247" s="1003">
        <v>0</v>
      </c>
      <c r="AX247" s="604">
        <f t="shared" si="224"/>
        <v>0</v>
      </c>
      <c r="AY247" s="604">
        <f t="shared" si="225"/>
        <v>0</v>
      </c>
      <c r="AZ247" s="604">
        <f t="shared" si="194"/>
        <v>0</v>
      </c>
      <c r="BA247" s="592">
        <f t="shared" si="195"/>
        <v>0</v>
      </c>
      <c r="BB247" s="592">
        <f t="shared" si="196"/>
        <v>0</v>
      </c>
      <c r="BC247" s="591">
        <v>16000000</v>
      </c>
      <c r="BD247" s="591">
        <v>0</v>
      </c>
      <c r="BE247" s="591">
        <v>7000000</v>
      </c>
      <c r="BF247" s="591">
        <v>0</v>
      </c>
      <c r="BG247" s="591">
        <v>0</v>
      </c>
      <c r="BH247" s="591">
        <v>0</v>
      </c>
      <c r="BI247" s="591">
        <v>0</v>
      </c>
      <c r="BJ247" s="591">
        <v>9000000</v>
      </c>
      <c r="BK247" s="700">
        <v>7000000</v>
      </c>
      <c r="BL247" s="589">
        <v>7000000</v>
      </c>
      <c r="BM247" s="589">
        <v>0</v>
      </c>
      <c r="BN247" s="589">
        <v>0</v>
      </c>
      <c r="BO247" s="589">
        <v>0</v>
      </c>
      <c r="BP247" s="589">
        <v>0</v>
      </c>
      <c r="BQ247" s="589">
        <v>0</v>
      </c>
      <c r="BR247" s="589">
        <v>0</v>
      </c>
      <c r="BS247" s="589">
        <v>0</v>
      </c>
      <c r="BT247" s="589">
        <v>0</v>
      </c>
      <c r="BU247" s="589">
        <v>0</v>
      </c>
      <c r="BV247" s="588">
        <f t="shared" si="197"/>
        <v>6.25E-2</v>
      </c>
      <c r="BW247" s="588">
        <v>100</v>
      </c>
      <c r="BX247" s="623">
        <f t="shared" si="226"/>
        <v>0.25</v>
      </c>
      <c r="BY247" s="639">
        <v>66.8</v>
      </c>
      <c r="BZ247" s="638">
        <v>76.8</v>
      </c>
      <c r="CA247" s="1018">
        <v>100</v>
      </c>
      <c r="CB247" s="557">
        <f t="shared" si="227"/>
        <v>25</v>
      </c>
      <c r="CC247" s="557">
        <f t="shared" si="228"/>
        <v>100</v>
      </c>
      <c r="CD247" s="622">
        <f t="shared" si="198"/>
        <v>100</v>
      </c>
      <c r="CE247" s="621">
        <f t="shared" si="199"/>
        <v>6.25E-2</v>
      </c>
      <c r="CF247" s="605">
        <f t="shared" si="200"/>
        <v>100</v>
      </c>
      <c r="CG247" s="621">
        <f t="shared" si="201"/>
        <v>6.25E-2</v>
      </c>
      <c r="CH247" s="553">
        <f t="shared" si="202"/>
        <v>6.25E-2</v>
      </c>
      <c r="CI247" s="552">
        <v>100</v>
      </c>
      <c r="CJ247" s="551">
        <f t="shared" si="229"/>
        <v>0.25</v>
      </c>
      <c r="CK247" s="875">
        <v>0</v>
      </c>
      <c r="CL247" s="533">
        <f t="shared" si="230"/>
        <v>100</v>
      </c>
      <c r="CM247" s="619">
        <f t="shared" si="231"/>
        <v>0</v>
      </c>
      <c r="CN247" s="619">
        <f t="shared" si="232"/>
        <v>0</v>
      </c>
      <c r="CO247" s="619">
        <f t="shared" si="203"/>
        <v>0</v>
      </c>
      <c r="CP247" s="619">
        <f t="shared" si="204"/>
        <v>0</v>
      </c>
      <c r="CQ247" s="619">
        <f t="shared" si="205"/>
        <v>0</v>
      </c>
      <c r="CR247" s="546">
        <v>24000000</v>
      </c>
      <c r="CS247" s="546">
        <v>15000000</v>
      </c>
      <c r="CT247" s="546">
        <v>0</v>
      </c>
      <c r="CU247" s="546">
        <v>0</v>
      </c>
      <c r="CV247" s="546">
        <v>0</v>
      </c>
      <c r="CW247" s="546">
        <v>0</v>
      </c>
      <c r="CX247" s="546">
        <v>0</v>
      </c>
      <c r="CY247" s="546">
        <v>9000000</v>
      </c>
      <c r="CZ247" s="618">
        <v>0</v>
      </c>
      <c r="DA247" s="618">
        <v>0</v>
      </c>
      <c r="DB247" s="618">
        <v>0</v>
      </c>
      <c r="DC247" s="618">
        <v>0</v>
      </c>
      <c r="DD247" s="618">
        <v>0</v>
      </c>
      <c r="DE247" s="618">
        <v>0</v>
      </c>
      <c r="DF247" s="618">
        <v>0</v>
      </c>
      <c r="DG247" s="618">
        <v>0</v>
      </c>
      <c r="DH247" s="618">
        <v>0</v>
      </c>
      <c r="DI247" s="618">
        <v>0</v>
      </c>
      <c r="DJ247" s="618">
        <v>0</v>
      </c>
      <c r="DK247" s="1034">
        <f t="shared" si="233"/>
        <v>25</v>
      </c>
      <c r="DL247" s="543">
        <f t="shared" si="206"/>
        <v>0.25</v>
      </c>
      <c r="DM247" s="542">
        <f t="shared" si="207"/>
        <v>25</v>
      </c>
      <c r="DN247" s="594">
        <f t="shared" si="208"/>
        <v>25</v>
      </c>
      <c r="DO247" s="540">
        <f t="shared" si="209"/>
        <v>6.25E-2</v>
      </c>
      <c r="DP247" s="597">
        <f>+IF(M247="M",DO247,0)</f>
        <v>6.25E-2</v>
      </c>
      <c r="DQ247" s="538">
        <f t="shared" si="210"/>
        <v>6.25E-2</v>
      </c>
      <c r="DR247" s="617">
        <f t="shared" si="211"/>
        <v>1</v>
      </c>
      <c r="DS247" s="616">
        <f t="shared" si="212"/>
        <v>0</v>
      </c>
      <c r="DT247" s="259">
        <v>269</v>
      </c>
      <c r="DU247" s="260" t="s">
        <v>275</v>
      </c>
      <c r="DV247" s="259"/>
      <c r="DW247" s="260" t="s">
        <v>242</v>
      </c>
      <c r="DX247" s="259"/>
      <c r="DY247" s="259"/>
      <c r="DZ247" s="259"/>
      <c r="EA247" s="987"/>
      <c r="EB247" s="1041" t="s">
        <v>2582</v>
      </c>
      <c r="EC247" s="802">
        <v>24000000</v>
      </c>
      <c r="EE247" s="1047"/>
    </row>
    <row r="248" spans="4:135" s="534" customFormat="1" ht="51" hidden="1" x14ac:dyDescent="0.3">
      <c r="D248" s="783">
        <v>245</v>
      </c>
      <c r="E248" s="799">
        <v>293</v>
      </c>
      <c r="F248" s="787" t="s">
        <v>200</v>
      </c>
      <c r="G248" s="739" t="s">
        <v>7</v>
      </c>
      <c r="H248" s="790" t="s">
        <v>2200</v>
      </c>
      <c r="I248" s="712" t="s">
        <v>782</v>
      </c>
      <c r="J248" s="573" t="s">
        <v>809</v>
      </c>
      <c r="K248" s="573" t="s">
        <v>810</v>
      </c>
      <c r="L248" s="701" t="s">
        <v>2201</v>
      </c>
      <c r="M248" s="571" t="s">
        <v>2032</v>
      </c>
      <c r="N248" s="571">
        <v>0</v>
      </c>
      <c r="O248" s="570">
        <f>+P248</f>
        <v>100</v>
      </c>
      <c r="P248" s="569">
        <v>100</v>
      </c>
      <c r="Q248" s="628">
        <v>0.25</v>
      </c>
      <c r="R248" s="580">
        <f t="shared" si="190"/>
        <v>6.25E-2</v>
      </c>
      <c r="S248" s="627">
        <v>100</v>
      </c>
      <c r="T248" s="625">
        <f t="shared" si="220"/>
        <v>0.25</v>
      </c>
      <c r="U248" s="992">
        <v>100</v>
      </c>
      <c r="V248" s="626">
        <f t="shared" si="221"/>
        <v>25</v>
      </c>
      <c r="W248" s="594">
        <f t="shared" si="222"/>
        <v>100</v>
      </c>
      <c r="X248" s="594">
        <f t="shared" si="191"/>
        <v>100</v>
      </c>
      <c r="Y248" s="594">
        <f t="shared" si="215"/>
        <v>6.25E-2</v>
      </c>
      <c r="Z248" s="594">
        <f t="shared" si="192"/>
        <v>100</v>
      </c>
      <c r="AA248" s="593">
        <v>0</v>
      </c>
      <c r="AB248" s="593">
        <v>0</v>
      </c>
      <c r="AC248" s="593">
        <v>0</v>
      </c>
      <c r="AD248" s="593">
        <v>0</v>
      </c>
      <c r="AE248" s="593">
        <v>0</v>
      </c>
      <c r="AF248" s="593">
        <v>0</v>
      </c>
      <c r="AG248" s="593">
        <v>0</v>
      </c>
      <c r="AH248" s="593">
        <v>0</v>
      </c>
      <c r="AI248" s="593">
        <v>0</v>
      </c>
      <c r="AJ248" s="593">
        <v>0</v>
      </c>
      <c r="AK248" s="593">
        <v>0</v>
      </c>
      <c r="AL248" s="593">
        <v>0</v>
      </c>
      <c r="AM248" s="593">
        <v>0</v>
      </c>
      <c r="AN248" s="593">
        <v>0</v>
      </c>
      <c r="AO248" s="593">
        <v>0</v>
      </c>
      <c r="AP248" s="593">
        <v>0</v>
      </c>
      <c r="AQ248" s="593">
        <v>0</v>
      </c>
      <c r="AR248" s="593">
        <v>0</v>
      </c>
      <c r="AS248" s="593">
        <v>0</v>
      </c>
      <c r="AT248" s="570">
        <f t="shared" si="193"/>
        <v>6.25E-2</v>
      </c>
      <c r="AU248" s="571">
        <v>100</v>
      </c>
      <c r="AV248" s="625">
        <f t="shared" si="223"/>
        <v>0.25</v>
      </c>
      <c r="AW248" s="1003">
        <v>100</v>
      </c>
      <c r="AX248" s="604">
        <f t="shared" si="224"/>
        <v>25</v>
      </c>
      <c r="AY248" s="604">
        <f t="shared" si="225"/>
        <v>100</v>
      </c>
      <c r="AZ248" s="604">
        <f t="shared" si="194"/>
        <v>100</v>
      </c>
      <c r="BA248" s="592">
        <f t="shared" si="195"/>
        <v>6.25E-2</v>
      </c>
      <c r="BB248" s="592">
        <f t="shared" si="196"/>
        <v>100</v>
      </c>
      <c r="BC248" s="591">
        <v>32250000</v>
      </c>
      <c r="BD248" s="591">
        <v>0</v>
      </c>
      <c r="BE248" s="591">
        <v>26000000</v>
      </c>
      <c r="BF248" s="591">
        <v>0</v>
      </c>
      <c r="BG248" s="591">
        <v>0</v>
      </c>
      <c r="BH248" s="591">
        <v>0</v>
      </c>
      <c r="BI248" s="591">
        <v>0</v>
      </c>
      <c r="BJ248" s="591">
        <v>6250000</v>
      </c>
      <c r="BK248" s="700">
        <v>26000000</v>
      </c>
      <c r="BL248" s="589">
        <v>26000000</v>
      </c>
      <c r="BM248" s="589">
        <v>0</v>
      </c>
      <c r="BN248" s="589">
        <v>0</v>
      </c>
      <c r="BO248" s="589">
        <v>0</v>
      </c>
      <c r="BP248" s="589">
        <v>0</v>
      </c>
      <c r="BQ248" s="589">
        <v>0</v>
      </c>
      <c r="BR248" s="589">
        <v>0</v>
      </c>
      <c r="BS248" s="589">
        <v>0</v>
      </c>
      <c r="BT248" s="589">
        <v>0</v>
      </c>
      <c r="BU248" s="589">
        <v>0</v>
      </c>
      <c r="BV248" s="588">
        <f t="shared" si="197"/>
        <v>6.25E-2</v>
      </c>
      <c r="BW248" s="588">
        <v>100</v>
      </c>
      <c r="BX248" s="623">
        <f t="shared" si="226"/>
        <v>0.25</v>
      </c>
      <c r="BY248" s="639">
        <v>20</v>
      </c>
      <c r="BZ248" s="638">
        <v>20</v>
      </c>
      <c r="CA248" s="1018">
        <v>100</v>
      </c>
      <c r="CB248" s="557">
        <f t="shared" si="227"/>
        <v>25</v>
      </c>
      <c r="CC248" s="557">
        <f t="shared" si="228"/>
        <v>100</v>
      </c>
      <c r="CD248" s="622">
        <f t="shared" si="198"/>
        <v>100</v>
      </c>
      <c r="CE248" s="621">
        <f t="shared" si="199"/>
        <v>6.25E-2</v>
      </c>
      <c r="CF248" s="605">
        <f t="shared" si="200"/>
        <v>100</v>
      </c>
      <c r="CG248" s="621">
        <f t="shared" si="201"/>
        <v>6.25E-2</v>
      </c>
      <c r="CH248" s="553">
        <f t="shared" si="202"/>
        <v>6.25E-2</v>
      </c>
      <c r="CI248" s="552">
        <v>100</v>
      </c>
      <c r="CJ248" s="551">
        <f t="shared" si="229"/>
        <v>0.25</v>
      </c>
      <c r="CK248" s="875">
        <v>0</v>
      </c>
      <c r="CL248" s="533">
        <f t="shared" si="230"/>
        <v>100</v>
      </c>
      <c r="CM248" s="619">
        <f t="shared" si="231"/>
        <v>0</v>
      </c>
      <c r="CN248" s="619">
        <f t="shared" si="232"/>
        <v>0</v>
      </c>
      <c r="CO248" s="619">
        <f t="shared" si="203"/>
        <v>0</v>
      </c>
      <c r="CP248" s="619">
        <f t="shared" si="204"/>
        <v>0</v>
      </c>
      <c r="CQ248" s="619">
        <f t="shared" si="205"/>
        <v>0</v>
      </c>
      <c r="CR248" s="546">
        <v>66250000</v>
      </c>
      <c r="CS248" s="546">
        <v>60000000</v>
      </c>
      <c r="CT248" s="546">
        <v>0</v>
      </c>
      <c r="CU248" s="546">
        <v>0</v>
      </c>
      <c r="CV248" s="546">
        <v>0</v>
      </c>
      <c r="CW248" s="546">
        <v>0</v>
      </c>
      <c r="CX248" s="546">
        <v>0</v>
      </c>
      <c r="CY248" s="546">
        <v>6250000</v>
      </c>
      <c r="CZ248" s="618">
        <v>0</v>
      </c>
      <c r="DA248" s="618">
        <v>0</v>
      </c>
      <c r="DB248" s="618">
        <v>0</v>
      </c>
      <c r="DC248" s="618">
        <v>0</v>
      </c>
      <c r="DD248" s="618">
        <v>0</v>
      </c>
      <c r="DE248" s="618">
        <v>0</v>
      </c>
      <c r="DF248" s="618">
        <v>0</v>
      </c>
      <c r="DG248" s="618">
        <v>0</v>
      </c>
      <c r="DH248" s="618">
        <v>0</v>
      </c>
      <c r="DI248" s="618">
        <v>0</v>
      </c>
      <c r="DJ248" s="618">
        <v>0</v>
      </c>
      <c r="DK248" s="1034">
        <f t="shared" si="233"/>
        <v>75</v>
      </c>
      <c r="DL248" s="543">
        <f t="shared" si="206"/>
        <v>0.25</v>
      </c>
      <c r="DM248" s="542">
        <f t="shared" si="207"/>
        <v>75</v>
      </c>
      <c r="DN248" s="594">
        <f t="shared" si="208"/>
        <v>75</v>
      </c>
      <c r="DO248" s="540">
        <f t="shared" si="209"/>
        <v>0.1875</v>
      </c>
      <c r="DP248" s="597">
        <f>+IF(M248="M",DO248,0)</f>
        <v>0.1875</v>
      </c>
      <c r="DQ248" s="538">
        <f t="shared" si="210"/>
        <v>0.1875</v>
      </c>
      <c r="DR248" s="617">
        <f t="shared" si="211"/>
        <v>1</v>
      </c>
      <c r="DS248" s="616">
        <f t="shared" si="212"/>
        <v>0</v>
      </c>
      <c r="DT248" s="259">
        <v>269</v>
      </c>
      <c r="DU248" s="260" t="s">
        <v>275</v>
      </c>
      <c r="DV248" s="259"/>
      <c r="DW248" s="260" t="s">
        <v>242</v>
      </c>
      <c r="DX248" s="259"/>
      <c r="DY248" s="259"/>
      <c r="DZ248" s="259"/>
      <c r="EA248" s="987"/>
      <c r="EB248" s="1041" t="s">
        <v>2583</v>
      </c>
      <c r="EC248" s="802">
        <v>66250000</v>
      </c>
      <c r="EE248" s="1047"/>
    </row>
    <row r="249" spans="4:135" s="534" customFormat="1" ht="108" hidden="1" x14ac:dyDescent="0.3">
      <c r="D249" s="783">
        <v>246</v>
      </c>
      <c r="E249" s="799">
        <v>294</v>
      </c>
      <c r="F249" s="787" t="s">
        <v>200</v>
      </c>
      <c r="G249" s="739" t="s">
        <v>8</v>
      </c>
      <c r="H249" s="790" t="s">
        <v>2200</v>
      </c>
      <c r="I249" s="712" t="s">
        <v>782</v>
      </c>
      <c r="J249" s="573" t="s">
        <v>811</v>
      </c>
      <c r="K249" s="573" t="s">
        <v>812</v>
      </c>
      <c r="L249" s="702" t="s">
        <v>1682</v>
      </c>
      <c r="M249" s="571" t="s">
        <v>2017</v>
      </c>
      <c r="N249" s="571">
        <v>742</v>
      </c>
      <c r="O249" s="570">
        <f>+N249+P249</f>
        <v>3742</v>
      </c>
      <c r="P249" s="569">
        <v>3000</v>
      </c>
      <c r="Q249" s="628">
        <v>0.25</v>
      </c>
      <c r="R249" s="580">
        <f t="shared" si="190"/>
        <v>4.1416666666666664E-2</v>
      </c>
      <c r="S249" s="627">
        <v>497</v>
      </c>
      <c r="T249" s="625">
        <f t="shared" si="220"/>
        <v>0.16566666666666666</v>
      </c>
      <c r="U249" s="992">
        <v>497</v>
      </c>
      <c r="V249" s="626">
        <f t="shared" si="221"/>
        <v>497</v>
      </c>
      <c r="W249" s="594">
        <f t="shared" si="222"/>
        <v>100</v>
      </c>
      <c r="X249" s="594">
        <f t="shared" si="191"/>
        <v>100</v>
      </c>
      <c r="Y249" s="594">
        <f t="shared" si="215"/>
        <v>4.1416666666666664E-2</v>
      </c>
      <c r="Z249" s="594">
        <f t="shared" si="192"/>
        <v>100</v>
      </c>
      <c r="AA249" s="593">
        <v>0</v>
      </c>
      <c r="AB249" s="593">
        <v>0</v>
      </c>
      <c r="AC249" s="593">
        <v>0</v>
      </c>
      <c r="AD249" s="593">
        <v>0</v>
      </c>
      <c r="AE249" s="593">
        <v>0</v>
      </c>
      <c r="AF249" s="593">
        <v>0</v>
      </c>
      <c r="AG249" s="593">
        <v>0</v>
      </c>
      <c r="AH249" s="593">
        <v>0</v>
      </c>
      <c r="AI249" s="593">
        <v>0</v>
      </c>
      <c r="AJ249" s="593">
        <v>0</v>
      </c>
      <c r="AK249" s="593">
        <v>0</v>
      </c>
      <c r="AL249" s="593">
        <v>0</v>
      </c>
      <c r="AM249" s="593">
        <v>0</v>
      </c>
      <c r="AN249" s="593">
        <v>0</v>
      </c>
      <c r="AO249" s="593">
        <v>0</v>
      </c>
      <c r="AP249" s="593">
        <v>0</v>
      </c>
      <c r="AQ249" s="593">
        <v>0</v>
      </c>
      <c r="AR249" s="593">
        <v>0</v>
      </c>
      <c r="AS249" s="593">
        <v>0</v>
      </c>
      <c r="AT249" s="570">
        <f t="shared" si="193"/>
        <v>6.25E-2</v>
      </c>
      <c r="AU249" s="571">
        <v>750</v>
      </c>
      <c r="AV249" s="625">
        <f t="shared" si="223"/>
        <v>0.25</v>
      </c>
      <c r="AW249" s="1003">
        <v>750</v>
      </c>
      <c r="AX249" s="604">
        <f t="shared" si="224"/>
        <v>750</v>
      </c>
      <c r="AY249" s="604">
        <f t="shared" si="225"/>
        <v>100</v>
      </c>
      <c r="AZ249" s="604">
        <f t="shared" si="194"/>
        <v>100</v>
      </c>
      <c r="BA249" s="592">
        <f t="shared" si="195"/>
        <v>6.25E-2</v>
      </c>
      <c r="BB249" s="592">
        <f t="shared" si="196"/>
        <v>100</v>
      </c>
      <c r="BC249" s="591">
        <v>91000000</v>
      </c>
      <c r="BD249" s="591">
        <v>0</v>
      </c>
      <c r="BE249" s="591">
        <v>91000000</v>
      </c>
      <c r="BF249" s="591">
        <v>0</v>
      </c>
      <c r="BG249" s="591">
        <v>0</v>
      </c>
      <c r="BH249" s="591">
        <v>0</v>
      </c>
      <c r="BI249" s="591">
        <v>0</v>
      </c>
      <c r="BJ249" s="591">
        <v>0</v>
      </c>
      <c r="BK249" s="700">
        <v>37632000</v>
      </c>
      <c r="BL249" s="589">
        <v>37632000</v>
      </c>
      <c r="BM249" s="589">
        <v>0</v>
      </c>
      <c r="BN249" s="589">
        <v>0</v>
      </c>
      <c r="BO249" s="589">
        <v>0</v>
      </c>
      <c r="BP249" s="589">
        <v>0</v>
      </c>
      <c r="BQ249" s="589">
        <v>0</v>
      </c>
      <c r="BR249" s="589">
        <v>0</v>
      </c>
      <c r="BS249" s="589">
        <v>0</v>
      </c>
      <c r="BT249" s="589">
        <v>0</v>
      </c>
      <c r="BU249" s="589">
        <v>0</v>
      </c>
      <c r="BV249" s="588">
        <f t="shared" si="197"/>
        <v>7.2999999999999995E-2</v>
      </c>
      <c r="BW249" s="588">
        <v>876</v>
      </c>
      <c r="BX249" s="623">
        <f t="shared" si="226"/>
        <v>0.29199999999999998</v>
      </c>
      <c r="BY249" s="607">
        <v>1</v>
      </c>
      <c r="BZ249" s="629">
        <v>0</v>
      </c>
      <c r="CA249" s="1017">
        <v>758</v>
      </c>
      <c r="CB249" s="557">
        <f t="shared" si="227"/>
        <v>758</v>
      </c>
      <c r="CC249" s="557">
        <f t="shared" si="228"/>
        <v>86.529680365296798</v>
      </c>
      <c r="CD249" s="622">
        <f t="shared" si="198"/>
        <v>86.529680365296798</v>
      </c>
      <c r="CE249" s="621">
        <f t="shared" si="199"/>
        <v>6.3166666666666649E-2</v>
      </c>
      <c r="CF249" s="605">
        <f t="shared" si="200"/>
        <v>86.529680365296798</v>
      </c>
      <c r="CG249" s="621">
        <f t="shared" si="201"/>
        <v>6.3166666666666649E-2</v>
      </c>
      <c r="CH249" s="553">
        <f t="shared" si="202"/>
        <v>7.3083333333333333E-2</v>
      </c>
      <c r="CI249" s="552">
        <v>877</v>
      </c>
      <c r="CJ249" s="551">
        <f t="shared" si="229"/>
        <v>0.29233333333333333</v>
      </c>
      <c r="CK249" s="874">
        <v>0</v>
      </c>
      <c r="CL249" s="533">
        <f t="shared" si="230"/>
        <v>877</v>
      </c>
      <c r="CM249" s="619">
        <f t="shared" si="231"/>
        <v>0</v>
      </c>
      <c r="CN249" s="619">
        <f t="shared" si="232"/>
        <v>0</v>
      </c>
      <c r="CO249" s="549">
        <f t="shared" si="203"/>
        <v>0</v>
      </c>
      <c r="CP249" s="619">
        <f t="shared" si="204"/>
        <v>0</v>
      </c>
      <c r="CQ249" s="619">
        <f t="shared" si="205"/>
        <v>0</v>
      </c>
      <c r="CR249" s="546">
        <v>210000000</v>
      </c>
      <c r="CS249" s="546">
        <v>210000000</v>
      </c>
      <c r="CT249" s="546">
        <v>0</v>
      </c>
      <c r="CU249" s="546">
        <v>0</v>
      </c>
      <c r="CV249" s="546">
        <v>0</v>
      </c>
      <c r="CW249" s="546">
        <v>0</v>
      </c>
      <c r="CX249" s="546">
        <v>0</v>
      </c>
      <c r="CY249" s="546">
        <v>0</v>
      </c>
      <c r="CZ249" s="618">
        <v>0</v>
      </c>
      <c r="DA249" s="618">
        <v>0</v>
      </c>
      <c r="DB249" s="618">
        <v>0</v>
      </c>
      <c r="DC249" s="618">
        <v>0</v>
      </c>
      <c r="DD249" s="618">
        <v>0</v>
      </c>
      <c r="DE249" s="618">
        <v>0</v>
      </c>
      <c r="DF249" s="618">
        <v>0</v>
      </c>
      <c r="DG249" s="618">
        <v>0</v>
      </c>
      <c r="DH249" s="618">
        <v>0</v>
      </c>
      <c r="DI249" s="618">
        <v>0</v>
      </c>
      <c r="DJ249" s="618">
        <v>0</v>
      </c>
      <c r="DK249" s="1034">
        <f t="shared" si="233"/>
        <v>2005</v>
      </c>
      <c r="DL249" s="543">
        <f t="shared" si="206"/>
        <v>0.25</v>
      </c>
      <c r="DM249" s="542">
        <f t="shared" si="207"/>
        <v>66.833333333333329</v>
      </c>
      <c r="DN249" s="594">
        <f t="shared" si="208"/>
        <v>66.833333333333329</v>
      </c>
      <c r="DO249" s="540">
        <f t="shared" si="209"/>
        <v>0.16708333333333333</v>
      </c>
      <c r="DP249" s="597">
        <f>+IF(((DN249*Q249)/100)&lt;Q249, ((DN249*Q249)/100),Q249)</f>
        <v>0.16708333333333333</v>
      </c>
      <c r="DQ249" s="538">
        <f t="shared" si="210"/>
        <v>0.16708333333333333</v>
      </c>
      <c r="DR249" s="617">
        <f t="shared" si="211"/>
        <v>1</v>
      </c>
      <c r="DS249" s="616">
        <f t="shared" si="212"/>
        <v>0</v>
      </c>
      <c r="DT249" s="259">
        <v>35</v>
      </c>
      <c r="DU249" s="260" t="s">
        <v>295</v>
      </c>
      <c r="DV249" s="259">
        <v>36</v>
      </c>
      <c r="DW249" s="260" t="s">
        <v>294</v>
      </c>
      <c r="DX249" s="259">
        <v>37</v>
      </c>
      <c r="DY249" s="259">
        <v>38</v>
      </c>
      <c r="DZ249" s="259"/>
      <c r="EA249" s="987"/>
      <c r="EB249" s="1041" t="s">
        <v>2584</v>
      </c>
      <c r="EC249" s="802">
        <v>210000000</v>
      </c>
      <c r="EE249" s="1047"/>
    </row>
    <row r="250" spans="4:135" s="534" customFormat="1" ht="108" hidden="1" x14ac:dyDescent="0.3">
      <c r="D250" s="783">
        <v>247</v>
      </c>
      <c r="E250" s="799">
        <v>295</v>
      </c>
      <c r="F250" s="787" t="s">
        <v>200</v>
      </c>
      <c r="G250" s="739" t="s">
        <v>8</v>
      </c>
      <c r="H250" s="790" t="s">
        <v>2200</v>
      </c>
      <c r="I250" s="712" t="s">
        <v>782</v>
      </c>
      <c r="J250" s="573" t="s">
        <v>813</v>
      </c>
      <c r="K250" s="573" t="s">
        <v>814</v>
      </c>
      <c r="L250" s="701" t="s">
        <v>2201</v>
      </c>
      <c r="M250" s="571" t="s">
        <v>2032</v>
      </c>
      <c r="N250" s="571">
        <v>100</v>
      </c>
      <c r="O250" s="570">
        <f>+P250</f>
        <v>100</v>
      </c>
      <c r="P250" s="569">
        <v>100</v>
      </c>
      <c r="Q250" s="628">
        <v>0.16500000000000001</v>
      </c>
      <c r="R250" s="580">
        <f t="shared" si="190"/>
        <v>4.1250000000000002E-2</v>
      </c>
      <c r="S250" s="627">
        <v>100</v>
      </c>
      <c r="T250" s="625">
        <f t="shared" si="220"/>
        <v>0.25</v>
      </c>
      <c r="U250" s="992">
        <v>95</v>
      </c>
      <c r="V250" s="626">
        <f t="shared" si="221"/>
        <v>23.75</v>
      </c>
      <c r="W250" s="594">
        <f t="shared" si="222"/>
        <v>95</v>
      </c>
      <c r="X250" s="594">
        <f t="shared" si="191"/>
        <v>95</v>
      </c>
      <c r="Y250" s="594">
        <f t="shared" si="215"/>
        <v>3.91875E-2</v>
      </c>
      <c r="Z250" s="594">
        <f t="shared" si="192"/>
        <v>95</v>
      </c>
      <c r="AA250" s="593">
        <v>0</v>
      </c>
      <c r="AB250" s="593">
        <v>0</v>
      </c>
      <c r="AC250" s="593">
        <v>0</v>
      </c>
      <c r="AD250" s="593">
        <v>0</v>
      </c>
      <c r="AE250" s="593">
        <v>0</v>
      </c>
      <c r="AF250" s="593">
        <v>0</v>
      </c>
      <c r="AG250" s="593">
        <v>0</v>
      </c>
      <c r="AH250" s="593">
        <v>0</v>
      </c>
      <c r="AI250" s="593">
        <v>0</v>
      </c>
      <c r="AJ250" s="593">
        <v>0</v>
      </c>
      <c r="AK250" s="593">
        <v>0</v>
      </c>
      <c r="AL250" s="593">
        <v>0</v>
      </c>
      <c r="AM250" s="593">
        <v>0</v>
      </c>
      <c r="AN250" s="593">
        <v>0</v>
      </c>
      <c r="AO250" s="593">
        <v>0</v>
      </c>
      <c r="AP250" s="593">
        <v>0</v>
      </c>
      <c r="AQ250" s="593">
        <v>0</v>
      </c>
      <c r="AR250" s="593">
        <v>0</v>
      </c>
      <c r="AS250" s="593">
        <v>0</v>
      </c>
      <c r="AT250" s="570">
        <f t="shared" si="193"/>
        <v>4.1250000000000002E-2</v>
      </c>
      <c r="AU250" s="571">
        <v>100</v>
      </c>
      <c r="AV250" s="625">
        <f t="shared" si="223"/>
        <v>0.25</v>
      </c>
      <c r="AW250" s="1003">
        <v>100</v>
      </c>
      <c r="AX250" s="604">
        <f t="shared" si="224"/>
        <v>25</v>
      </c>
      <c r="AY250" s="604">
        <f t="shared" si="225"/>
        <v>100</v>
      </c>
      <c r="AZ250" s="604">
        <f t="shared" si="194"/>
        <v>100</v>
      </c>
      <c r="BA250" s="592">
        <f t="shared" si="195"/>
        <v>4.1250000000000002E-2</v>
      </c>
      <c r="BB250" s="592">
        <f t="shared" si="196"/>
        <v>100</v>
      </c>
      <c r="BC250" s="591">
        <v>0</v>
      </c>
      <c r="BD250" s="591">
        <v>0</v>
      </c>
      <c r="BE250" s="591">
        <v>0</v>
      </c>
      <c r="BF250" s="591">
        <v>0</v>
      </c>
      <c r="BG250" s="591">
        <v>0</v>
      </c>
      <c r="BH250" s="591">
        <v>0</v>
      </c>
      <c r="BI250" s="591">
        <v>0</v>
      </c>
      <c r="BJ250" s="591">
        <v>0</v>
      </c>
      <c r="BK250" s="700">
        <v>0</v>
      </c>
      <c r="BL250" s="589">
        <v>0</v>
      </c>
      <c r="BM250" s="589">
        <v>0</v>
      </c>
      <c r="BN250" s="589">
        <v>0</v>
      </c>
      <c r="BO250" s="589">
        <v>0</v>
      </c>
      <c r="BP250" s="589">
        <v>0</v>
      </c>
      <c r="BQ250" s="589">
        <v>0</v>
      </c>
      <c r="BR250" s="589">
        <v>0</v>
      </c>
      <c r="BS250" s="589">
        <v>0</v>
      </c>
      <c r="BT250" s="589">
        <v>0</v>
      </c>
      <c r="BU250" s="589">
        <v>0</v>
      </c>
      <c r="BV250" s="588">
        <f t="shared" si="197"/>
        <v>4.1250000000000002E-2</v>
      </c>
      <c r="BW250" s="588">
        <v>100</v>
      </c>
      <c r="BX250" s="623">
        <f t="shared" si="226"/>
        <v>0.25</v>
      </c>
      <c r="BY250" s="607">
        <v>100</v>
      </c>
      <c r="BZ250" s="629">
        <v>100</v>
      </c>
      <c r="CA250" s="1017">
        <v>100</v>
      </c>
      <c r="CB250" s="557">
        <f t="shared" si="227"/>
        <v>25</v>
      </c>
      <c r="CC250" s="557">
        <f t="shared" si="228"/>
        <v>100</v>
      </c>
      <c r="CD250" s="622">
        <f t="shared" si="198"/>
        <v>100</v>
      </c>
      <c r="CE250" s="621">
        <f t="shared" si="199"/>
        <v>4.1250000000000002E-2</v>
      </c>
      <c r="CF250" s="605">
        <f t="shared" si="200"/>
        <v>100</v>
      </c>
      <c r="CG250" s="621">
        <f t="shared" si="201"/>
        <v>4.1250000000000002E-2</v>
      </c>
      <c r="CH250" s="553">
        <f t="shared" si="202"/>
        <v>4.1250000000000002E-2</v>
      </c>
      <c r="CI250" s="552">
        <v>100</v>
      </c>
      <c r="CJ250" s="551">
        <f t="shared" si="229"/>
        <v>0.25</v>
      </c>
      <c r="CK250" s="874">
        <v>50</v>
      </c>
      <c r="CL250" s="533">
        <f t="shared" si="230"/>
        <v>50</v>
      </c>
      <c r="CM250" s="619">
        <f t="shared" si="231"/>
        <v>12.5</v>
      </c>
      <c r="CN250" s="619">
        <f t="shared" si="232"/>
        <v>50</v>
      </c>
      <c r="CO250" s="619">
        <f t="shared" si="203"/>
        <v>50</v>
      </c>
      <c r="CP250" s="619">
        <f t="shared" si="204"/>
        <v>2.0625000000000001E-2</v>
      </c>
      <c r="CQ250" s="619">
        <f t="shared" si="205"/>
        <v>2.0625000000000001E-2</v>
      </c>
      <c r="CR250" s="546">
        <v>0</v>
      </c>
      <c r="CS250" s="546">
        <v>0</v>
      </c>
      <c r="CT250" s="546">
        <v>0</v>
      </c>
      <c r="CU250" s="546">
        <v>0</v>
      </c>
      <c r="CV250" s="546">
        <v>0</v>
      </c>
      <c r="CW250" s="546">
        <v>0</v>
      </c>
      <c r="CX250" s="546">
        <v>0</v>
      </c>
      <c r="CY250" s="546">
        <v>0</v>
      </c>
      <c r="CZ250" s="618">
        <v>0</v>
      </c>
      <c r="DA250" s="618">
        <v>0</v>
      </c>
      <c r="DB250" s="618">
        <v>0</v>
      </c>
      <c r="DC250" s="618">
        <v>0</v>
      </c>
      <c r="DD250" s="618">
        <v>0</v>
      </c>
      <c r="DE250" s="618">
        <v>0</v>
      </c>
      <c r="DF250" s="618">
        <v>0</v>
      </c>
      <c r="DG250" s="618">
        <v>0</v>
      </c>
      <c r="DH250" s="618">
        <v>0</v>
      </c>
      <c r="DI250" s="618">
        <v>0</v>
      </c>
      <c r="DJ250" s="618">
        <v>0</v>
      </c>
      <c r="DK250" s="1034">
        <f t="shared" si="233"/>
        <v>86.25</v>
      </c>
      <c r="DL250" s="543">
        <f t="shared" si="206"/>
        <v>0.16500000000000001</v>
      </c>
      <c r="DM250" s="542">
        <f t="shared" si="207"/>
        <v>86.25</v>
      </c>
      <c r="DN250" s="594">
        <f t="shared" si="208"/>
        <v>86.25</v>
      </c>
      <c r="DO250" s="540">
        <f t="shared" si="209"/>
        <v>0.14231250000000001</v>
      </c>
      <c r="DP250" s="597">
        <f>+IF(M250="M",DO250,0)</f>
        <v>0.14231250000000001</v>
      </c>
      <c r="DQ250" s="538">
        <f t="shared" si="210"/>
        <v>0.14231250000000001</v>
      </c>
      <c r="DR250" s="617">
        <f t="shared" si="211"/>
        <v>1</v>
      </c>
      <c r="DS250" s="616">
        <f t="shared" si="212"/>
        <v>0</v>
      </c>
      <c r="DT250" s="259">
        <v>35</v>
      </c>
      <c r="DU250" s="260" t="s">
        <v>295</v>
      </c>
      <c r="DV250" s="259">
        <v>36</v>
      </c>
      <c r="DW250" s="260" t="s">
        <v>294</v>
      </c>
      <c r="DX250" s="259">
        <v>78</v>
      </c>
      <c r="DY250" s="259"/>
      <c r="DZ250" s="259"/>
      <c r="EA250" s="987"/>
      <c r="EB250" s="1041" t="s">
        <v>2585</v>
      </c>
      <c r="EC250" s="802">
        <v>0</v>
      </c>
      <c r="EE250" s="1047"/>
    </row>
    <row r="251" spans="4:135" s="534" customFormat="1" ht="108" hidden="1" x14ac:dyDescent="0.3">
      <c r="D251" s="783">
        <v>248</v>
      </c>
      <c r="E251" s="799">
        <v>296</v>
      </c>
      <c r="F251" s="787" t="s">
        <v>200</v>
      </c>
      <c r="G251" s="739" t="s">
        <v>8</v>
      </c>
      <c r="H251" s="790" t="s">
        <v>2200</v>
      </c>
      <c r="I251" s="712" t="s">
        <v>782</v>
      </c>
      <c r="J251" s="573" t="s">
        <v>815</v>
      </c>
      <c r="K251" s="573" t="s">
        <v>816</v>
      </c>
      <c r="L251" s="701" t="s">
        <v>2201</v>
      </c>
      <c r="M251" s="571" t="s">
        <v>2032</v>
      </c>
      <c r="N251" s="571">
        <v>100</v>
      </c>
      <c r="O251" s="570">
        <f>+P251</f>
        <v>100</v>
      </c>
      <c r="P251" s="569">
        <v>100</v>
      </c>
      <c r="Q251" s="628">
        <v>0.16500000000000001</v>
      </c>
      <c r="R251" s="580">
        <f t="shared" si="190"/>
        <v>4.1250000000000002E-2</v>
      </c>
      <c r="S251" s="627">
        <v>100</v>
      </c>
      <c r="T251" s="625">
        <f t="shared" si="220"/>
        <v>0.25</v>
      </c>
      <c r="U251" s="992">
        <v>95</v>
      </c>
      <c r="V251" s="626">
        <f t="shared" si="221"/>
        <v>23.75</v>
      </c>
      <c r="W251" s="594">
        <f t="shared" si="222"/>
        <v>95</v>
      </c>
      <c r="X251" s="594">
        <f t="shared" si="191"/>
        <v>95</v>
      </c>
      <c r="Y251" s="594">
        <f t="shared" si="215"/>
        <v>3.91875E-2</v>
      </c>
      <c r="Z251" s="594">
        <f t="shared" si="192"/>
        <v>95</v>
      </c>
      <c r="AA251" s="593">
        <v>0</v>
      </c>
      <c r="AB251" s="593">
        <v>0</v>
      </c>
      <c r="AC251" s="593">
        <v>0</v>
      </c>
      <c r="AD251" s="593">
        <v>0</v>
      </c>
      <c r="AE251" s="593">
        <v>0</v>
      </c>
      <c r="AF251" s="593">
        <v>0</v>
      </c>
      <c r="AG251" s="593">
        <v>0</v>
      </c>
      <c r="AH251" s="593">
        <v>0</v>
      </c>
      <c r="AI251" s="593">
        <v>0</v>
      </c>
      <c r="AJ251" s="593">
        <v>0</v>
      </c>
      <c r="AK251" s="593">
        <v>0</v>
      </c>
      <c r="AL251" s="593">
        <v>0</v>
      </c>
      <c r="AM251" s="593">
        <v>0</v>
      </c>
      <c r="AN251" s="593">
        <v>0</v>
      </c>
      <c r="AO251" s="593">
        <v>0</v>
      </c>
      <c r="AP251" s="593">
        <v>0</v>
      </c>
      <c r="AQ251" s="593">
        <v>0</v>
      </c>
      <c r="AR251" s="593">
        <v>0</v>
      </c>
      <c r="AS251" s="593">
        <v>0</v>
      </c>
      <c r="AT251" s="570">
        <f t="shared" si="193"/>
        <v>4.1250000000000002E-2</v>
      </c>
      <c r="AU251" s="571">
        <v>100</v>
      </c>
      <c r="AV251" s="625">
        <f t="shared" si="223"/>
        <v>0.25</v>
      </c>
      <c r="AW251" s="1003">
        <v>100</v>
      </c>
      <c r="AX251" s="604">
        <f t="shared" si="224"/>
        <v>25</v>
      </c>
      <c r="AY251" s="604">
        <f t="shared" si="225"/>
        <v>100</v>
      </c>
      <c r="AZ251" s="604">
        <f t="shared" si="194"/>
        <v>100</v>
      </c>
      <c r="BA251" s="592">
        <f t="shared" si="195"/>
        <v>4.1250000000000002E-2</v>
      </c>
      <c r="BB251" s="592">
        <f t="shared" si="196"/>
        <v>100</v>
      </c>
      <c r="BC251" s="591">
        <v>0</v>
      </c>
      <c r="BD251" s="591">
        <v>0</v>
      </c>
      <c r="BE251" s="591">
        <v>0</v>
      </c>
      <c r="BF251" s="591">
        <v>0</v>
      </c>
      <c r="BG251" s="591">
        <v>0</v>
      </c>
      <c r="BH251" s="591">
        <v>0</v>
      </c>
      <c r="BI251" s="591">
        <v>0</v>
      </c>
      <c r="BJ251" s="591">
        <v>0</v>
      </c>
      <c r="BK251" s="700">
        <v>0</v>
      </c>
      <c r="BL251" s="589">
        <v>0</v>
      </c>
      <c r="BM251" s="589">
        <v>0</v>
      </c>
      <c r="BN251" s="589">
        <v>0</v>
      </c>
      <c r="BO251" s="589">
        <v>0</v>
      </c>
      <c r="BP251" s="589">
        <v>0</v>
      </c>
      <c r="BQ251" s="589">
        <v>0</v>
      </c>
      <c r="BR251" s="589">
        <v>0</v>
      </c>
      <c r="BS251" s="589">
        <v>0</v>
      </c>
      <c r="BT251" s="589">
        <v>0</v>
      </c>
      <c r="BU251" s="589">
        <v>0</v>
      </c>
      <c r="BV251" s="588">
        <f t="shared" si="197"/>
        <v>4.1250000000000002E-2</v>
      </c>
      <c r="BW251" s="588">
        <v>100</v>
      </c>
      <c r="BX251" s="623">
        <f t="shared" si="226"/>
        <v>0.25</v>
      </c>
      <c r="BY251" s="607">
        <v>0</v>
      </c>
      <c r="BZ251" s="629">
        <v>0</v>
      </c>
      <c r="CA251" s="1017">
        <v>100</v>
      </c>
      <c r="CB251" s="557">
        <f t="shared" si="227"/>
        <v>25</v>
      </c>
      <c r="CC251" s="557">
        <f t="shared" si="228"/>
        <v>100</v>
      </c>
      <c r="CD251" s="622">
        <f t="shared" si="198"/>
        <v>100</v>
      </c>
      <c r="CE251" s="621">
        <f t="shared" si="199"/>
        <v>4.1250000000000002E-2</v>
      </c>
      <c r="CF251" s="605">
        <f t="shared" si="200"/>
        <v>100</v>
      </c>
      <c r="CG251" s="621">
        <f t="shared" si="201"/>
        <v>4.1250000000000002E-2</v>
      </c>
      <c r="CH251" s="553">
        <f t="shared" si="202"/>
        <v>4.1250000000000002E-2</v>
      </c>
      <c r="CI251" s="552">
        <v>100</v>
      </c>
      <c r="CJ251" s="551">
        <f t="shared" si="229"/>
        <v>0.25</v>
      </c>
      <c r="CK251" s="874">
        <v>0</v>
      </c>
      <c r="CL251" s="533">
        <f t="shared" si="230"/>
        <v>100</v>
      </c>
      <c r="CM251" s="619">
        <f t="shared" si="231"/>
        <v>0</v>
      </c>
      <c r="CN251" s="619">
        <f t="shared" si="232"/>
        <v>0</v>
      </c>
      <c r="CO251" s="619">
        <f t="shared" si="203"/>
        <v>0</v>
      </c>
      <c r="CP251" s="619">
        <f t="shared" si="204"/>
        <v>0</v>
      </c>
      <c r="CQ251" s="619">
        <f t="shared" si="205"/>
        <v>0</v>
      </c>
      <c r="CR251" s="546">
        <v>0</v>
      </c>
      <c r="CS251" s="546">
        <v>0</v>
      </c>
      <c r="CT251" s="546">
        <v>0</v>
      </c>
      <c r="CU251" s="546">
        <v>0</v>
      </c>
      <c r="CV251" s="546">
        <v>0</v>
      </c>
      <c r="CW251" s="546">
        <v>0</v>
      </c>
      <c r="CX251" s="546">
        <v>0</v>
      </c>
      <c r="CY251" s="546">
        <v>0</v>
      </c>
      <c r="CZ251" s="618">
        <v>0</v>
      </c>
      <c r="DA251" s="618">
        <v>0</v>
      </c>
      <c r="DB251" s="618">
        <v>0</v>
      </c>
      <c r="DC251" s="618">
        <v>0</v>
      </c>
      <c r="DD251" s="618">
        <v>0</v>
      </c>
      <c r="DE251" s="618">
        <v>0</v>
      </c>
      <c r="DF251" s="618">
        <v>0</v>
      </c>
      <c r="DG251" s="618">
        <v>0</v>
      </c>
      <c r="DH251" s="618">
        <v>0</v>
      </c>
      <c r="DI251" s="618">
        <v>0</v>
      </c>
      <c r="DJ251" s="618">
        <v>0</v>
      </c>
      <c r="DK251" s="1034">
        <f t="shared" si="233"/>
        <v>73.75</v>
      </c>
      <c r="DL251" s="543">
        <f t="shared" si="206"/>
        <v>0.16500000000000001</v>
      </c>
      <c r="DM251" s="542">
        <f t="shared" si="207"/>
        <v>73.75</v>
      </c>
      <c r="DN251" s="594">
        <f t="shared" si="208"/>
        <v>73.75</v>
      </c>
      <c r="DO251" s="540">
        <f t="shared" si="209"/>
        <v>0.1216875</v>
      </c>
      <c r="DP251" s="597">
        <f>+IF(M251="M",DO251,0)</f>
        <v>0.1216875</v>
      </c>
      <c r="DQ251" s="538">
        <f t="shared" si="210"/>
        <v>0.1216875</v>
      </c>
      <c r="DR251" s="617">
        <f t="shared" si="211"/>
        <v>1</v>
      </c>
      <c r="DS251" s="616">
        <f t="shared" si="212"/>
        <v>0</v>
      </c>
      <c r="DT251" s="259">
        <v>35</v>
      </c>
      <c r="DU251" s="260" t="s">
        <v>295</v>
      </c>
      <c r="DV251" s="259">
        <v>36</v>
      </c>
      <c r="DW251" s="260" t="s">
        <v>294</v>
      </c>
      <c r="DX251" s="259">
        <v>37</v>
      </c>
      <c r="DY251" s="259">
        <v>78</v>
      </c>
      <c r="DZ251" s="259"/>
      <c r="EA251" s="987"/>
      <c r="EB251" s="1041" t="s">
        <v>2586</v>
      </c>
      <c r="EC251" s="802">
        <v>0</v>
      </c>
      <c r="EE251" s="1047"/>
    </row>
    <row r="252" spans="4:135" s="534" customFormat="1" ht="76.5" hidden="1" x14ac:dyDescent="0.3">
      <c r="D252" s="783">
        <v>249</v>
      </c>
      <c r="E252" s="799">
        <v>297</v>
      </c>
      <c r="F252" s="787" t="s">
        <v>200</v>
      </c>
      <c r="G252" s="739" t="s">
        <v>3</v>
      </c>
      <c r="H252" s="790" t="s">
        <v>2200</v>
      </c>
      <c r="I252" s="712" t="s">
        <v>782</v>
      </c>
      <c r="J252" s="573" t="s">
        <v>817</v>
      </c>
      <c r="K252" s="573" t="s">
        <v>818</v>
      </c>
      <c r="L252" s="702" t="s">
        <v>1682</v>
      </c>
      <c r="M252" s="571" t="s">
        <v>2017</v>
      </c>
      <c r="N252" s="571">
        <v>0</v>
      </c>
      <c r="O252" s="570">
        <f>+N252+P252</f>
        <v>3776</v>
      </c>
      <c r="P252" s="569">
        <v>3776</v>
      </c>
      <c r="Q252" s="628">
        <v>0.16500000000000001</v>
      </c>
      <c r="R252" s="580">
        <f t="shared" si="190"/>
        <v>0</v>
      </c>
      <c r="S252" s="627">
        <v>0</v>
      </c>
      <c r="T252" s="625">
        <f t="shared" si="220"/>
        <v>0</v>
      </c>
      <c r="U252" s="992">
        <v>0</v>
      </c>
      <c r="V252" s="626">
        <f t="shared" si="221"/>
        <v>0</v>
      </c>
      <c r="W252" s="594">
        <f t="shared" si="222"/>
        <v>0</v>
      </c>
      <c r="X252" s="594">
        <f t="shared" si="191"/>
        <v>0</v>
      </c>
      <c r="Y252" s="594">
        <f t="shared" si="215"/>
        <v>0</v>
      </c>
      <c r="Z252" s="594">
        <f t="shared" si="192"/>
        <v>0</v>
      </c>
      <c r="AA252" s="593">
        <v>0</v>
      </c>
      <c r="AB252" s="593">
        <v>0</v>
      </c>
      <c r="AC252" s="593">
        <v>0</v>
      </c>
      <c r="AD252" s="593">
        <v>0</v>
      </c>
      <c r="AE252" s="593">
        <v>0</v>
      </c>
      <c r="AF252" s="593">
        <v>0</v>
      </c>
      <c r="AG252" s="593">
        <v>0</v>
      </c>
      <c r="AH252" s="593">
        <v>0</v>
      </c>
      <c r="AI252" s="593">
        <v>0</v>
      </c>
      <c r="AJ252" s="593">
        <v>0</v>
      </c>
      <c r="AK252" s="593">
        <v>0</v>
      </c>
      <c r="AL252" s="593">
        <v>0</v>
      </c>
      <c r="AM252" s="593">
        <v>0</v>
      </c>
      <c r="AN252" s="593">
        <v>0</v>
      </c>
      <c r="AO252" s="593">
        <v>0</v>
      </c>
      <c r="AP252" s="593">
        <v>0</v>
      </c>
      <c r="AQ252" s="593">
        <v>0</v>
      </c>
      <c r="AR252" s="593">
        <v>0</v>
      </c>
      <c r="AS252" s="593">
        <v>0</v>
      </c>
      <c r="AT252" s="570">
        <f t="shared" si="193"/>
        <v>5.4970868644067791E-2</v>
      </c>
      <c r="AU252" s="571">
        <v>1258</v>
      </c>
      <c r="AV252" s="625">
        <f t="shared" si="223"/>
        <v>0.33315677966101692</v>
      </c>
      <c r="AW252" s="1003">
        <v>1277</v>
      </c>
      <c r="AX252" s="604">
        <f t="shared" si="224"/>
        <v>1277</v>
      </c>
      <c r="AY252" s="604">
        <f t="shared" si="225"/>
        <v>101.51033386327504</v>
      </c>
      <c r="AZ252" s="604">
        <f t="shared" si="194"/>
        <v>100</v>
      </c>
      <c r="BA252" s="592">
        <f t="shared" si="195"/>
        <v>5.4970868644067791E-2</v>
      </c>
      <c r="BB252" s="592">
        <f t="shared" si="196"/>
        <v>100</v>
      </c>
      <c r="BC252" s="591">
        <v>26000000</v>
      </c>
      <c r="BD252" s="591">
        <v>0</v>
      </c>
      <c r="BE252" s="591">
        <v>26000000</v>
      </c>
      <c r="BF252" s="591">
        <v>0</v>
      </c>
      <c r="BG252" s="591">
        <v>0</v>
      </c>
      <c r="BH252" s="591">
        <v>0</v>
      </c>
      <c r="BI252" s="591">
        <v>0</v>
      </c>
      <c r="BJ252" s="591">
        <v>0</v>
      </c>
      <c r="BK252" s="700">
        <v>12160743</v>
      </c>
      <c r="BL252" s="589">
        <v>12160743</v>
      </c>
      <c r="BM252" s="589">
        <v>0</v>
      </c>
      <c r="BN252" s="589">
        <v>0</v>
      </c>
      <c r="BO252" s="589">
        <v>0</v>
      </c>
      <c r="BP252" s="589">
        <v>0</v>
      </c>
      <c r="BQ252" s="589">
        <v>0</v>
      </c>
      <c r="BR252" s="589">
        <v>0</v>
      </c>
      <c r="BS252" s="589">
        <v>0</v>
      </c>
      <c r="BT252" s="589">
        <v>0</v>
      </c>
      <c r="BU252" s="589">
        <v>0</v>
      </c>
      <c r="BV252" s="588">
        <f t="shared" si="197"/>
        <v>5.5014565677966101E-2</v>
      </c>
      <c r="BW252" s="588">
        <v>1259</v>
      </c>
      <c r="BX252" s="623">
        <f t="shared" si="226"/>
        <v>0.33342161016949151</v>
      </c>
      <c r="BY252" s="607">
        <v>1420</v>
      </c>
      <c r="BZ252" s="629">
        <v>1420</v>
      </c>
      <c r="CA252" s="1017">
        <v>1420</v>
      </c>
      <c r="CB252" s="557">
        <f t="shared" si="227"/>
        <v>1420</v>
      </c>
      <c r="CC252" s="557">
        <f t="shared" si="228"/>
        <v>112.78792692613185</v>
      </c>
      <c r="CD252" s="622">
        <f t="shared" si="198"/>
        <v>100</v>
      </c>
      <c r="CE252" s="621">
        <f t="shared" si="199"/>
        <v>5.5014565677966101E-2</v>
      </c>
      <c r="CF252" s="605">
        <f t="shared" si="200"/>
        <v>100</v>
      </c>
      <c r="CG252" s="621">
        <f t="shared" si="201"/>
        <v>6.2049788135593219E-2</v>
      </c>
      <c r="CH252" s="553">
        <f t="shared" si="202"/>
        <v>5.5014565677966101E-2</v>
      </c>
      <c r="CI252" s="552">
        <v>1259</v>
      </c>
      <c r="CJ252" s="551">
        <f t="shared" si="229"/>
        <v>0.33342161016949151</v>
      </c>
      <c r="CK252" s="874">
        <v>1247</v>
      </c>
      <c r="CL252" s="533">
        <f t="shared" si="230"/>
        <v>12</v>
      </c>
      <c r="CM252" s="619">
        <f t="shared" si="231"/>
        <v>1247</v>
      </c>
      <c r="CN252" s="619">
        <f t="shared" si="232"/>
        <v>99.046862589356635</v>
      </c>
      <c r="CO252" s="549">
        <f t="shared" si="203"/>
        <v>99.046862589356635</v>
      </c>
      <c r="CP252" s="619">
        <f t="shared" si="204"/>
        <v>5.4490201271186443E-2</v>
      </c>
      <c r="CQ252" s="619">
        <f t="shared" si="205"/>
        <v>5.4490201271186443E-2</v>
      </c>
      <c r="CR252" s="546">
        <v>28000000</v>
      </c>
      <c r="CS252" s="546">
        <v>28000000</v>
      </c>
      <c r="CT252" s="546">
        <v>0</v>
      </c>
      <c r="CU252" s="546">
        <v>0</v>
      </c>
      <c r="CV252" s="546">
        <v>0</v>
      </c>
      <c r="CW252" s="546">
        <v>0</v>
      </c>
      <c r="CX252" s="546">
        <v>0</v>
      </c>
      <c r="CY252" s="546">
        <v>0</v>
      </c>
      <c r="CZ252" s="618">
        <v>0</v>
      </c>
      <c r="DA252" s="618">
        <v>0</v>
      </c>
      <c r="DB252" s="618">
        <v>0</v>
      </c>
      <c r="DC252" s="618">
        <v>0</v>
      </c>
      <c r="DD252" s="618">
        <v>0</v>
      </c>
      <c r="DE252" s="618">
        <v>0</v>
      </c>
      <c r="DF252" s="618">
        <v>0</v>
      </c>
      <c r="DG252" s="618">
        <v>0</v>
      </c>
      <c r="DH252" s="618">
        <v>0</v>
      </c>
      <c r="DI252" s="618">
        <v>0</v>
      </c>
      <c r="DJ252" s="618">
        <v>0</v>
      </c>
      <c r="DK252" s="1034">
        <f t="shared" si="233"/>
        <v>3944</v>
      </c>
      <c r="DL252" s="543">
        <f t="shared" si="206"/>
        <v>0.16499999999999998</v>
      </c>
      <c r="DM252" s="542">
        <f t="shared" si="207"/>
        <v>104.44915254237289</v>
      </c>
      <c r="DN252" s="594">
        <f t="shared" si="208"/>
        <v>100</v>
      </c>
      <c r="DO252" s="540">
        <f t="shared" si="209"/>
        <v>0.16500000000000001</v>
      </c>
      <c r="DP252" s="597">
        <f>+IF(((DN252*Q252)/100)&lt;Q252, ((DN252*Q252)/100),Q252)</f>
        <v>0.16500000000000001</v>
      </c>
      <c r="DQ252" s="538">
        <f t="shared" si="210"/>
        <v>0.16500000000000001</v>
      </c>
      <c r="DR252" s="617">
        <f t="shared" si="211"/>
        <v>1</v>
      </c>
      <c r="DS252" s="616">
        <f t="shared" si="212"/>
        <v>0</v>
      </c>
      <c r="DT252" s="259">
        <v>269</v>
      </c>
      <c r="DU252" s="260" t="s">
        <v>275</v>
      </c>
      <c r="DV252" s="259"/>
      <c r="DW252" s="260" t="s">
        <v>242</v>
      </c>
      <c r="DX252" s="259"/>
      <c r="DY252" s="259"/>
      <c r="DZ252" s="259"/>
      <c r="EA252" s="987"/>
      <c r="EB252" s="1041" t="s">
        <v>2587</v>
      </c>
      <c r="EC252" s="802">
        <v>26000000</v>
      </c>
      <c r="EE252" s="1047"/>
    </row>
    <row r="253" spans="4:135" s="534" customFormat="1" ht="89.25" hidden="1" x14ac:dyDescent="0.3">
      <c r="D253" s="783">
        <v>250</v>
      </c>
      <c r="E253" s="799">
        <v>298</v>
      </c>
      <c r="F253" s="787" t="s">
        <v>200</v>
      </c>
      <c r="G253" s="739" t="s">
        <v>3</v>
      </c>
      <c r="H253" s="790" t="s">
        <v>2200</v>
      </c>
      <c r="I253" s="712" t="s">
        <v>782</v>
      </c>
      <c r="J253" s="573" t="s">
        <v>819</v>
      </c>
      <c r="K253" s="573" t="s">
        <v>820</v>
      </c>
      <c r="L253" s="702" t="s">
        <v>1682</v>
      </c>
      <c r="M253" s="571" t="s">
        <v>2017</v>
      </c>
      <c r="N253" s="571">
        <v>0</v>
      </c>
      <c r="O253" s="570">
        <f>+N253+P253</f>
        <v>400</v>
      </c>
      <c r="P253" s="569">
        <v>400</v>
      </c>
      <c r="Q253" s="628">
        <v>0.16500000000000001</v>
      </c>
      <c r="R253" s="580">
        <f t="shared" si="190"/>
        <v>0</v>
      </c>
      <c r="S253" s="627">
        <v>0</v>
      </c>
      <c r="T253" s="625">
        <f t="shared" si="220"/>
        <v>0</v>
      </c>
      <c r="U253" s="992">
        <v>0</v>
      </c>
      <c r="V253" s="626">
        <f t="shared" si="221"/>
        <v>0</v>
      </c>
      <c r="W253" s="594">
        <f t="shared" si="222"/>
        <v>0</v>
      </c>
      <c r="X253" s="594">
        <f t="shared" si="191"/>
        <v>0</v>
      </c>
      <c r="Y253" s="594">
        <f t="shared" si="215"/>
        <v>0</v>
      </c>
      <c r="Z253" s="594">
        <f t="shared" si="192"/>
        <v>0</v>
      </c>
      <c r="AA253" s="593">
        <v>0</v>
      </c>
      <c r="AB253" s="593">
        <v>0</v>
      </c>
      <c r="AC253" s="593">
        <v>0</v>
      </c>
      <c r="AD253" s="593">
        <v>0</v>
      </c>
      <c r="AE253" s="593">
        <v>0</v>
      </c>
      <c r="AF253" s="593">
        <v>0</v>
      </c>
      <c r="AG253" s="593">
        <v>0</v>
      </c>
      <c r="AH253" s="593">
        <v>0</v>
      </c>
      <c r="AI253" s="593">
        <v>0</v>
      </c>
      <c r="AJ253" s="593">
        <v>0</v>
      </c>
      <c r="AK253" s="593">
        <v>0</v>
      </c>
      <c r="AL253" s="593">
        <v>0</v>
      </c>
      <c r="AM253" s="593">
        <v>0</v>
      </c>
      <c r="AN253" s="593">
        <v>0</v>
      </c>
      <c r="AO253" s="593">
        <v>0</v>
      </c>
      <c r="AP253" s="593">
        <v>0</v>
      </c>
      <c r="AQ253" s="593">
        <v>0</v>
      </c>
      <c r="AR253" s="593">
        <v>0</v>
      </c>
      <c r="AS253" s="593">
        <v>0</v>
      </c>
      <c r="AT253" s="570">
        <f t="shared" si="193"/>
        <v>5.4862500000000008E-2</v>
      </c>
      <c r="AU253" s="571">
        <v>133</v>
      </c>
      <c r="AV253" s="625">
        <f t="shared" si="223"/>
        <v>0.33250000000000002</v>
      </c>
      <c r="AW253" s="1003">
        <v>140</v>
      </c>
      <c r="AX253" s="604">
        <f t="shared" si="224"/>
        <v>140</v>
      </c>
      <c r="AY253" s="604">
        <f t="shared" si="225"/>
        <v>105.26315789473684</v>
      </c>
      <c r="AZ253" s="604">
        <f t="shared" si="194"/>
        <v>100</v>
      </c>
      <c r="BA253" s="592">
        <f t="shared" si="195"/>
        <v>5.4862500000000008E-2</v>
      </c>
      <c r="BB253" s="592">
        <f t="shared" si="196"/>
        <v>100</v>
      </c>
      <c r="BC253" s="591">
        <v>26000000</v>
      </c>
      <c r="BD253" s="591">
        <v>0</v>
      </c>
      <c r="BE253" s="591">
        <v>26000000</v>
      </c>
      <c r="BF253" s="591">
        <v>0</v>
      </c>
      <c r="BG253" s="591">
        <v>0</v>
      </c>
      <c r="BH253" s="591">
        <v>0</v>
      </c>
      <c r="BI253" s="591">
        <v>0</v>
      </c>
      <c r="BJ253" s="591">
        <v>0</v>
      </c>
      <c r="BK253" s="700">
        <v>12160743</v>
      </c>
      <c r="BL253" s="589">
        <v>12160743</v>
      </c>
      <c r="BM253" s="589">
        <v>0</v>
      </c>
      <c r="BN253" s="589">
        <v>0</v>
      </c>
      <c r="BO253" s="589">
        <v>0</v>
      </c>
      <c r="BP253" s="589">
        <v>0</v>
      </c>
      <c r="BQ253" s="589">
        <v>0</v>
      </c>
      <c r="BR253" s="589">
        <v>0</v>
      </c>
      <c r="BS253" s="589">
        <v>0</v>
      </c>
      <c r="BT253" s="589">
        <v>0</v>
      </c>
      <c r="BU253" s="589">
        <v>0</v>
      </c>
      <c r="BV253" s="588">
        <f t="shared" si="197"/>
        <v>5.4862500000000008E-2</v>
      </c>
      <c r="BW253" s="588">
        <v>133</v>
      </c>
      <c r="BX253" s="623">
        <f t="shared" si="226"/>
        <v>0.33250000000000002</v>
      </c>
      <c r="BY253" s="607">
        <v>138</v>
      </c>
      <c r="BZ253" s="629">
        <v>138</v>
      </c>
      <c r="CA253" s="1017">
        <v>138</v>
      </c>
      <c r="CB253" s="557">
        <f t="shared" si="227"/>
        <v>138</v>
      </c>
      <c r="CC253" s="557">
        <f t="shared" si="228"/>
        <v>103.75939849624061</v>
      </c>
      <c r="CD253" s="622">
        <f t="shared" si="198"/>
        <v>100</v>
      </c>
      <c r="CE253" s="621">
        <f t="shared" si="199"/>
        <v>5.4862500000000008E-2</v>
      </c>
      <c r="CF253" s="605">
        <f t="shared" si="200"/>
        <v>100</v>
      </c>
      <c r="CG253" s="621">
        <f t="shared" si="201"/>
        <v>5.692500000000001E-2</v>
      </c>
      <c r="CH253" s="553">
        <f t="shared" si="202"/>
        <v>5.5275000000000005E-2</v>
      </c>
      <c r="CI253" s="552">
        <v>134</v>
      </c>
      <c r="CJ253" s="551">
        <f t="shared" si="229"/>
        <v>0.33500000000000002</v>
      </c>
      <c r="CK253" s="874">
        <v>34</v>
      </c>
      <c r="CL253" s="533">
        <f t="shared" si="230"/>
        <v>100</v>
      </c>
      <c r="CM253" s="619">
        <f t="shared" si="231"/>
        <v>34</v>
      </c>
      <c r="CN253" s="619">
        <f t="shared" si="232"/>
        <v>25.373134328358208</v>
      </c>
      <c r="CO253" s="549">
        <f t="shared" si="203"/>
        <v>25.373134328358208</v>
      </c>
      <c r="CP253" s="619">
        <f t="shared" si="204"/>
        <v>1.4025000000000001E-2</v>
      </c>
      <c r="CQ253" s="619">
        <f t="shared" si="205"/>
        <v>1.4025000000000001E-2</v>
      </c>
      <c r="CR253" s="546">
        <v>28000000</v>
      </c>
      <c r="CS253" s="546">
        <v>28000000</v>
      </c>
      <c r="CT253" s="546">
        <v>0</v>
      </c>
      <c r="CU253" s="546">
        <v>0</v>
      </c>
      <c r="CV253" s="546">
        <v>0</v>
      </c>
      <c r="CW253" s="546">
        <v>0</v>
      </c>
      <c r="CX253" s="546">
        <v>0</v>
      </c>
      <c r="CY253" s="546">
        <v>0</v>
      </c>
      <c r="CZ253" s="618">
        <v>0</v>
      </c>
      <c r="DA253" s="618">
        <v>0</v>
      </c>
      <c r="DB253" s="618">
        <v>0</v>
      </c>
      <c r="DC253" s="618">
        <v>0</v>
      </c>
      <c r="DD253" s="618">
        <v>0</v>
      </c>
      <c r="DE253" s="618">
        <v>0</v>
      </c>
      <c r="DF253" s="618">
        <v>0</v>
      </c>
      <c r="DG253" s="618">
        <v>0</v>
      </c>
      <c r="DH253" s="618">
        <v>0</v>
      </c>
      <c r="DI253" s="618">
        <v>0</v>
      </c>
      <c r="DJ253" s="618">
        <v>0</v>
      </c>
      <c r="DK253" s="1034">
        <f t="shared" si="233"/>
        <v>312</v>
      </c>
      <c r="DL253" s="543">
        <f t="shared" si="206"/>
        <v>0.16500000000000004</v>
      </c>
      <c r="DM253" s="542">
        <f t="shared" si="207"/>
        <v>78</v>
      </c>
      <c r="DN253" s="594">
        <f t="shared" si="208"/>
        <v>78</v>
      </c>
      <c r="DO253" s="540">
        <f t="shared" si="209"/>
        <v>0.12870000000000001</v>
      </c>
      <c r="DP253" s="597">
        <f>+IF(((DN253*Q253)/100)&lt;Q253, ((DN253*Q253)/100),Q253)</f>
        <v>0.12870000000000001</v>
      </c>
      <c r="DQ253" s="538">
        <f t="shared" si="210"/>
        <v>0.12870000000000001</v>
      </c>
      <c r="DR253" s="617">
        <f t="shared" si="211"/>
        <v>1</v>
      </c>
      <c r="DS253" s="616">
        <f t="shared" si="212"/>
        <v>0</v>
      </c>
      <c r="DT253" s="259">
        <v>269</v>
      </c>
      <c r="DU253" s="260" t="s">
        <v>275</v>
      </c>
      <c r="DV253" s="259"/>
      <c r="DW253" s="260" t="s">
        <v>242</v>
      </c>
      <c r="DX253" s="259"/>
      <c r="DY253" s="259"/>
      <c r="DZ253" s="259"/>
      <c r="EA253" s="987"/>
      <c r="EB253" s="1041" t="s">
        <v>2588</v>
      </c>
      <c r="EC253" s="802">
        <v>26000000</v>
      </c>
      <c r="EE253" s="1047"/>
    </row>
    <row r="254" spans="4:135" s="534" customFormat="1" ht="76.5" hidden="1" x14ac:dyDescent="0.3">
      <c r="D254" s="783">
        <v>251</v>
      </c>
      <c r="E254" s="799">
        <v>299</v>
      </c>
      <c r="F254" s="787" t="s">
        <v>200</v>
      </c>
      <c r="G254" s="739" t="s">
        <v>3</v>
      </c>
      <c r="H254" s="790" t="s">
        <v>2200</v>
      </c>
      <c r="I254" s="712" t="s">
        <v>782</v>
      </c>
      <c r="J254" s="573" t="s">
        <v>821</v>
      </c>
      <c r="K254" s="573" t="s">
        <v>822</v>
      </c>
      <c r="L254" s="702" t="s">
        <v>1682</v>
      </c>
      <c r="M254" s="571" t="s">
        <v>2017</v>
      </c>
      <c r="N254" s="571">
        <v>0</v>
      </c>
      <c r="O254" s="570">
        <f>+N254+P254</f>
        <v>1363</v>
      </c>
      <c r="P254" s="569">
        <v>1363</v>
      </c>
      <c r="Q254" s="628">
        <v>0.16500000000000001</v>
      </c>
      <c r="R254" s="580">
        <f t="shared" si="190"/>
        <v>4.1159207630227443E-2</v>
      </c>
      <c r="S254" s="627">
        <v>340</v>
      </c>
      <c r="T254" s="625">
        <f t="shared" si="220"/>
        <v>0.24944974321349964</v>
      </c>
      <c r="U254" s="992">
        <v>346</v>
      </c>
      <c r="V254" s="626">
        <f t="shared" si="221"/>
        <v>346</v>
      </c>
      <c r="W254" s="594">
        <f t="shared" si="222"/>
        <v>101.76470588235294</v>
      </c>
      <c r="X254" s="594">
        <f t="shared" si="191"/>
        <v>100</v>
      </c>
      <c r="Y254" s="594">
        <f t="shared" si="215"/>
        <v>4.1159207630227443E-2</v>
      </c>
      <c r="Z254" s="594">
        <f t="shared" si="192"/>
        <v>100</v>
      </c>
      <c r="AA254" s="593">
        <v>10000000</v>
      </c>
      <c r="AB254" s="593">
        <v>10000000</v>
      </c>
      <c r="AC254" s="593">
        <v>0</v>
      </c>
      <c r="AD254" s="593">
        <v>0</v>
      </c>
      <c r="AE254" s="593">
        <v>0</v>
      </c>
      <c r="AF254" s="593">
        <v>0</v>
      </c>
      <c r="AG254" s="593">
        <v>0</v>
      </c>
      <c r="AH254" s="593">
        <v>0</v>
      </c>
      <c r="AI254" s="593">
        <v>10000000</v>
      </c>
      <c r="AJ254" s="593">
        <v>10000000</v>
      </c>
      <c r="AK254" s="593">
        <v>0</v>
      </c>
      <c r="AL254" s="593">
        <v>0</v>
      </c>
      <c r="AM254" s="593">
        <v>0</v>
      </c>
      <c r="AN254" s="593">
        <v>0</v>
      </c>
      <c r="AO254" s="593">
        <v>0</v>
      </c>
      <c r="AP254" s="593">
        <v>0</v>
      </c>
      <c r="AQ254" s="593">
        <v>0</v>
      </c>
      <c r="AR254" s="593">
        <v>0</v>
      </c>
      <c r="AS254" s="593">
        <v>0</v>
      </c>
      <c r="AT254" s="570">
        <f t="shared" si="193"/>
        <v>4.1280264123257519E-2</v>
      </c>
      <c r="AU254" s="571">
        <v>341</v>
      </c>
      <c r="AV254" s="625">
        <f t="shared" si="223"/>
        <v>0.25018341892883345</v>
      </c>
      <c r="AW254" s="1003">
        <v>346</v>
      </c>
      <c r="AX254" s="604">
        <f t="shared" si="224"/>
        <v>346</v>
      </c>
      <c r="AY254" s="604">
        <f t="shared" si="225"/>
        <v>101.46627565982405</v>
      </c>
      <c r="AZ254" s="604">
        <f t="shared" si="194"/>
        <v>100</v>
      </c>
      <c r="BA254" s="592">
        <f t="shared" si="195"/>
        <v>4.1280264123257512E-2</v>
      </c>
      <c r="BB254" s="592">
        <f t="shared" si="196"/>
        <v>100</v>
      </c>
      <c r="BC254" s="591">
        <v>20000000</v>
      </c>
      <c r="BD254" s="591">
        <v>0</v>
      </c>
      <c r="BE254" s="591">
        <v>20000000</v>
      </c>
      <c r="BF254" s="591">
        <v>0</v>
      </c>
      <c r="BG254" s="591">
        <v>0</v>
      </c>
      <c r="BH254" s="591">
        <v>0</v>
      </c>
      <c r="BI254" s="591">
        <v>0</v>
      </c>
      <c r="BJ254" s="591">
        <v>0</v>
      </c>
      <c r="BK254" s="700">
        <v>14202286</v>
      </c>
      <c r="BL254" s="589">
        <v>14202286</v>
      </c>
      <c r="BM254" s="589">
        <v>0</v>
      </c>
      <c r="BN254" s="589">
        <v>0</v>
      </c>
      <c r="BO254" s="589">
        <v>0</v>
      </c>
      <c r="BP254" s="589">
        <v>0</v>
      </c>
      <c r="BQ254" s="589">
        <v>0</v>
      </c>
      <c r="BR254" s="589">
        <v>0</v>
      </c>
      <c r="BS254" s="589">
        <v>0</v>
      </c>
      <c r="BT254" s="589">
        <v>0</v>
      </c>
      <c r="BU254" s="589">
        <v>0</v>
      </c>
      <c r="BV254" s="588">
        <f t="shared" si="197"/>
        <v>4.1280264123257519E-2</v>
      </c>
      <c r="BW254" s="588">
        <v>341</v>
      </c>
      <c r="BX254" s="623">
        <f t="shared" si="226"/>
        <v>0.25018341892883345</v>
      </c>
      <c r="BY254" s="607">
        <v>224</v>
      </c>
      <c r="BZ254" s="629">
        <v>224</v>
      </c>
      <c r="CA254" s="1017">
        <v>390</v>
      </c>
      <c r="CB254" s="557">
        <f t="shared" si="227"/>
        <v>390</v>
      </c>
      <c r="CC254" s="557">
        <f t="shared" si="228"/>
        <v>114.36950146627566</v>
      </c>
      <c r="CD254" s="622">
        <f t="shared" si="198"/>
        <v>100</v>
      </c>
      <c r="CE254" s="621">
        <f t="shared" si="199"/>
        <v>4.1280264123257512E-2</v>
      </c>
      <c r="CF254" s="605">
        <f t="shared" si="200"/>
        <v>100</v>
      </c>
      <c r="CG254" s="621">
        <f t="shared" si="201"/>
        <v>4.7212032281731479E-2</v>
      </c>
      <c r="CH254" s="553">
        <f t="shared" si="202"/>
        <v>4.1280264123257519E-2</v>
      </c>
      <c r="CI254" s="552">
        <v>341</v>
      </c>
      <c r="CJ254" s="551">
        <f t="shared" si="229"/>
        <v>0.25018341892883345</v>
      </c>
      <c r="CK254" s="874">
        <v>595</v>
      </c>
      <c r="CL254" s="533">
        <f t="shared" si="230"/>
        <v>-254</v>
      </c>
      <c r="CM254" s="619">
        <f t="shared" si="231"/>
        <v>595</v>
      </c>
      <c r="CN254" s="619">
        <f t="shared" si="232"/>
        <v>174.4868035190616</v>
      </c>
      <c r="CO254" s="549">
        <f t="shared" si="203"/>
        <v>100</v>
      </c>
      <c r="CP254" s="619">
        <f t="shared" si="204"/>
        <v>4.1280264123257512E-2</v>
      </c>
      <c r="CQ254" s="619">
        <f t="shared" si="205"/>
        <v>7.2028613352898022E-2</v>
      </c>
      <c r="CR254" s="546">
        <v>20000000</v>
      </c>
      <c r="CS254" s="546">
        <v>20000000</v>
      </c>
      <c r="CT254" s="546">
        <v>0</v>
      </c>
      <c r="CU254" s="546">
        <v>0</v>
      </c>
      <c r="CV254" s="546">
        <v>0</v>
      </c>
      <c r="CW254" s="546">
        <v>0</v>
      </c>
      <c r="CX254" s="546">
        <v>0</v>
      </c>
      <c r="CY254" s="546">
        <v>0</v>
      </c>
      <c r="CZ254" s="618">
        <v>0</v>
      </c>
      <c r="DA254" s="618">
        <v>0</v>
      </c>
      <c r="DB254" s="618">
        <v>0</v>
      </c>
      <c r="DC254" s="618">
        <v>0</v>
      </c>
      <c r="DD254" s="618">
        <v>0</v>
      </c>
      <c r="DE254" s="618">
        <v>0</v>
      </c>
      <c r="DF254" s="618">
        <v>0</v>
      </c>
      <c r="DG254" s="618">
        <v>0</v>
      </c>
      <c r="DH254" s="618">
        <v>0</v>
      </c>
      <c r="DI254" s="618">
        <v>0</v>
      </c>
      <c r="DJ254" s="618">
        <v>0</v>
      </c>
      <c r="DK254" s="1034">
        <f t="shared" si="233"/>
        <v>1677</v>
      </c>
      <c r="DL254" s="543">
        <f t="shared" si="206"/>
        <v>0.16500000000000001</v>
      </c>
      <c r="DM254" s="542">
        <f t="shared" si="207"/>
        <v>123.03741746148202</v>
      </c>
      <c r="DN254" s="594">
        <f t="shared" si="208"/>
        <v>100</v>
      </c>
      <c r="DO254" s="540">
        <f t="shared" si="209"/>
        <v>0.16500000000000001</v>
      </c>
      <c r="DP254" s="597">
        <f>+IF(((DN254*Q254)/100)&lt;Q254, ((DN254*Q254)/100),Q254)</f>
        <v>0.16500000000000001</v>
      </c>
      <c r="DQ254" s="538">
        <f t="shared" si="210"/>
        <v>0.16500000000000001</v>
      </c>
      <c r="DR254" s="617">
        <f t="shared" si="211"/>
        <v>1</v>
      </c>
      <c r="DS254" s="616">
        <f t="shared" si="212"/>
        <v>0</v>
      </c>
      <c r="DT254" s="259">
        <v>39</v>
      </c>
      <c r="DU254" s="260" t="s">
        <v>376</v>
      </c>
      <c r="DV254" s="259"/>
      <c r="DW254" s="260" t="s">
        <v>242</v>
      </c>
      <c r="DX254" s="259"/>
      <c r="DY254" s="259"/>
      <c r="DZ254" s="259"/>
      <c r="EA254" s="987"/>
      <c r="EB254" s="1041" t="s">
        <v>2589</v>
      </c>
      <c r="EC254" s="802">
        <v>20000000</v>
      </c>
      <c r="EE254" s="1047"/>
    </row>
    <row r="255" spans="4:135" s="534" customFormat="1" ht="51" hidden="1" x14ac:dyDescent="0.3">
      <c r="D255" s="783">
        <v>252</v>
      </c>
      <c r="E255" s="799">
        <v>300</v>
      </c>
      <c r="F255" s="787" t="s">
        <v>200</v>
      </c>
      <c r="G255" s="739" t="s">
        <v>3</v>
      </c>
      <c r="H255" s="790" t="s">
        <v>2200</v>
      </c>
      <c r="I255" s="712" t="s">
        <v>782</v>
      </c>
      <c r="J255" s="573" t="s">
        <v>823</v>
      </c>
      <c r="K255" s="573" t="s">
        <v>824</v>
      </c>
      <c r="L255" s="701" t="s">
        <v>1682</v>
      </c>
      <c r="M255" s="571" t="s">
        <v>2032</v>
      </c>
      <c r="N255" s="571">
        <v>0</v>
      </c>
      <c r="O255" s="570">
        <f>+P255</f>
        <v>2000</v>
      </c>
      <c r="P255" s="569">
        <v>2000</v>
      </c>
      <c r="Q255" s="628">
        <v>0.16500000000000001</v>
      </c>
      <c r="R255" s="580">
        <f t="shared" si="190"/>
        <v>4.1250000000000002E-2</v>
      </c>
      <c r="S255" s="627">
        <v>2000</v>
      </c>
      <c r="T255" s="625">
        <f t="shared" si="220"/>
        <v>0.25</v>
      </c>
      <c r="U255" s="992">
        <v>2040</v>
      </c>
      <c r="V255" s="626">
        <f t="shared" si="221"/>
        <v>510</v>
      </c>
      <c r="W255" s="594">
        <f t="shared" si="222"/>
        <v>102</v>
      </c>
      <c r="X255" s="594">
        <f t="shared" si="191"/>
        <v>100</v>
      </c>
      <c r="Y255" s="594">
        <f t="shared" si="215"/>
        <v>4.1250000000000002E-2</v>
      </c>
      <c r="Z255" s="594">
        <f t="shared" si="192"/>
        <v>100</v>
      </c>
      <c r="AA255" s="593">
        <v>5000000</v>
      </c>
      <c r="AB255" s="593">
        <v>5000000</v>
      </c>
      <c r="AC255" s="593">
        <v>0</v>
      </c>
      <c r="AD255" s="593">
        <v>0</v>
      </c>
      <c r="AE255" s="593">
        <v>0</v>
      </c>
      <c r="AF255" s="593">
        <v>0</v>
      </c>
      <c r="AG255" s="593">
        <v>0</v>
      </c>
      <c r="AH255" s="593">
        <v>0</v>
      </c>
      <c r="AI255" s="593">
        <v>5000000</v>
      </c>
      <c r="AJ255" s="593">
        <v>5000000</v>
      </c>
      <c r="AK255" s="593">
        <v>0</v>
      </c>
      <c r="AL255" s="593">
        <v>0</v>
      </c>
      <c r="AM255" s="593">
        <v>0</v>
      </c>
      <c r="AN255" s="593">
        <v>0</v>
      </c>
      <c r="AO255" s="593">
        <v>0</v>
      </c>
      <c r="AP255" s="593">
        <v>0</v>
      </c>
      <c r="AQ255" s="593">
        <v>0</v>
      </c>
      <c r="AR255" s="593">
        <v>0</v>
      </c>
      <c r="AS255" s="593">
        <v>0</v>
      </c>
      <c r="AT255" s="570">
        <f t="shared" si="193"/>
        <v>4.1250000000000002E-2</v>
      </c>
      <c r="AU255" s="571">
        <v>2000</v>
      </c>
      <c r="AV255" s="625">
        <f t="shared" si="223"/>
        <v>0.25</v>
      </c>
      <c r="AW255" s="1012">
        <v>2043</v>
      </c>
      <c r="AX255" s="604">
        <f t="shared" si="224"/>
        <v>510.75</v>
      </c>
      <c r="AY255" s="604">
        <f t="shared" si="225"/>
        <v>102.15</v>
      </c>
      <c r="AZ255" s="604">
        <f t="shared" si="194"/>
        <v>100</v>
      </c>
      <c r="BA255" s="592">
        <f t="shared" si="195"/>
        <v>4.1250000000000002E-2</v>
      </c>
      <c r="BB255" s="592">
        <f t="shared" si="196"/>
        <v>100</v>
      </c>
      <c r="BC255" s="591">
        <v>3000000</v>
      </c>
      <c r="BD255" s="591">
        <v>0</v>
      </c>
      <c r="BE255" s="591">
        <v>3000000</v>
      </c>
      <c r="BF255" s="591">
        <v>0</v>
      </c>
      <c r="BG255" s="591">
        <v>0</v>
      </c>
      <c r="BH255" s="591">
        <v>0</v>
      </c>
      <c r="BI255" s="591">
        <v>0</v>
      </c>
      <c r="BJ255" s="591">
        <v>0</v>
      </c>
      <c r="BK255" s="700">
        <v>12160743</v>
      </c>
      <c r="BL255" s="589">
        <v>12160743</v>
      </c>
      <c r="BM255" s="589">
        <v>0</v>
      </c>
      <c r="BN255" s="589">
        <v>0</v>
      </c>
      <c r="BO255" s="589">
        <v>0</v>
      </c>
      <c r="BP255" s="589">
        <v>0</v>
      </c>
      <c r="BQ255" s="589">
        <v>0</v>
      </c>
      <c r="BR255" s="589">
        <v>0</v>
      </c>
      <c r="BS255" s="589">
        <v>0</v>
      </c>
      <c r="BT255" s="589">
        <v>0</v>
      </c>
      <c r="BU255" s="589">
        <v>0</v>
      </c>
      <c r="BV255" s="588">
        <f t="shared" si="197"/>
        <v>4.1250000000000002E-2</v>
      </c>
      <c r="BW255" s="588">
        <v>2000</v>
      </c>
      <c r="BX255" s="623">
        <f t="shared" si="226"/>
        <v>0.25</v>
      </c>
      <c r="BY255" s="607">
        <v>0</v>
      </c>
      <c r="BZ255" s="629">
        <v>0</v>
      </c>
      <c r="CA255" s="1017">
        <v>2000</v>
      </c>
      <c r="CB255" s="557">
        <f t="shared" si="227"/>
        <v>500</v>
      </c>
      <c r="CC255" s="557">
        <f t="shared" si="228"/>
        <v>100</v>
      </c>
      <c r="CD255" s="622">
        <f t="shared" si="198"/>
        <v>100</v>
      </c>
      <c r="CE255" s="621">
        <f t="shared" si="199"/>
        <v>4.1250000000000002E-2</v>
      </c>
      <c r="CF255" s="605">
        <f t="shared" si="200"/>
        <v>100</v>
      </c>
      <c r="CG255" s="621">
        <f t="shared" si="201"/>
        <v>4.1250000000000002E-2</v>
      </c>
      <c r="CH255" s="553">
        <f t="shared" si="202"/>
        <v>4.1250000000000002E-2</v>
      </c>
      <c r="CI255" s="552">
        <v>2000</v>
      </c>
      <c r="CJ255" s="551">
        <f t="shared" si="229"/>
        <v>0.25</v>
      </c>
      <c r="CK255" s="874">
        <v>2046</v>
      </c>
      <c r="CL255" s="533">
        <f t="shared" si="230"/>
        <v>-46</v>
      </c>
      <c r="CM255" s="619">
        <f t="shared" si="231"/>
        <v>511.5</v>
      </c>
      <c r="CN255" s="619">
        <f t="shared" si="232"/>
        <v>102.3</v>
      </c>
      <c r="CO255" s="619">
        <f t="shared" si="203"/>
        <v>100</v>
      </c>
      <c r="CP255" s="619">
        <f t="shared" si="204"/>
        <v>4.1250000000000002E-2</v>
      </c>
      <c r="CQ255" s="619">
        <f t="shared" si="205"/>
        <v>4.219875E-2</v>
      </c>
      <c r="CR255" s="546">
        <v>5000000</v>
      </c>
      <c r="CS255" s="546">
        <v>5000000</v>
      </c>
      <c r="CT255" s="546">
        <v>0</v>
      </c>
      <c r="CU255" s="546">
        <v>0</v>
      </c>
      <c r="CV255" s="546">
        <v>0</v>
      </c>
      <c r="CW255" s="546">
        <v>0</v>
      </c>
      <c r="CX255" s="546">
        <v>0</v>
      </c>
      <c r="CY255" s="546">
        <v>0</v>
      </c>
      <c r="CZ255" s="618">
        <v>0</v>
      </c>
      <c r="DA255" s="618">
        <v>0</v>
      </c>
      <c r="DB255" s="618">
        <v>0</v>
      </c>
      <c r="DC255" s="618">
        <v>0</v>
      </c>
      <c r="DD255" s="618">
        <v>0</v>
      </c>
      <c r="DE255" s="618">
        <v>0</v>
      </c>
      <c r="DF255" s="618">
        <v>0</v>
      </c>
      <c r="DG255" s="618">
        <v>0</v>
      </c>
      <c r="DH255" s="618">
        <v>0</v>
      </c>
      <c r="DI255" s="618">
        <v>0</v>
      </c>
      <c r="DJ255" s="618">
        <v>0</v>
      </c>
      <c r="DK255" s="1034">
        <f t="shared" si="233"/>
        <v>2032.25</v>
      </c>
      <c r="DL255" s="543">
        <f t="shared" si="206"/>
        <v>0.16500000000000001</v>
      </c>
      <c r="DM255" s="542">
        <f t="shared" si="207"/>
        <v>101.6125</v>
      </c>
      <c r="DN255" s="594">
        <f t="shared" si="208"/>
        <v>100</v>
      </c>
      <c r="DO255" s="540">
        <f t="shared" si="209"/>
        <v>0.16500000000000001</v>
      </c>
      <c r="DP255" s="597">
        <f>+IF(M255="M",DO255,0)</f>
        <v>0.16500000000000001</v>
      </c>
      <c r="DQ255" s="538">
        <f t="shared" si="210"/>
        <v>0.16500000000000001</v>
      </c>
      <c r="DR255" s="617">
        <f t="shared" si="211"/>
        <v>1</v>
      </c>
      <c r="DS255" s="616">
        <f t="shared" si="212"/>
        <v>0</v>
      </c>
      <c r="DT255" s="259">
        <v>39</v>
      </c>
      <c r="DU255" s="260" t="s">
        <v>376</v>
      </c>
      <c r="DV255" s="259"/>
      <c r="DW255" s="260" t="s">
        <v>242</v>
      </c>
      <c r="DX255" s="259"/>
      <c r="DY255" s="259"/>
      <c r="DZ255" s="259"/>
      <c r="EA255" s="987"/>
      <c r="EB255" s="1041" t="s">
        <v>2590</v>
      </c>
      <c r="EC255" s="802">
        <v>4000000</v>
      </c>
      <c r="EE255" s="1047"/>
    </row>
    <row r="256" spans="4:135" s="534" customFormat="1" ht="120" hidden="1" x14ac:dyDescent="0.3">
      <c r="D256" s="783">
        <v>253</v>
      </c>
      <c r="E256" s="799">
        <v>301</v>
      </c>
      <c r="F256" s="787" t="s">
        <v>200</v>
      </c>
      <c r="G256" s="739" t="s">
        <v>3</v>
      </c>
      <c r="H256" s="790" t="s">
        <v>2200</v>
      </c>
      <c r="I256" s="712" t="s">
        <v>782</v>
      </c>
      <c r="J256" s="573" t="s">
        <v>825</v>
      </c>
      <c r="K256" s="573" t="s">
        <v>826</v>
      </c>
      <c r="L256" s="701" t="s">
        <v>2201</v>
      </c>
      <c r="M256" s="571" t="s">
        <v>2032</v>
      </c>
      <c r="N256" s="571">
        <v>0</v>
      </c>
      <c r="O256" s="570">
        <f>+P256</f>
        <v>100</v>
      </c>
      <c r="P256" s="569">
        <v>100</v>
      </c>
      <c r="Q256" s="628">
        <v>0.16500000000000001</v>
      </c>
      <c r="R256" s="580">
        <f t="shared" si="190"/>
        <v>4.1250000000000002E-2</v>
      </c>
      <c r="S256" s="627">
        <v>100</v>
      </c>
      <c r="T256" s="625">
        <f t="shared" si="220"/>
        <v>0.25</v>
      </c>
      <c r="U256" s="992">
        <v>100</v>
      </c>
      <c r="V256" s="626">
        <f t="shared" si="221"/>
        <v>25</v>
      </c>
      <c r="W256" s="594">
        <f t="shared" si="222"/>
        <v>100</v>
      </c>
      <c r="X256" s="594">
        <f t="shared" si="191"/>
        <v>100</v>
      </c>
      <c r="Y256" s="594">
        <f t="shared" si="215"/>
        <v>4.1250000000000002E-2</v>
      </c>
      <c r="Z256" s="594">
        <f t="shared" si="192"/>
        <v>100</v>
      </c>
      <c r="AA256" s="593">
        <v>10000000</v>
      </c>
      <c r="AB256" s="593">
        <v>10000000</v>
      </c>
      <c r="AC256" s="593">
        <v>0</v>
      </c>
      <c r="AD256" s="593">
        <v>0</v>
      </c>
      <c r="AE256" s="593">
        <v>0</v>
      </c>
      <c r="AF256" s="593">
        <v>0</v>
      </c>
      <c r="AG256" s="593">
        <v>0</v>
      </c>
      <c r="AH256" s="593">
        <v>0</v>
      </c>
      <c r="AI256" s="593">
        <v>10000000</v>
      </c>
      <c r="AJ256" s="593">
        <v>10000000</v>
      </c>
      <c r="AK256" s="593">
        <v>0</v>
      </c>
      <c r="AL256" s="593">
        <v>0</v>
      </c>
      <c r="AM256" s="593">
        <v>0</v>
      </c>
      <c r="AN256" s="593">
        <v>0</v>
      </c>
      <c r="AO256" s="593">
        <v>0</v>
      </c>
      <c r="AP256" s="593">
        <v>0</v>
      </c>
      <c r="AQ256" s="593">
        <v>0</v>
      </c>
      <c r="AR256" s="593">
        <v>0</v>
      </c>
      <c r="AS256" s="593">
        <v>0</v>
      </c>
      <c r="AT256" s="570">
        <f t="shared" si="193"/>
        <v>4.1250000000000002E-2</v>
      </c>
      <c r="AU256" s="571">
        <v>100</v>
      </c>
      <c r="AV256" s="625">
        <f t="shared" si="223"/>
        <v>0.25</v>
      </c>
      <c r="AW256" s="1008">
        <v>100</v>
      </c>
      <c r="AX256" s="604">
        <f t="shared" si="224"/>
        <v>25</v>
      </c>
      <c r="AY256" s="604">
        <f t="shared" si="225"/>
        <v>100</v>
      </c>
      <c r="AZ256" s="604">
        <f t="shared" si="194"/>
        <v>100</v>
      </c>
      <c r="BA256" s="592">
        <f t="shared" si="195"/>
        <v>4.1250000000000002E-2</v>
      </c>
      <c r="BB256" s="592">
        <f t="shared" si="196"/>
        <v>100</v>
      </c>
      <c r="BC256" s="591">
        <v>20000000</v>
      </c>
      <c r="BD256" s="591">
        <v>0</v>
      </c>
      <c r="BE256" s="591">
        <v>20000000</v>
      </c>
      <c r="BF256" s="591">
        <v>0</v>
      </c>
      <c r="BG256" s="591">
        <v>0</v>
      </c>
      <c r="BH256" s="591">
        <v>0</v>
      </c>
      <c r="BI256" s="591">
        <v>0</v>
      </c>
      <c r="BJ256" s="591">
        <v>0</v>
      </c>
      <c r="BK256" s="700">
        <v>12160743</v>
      </c>
      <c r="BL256" s="589">
        <v>12160743</v>
      </c>
      <c r="BM256" s="589">
        <v>0</v>
      </c>
      <c r="BN256" s="589">
        <v>0</v>
      </c>
      <c r="BO256" s="589">
        <v>0</v>
      </c>
      <c r="BP256" s="589">
        <v>0</v>
      </c>
      <c r="BQ256" s="589">
        <v>0</v>
      </c>
      <c r="BR256" s="589">
        <v>0</v>
      </c>
      <c r="BS256" s="589">
        <v>0</v>
      </c>
      <c r="BT256" s="589">
        <v>0</v>
      </c>
      <c r="BU256" s="589">
        <v>0</v>
      </c>
      <c r="BV256" s="588">
        <f t="shared" si="197"/>
        <v>4.1250000000000002E-2</v>
      </c>
      <c r="BW256" s="588">
        <v>100</v>
      </c>
      <c r="BX256" s="623">
        <f t="shared" si="226"/>
        <v>0.25</v>
      </c>
      <c r="BY256" s="607">
        <v>0</v>
      </c>
      <c r="BZ256" s="629">
        <v>100</v>
      </c>
      <c r="CA256" s="1017">
        <v>100</v>
      </c>
      <c r="CB256" s="557">
        <f t="shared" si="227"/>
        <v>25</v>
      </c>
      <c r="CC256" s="557">
        <f t="shared" si="228"/>
        <v>100</v>
      </c>
      <c r="CD256" s="622">
        <f t="shared" si="198"/>
        <v>100</v>
      </c>
      <c r="CE256" s="621">
        <f t="shared" si="199"/>
        <v>4.1250000000000002E-2</v>
      </c>
      <c r="CF256" s="605">
        <f t="shared" si="200"/>
        <v>100</v>
      </c>
      <c r="CG256" s="621">
        <f t="shared" si="201"/>
        <v>4.1250000000000002E-2</v>
      </c>
      <c r="CH256" s="553">
        <f t="shared" si="202"/>
        <v>4.1250000000000002E-2</v>
      </c>
      <c r="CI256" s="552">
        <v>100</v>
      </c>
      <c r="CJ256" s="551">
        <f t="shared" si="229"/>
        <v>0.25</v>
      </c>
      <c r="CK256" s="874">
        <v>0</v>
      </c>
      <c r="CL256" s="533">
        <f t="shared" si="230"/>
        <v>100</v>
      </c>
      <c r="CM256" s="619">
        <f t="shared" si="231"/>
        <v>0</v>
      </c>
      <c r="CN256" s="619">
        <f t="shared" si="232"/>
        <v>0</v>
      </c>
      <c r="CO256" s="619">
        <f t="shared" si="203"/>
        <v>0</v>
      </c>
      <c r="CP256" s="619">
        <f t="shared" si="204"/>
        <v>0</v>
      </c>
      <c r="CQ256" s="619">
        <f t="shared" si="205"/>
        <v>0</v>
      </c>
      <c r="CR256" s="546">
        <v>20000000</v>
      </c>
      <c r="CS256" s="546">
        <v>20000000</v>
      </c>
      <c r="CT256" s="546">
        <v>0</v>
      </c>
      <c r="CU256" s="546">
        <v>0</v>
      </c>
      <c r="CV256" s="546">
        <v>0</v>
      </c>
      <c r="CW256" s="546">
        <v>0</v>
      </c>
      <c r="CX256" s="546">
        <v>0</v>
      </c>
      <c r="CY256" s="546">
        <v>0</v>
      </c>
      <c r="CZ256" s="618">
        <v>0</v>
      </c>
      <c r="DA256" s="618">
        <v>0</v>
      </c>
      <c r="DB256" s="618">
        <v>0</v>
      </c>
      <c r="DC256" s="618">
        <v>0</v>
      </c>
      <c r="DD256" s="618">
        <v>0</v>
      </c>
      <c r="DE256" s="618">
        <v>0</v>
      </c>
      <c r="DF256" s="618">
        <v>0</v>
      </c>
      <c r="DG256" s="618">
        <v>0</v>
      </c>
      <c r="DH256" s="618">
        <v>0</v>
      </c>
      <c r="DI256" s="618">
        <v>0</v>
      </c>
      <c r="DJ256" s="618">
        <v>0</v>
      </c>
      <c r="DK256" s="1034">
        <f t="shared" si="233"/>
        <v>75</v>
      </c>
      <c r="DL256" s="543">
        <f t="shared" si="206"/>
        <v>0.16500000000000001</v>
      </c>
      <c r="DM256" s="542">
        <f t="shared" si="207"/>
        <v>75</v>
      </c>
      <c r="DN256" s="594">
        <f t="shared" si="208"/>
        <v>75</v>
      </c>
      <c r="DO256" s="540">
        <f t="shared" si="209"/>
        <v>0.12375</v>
      </c>
      <c r="DP256" s="597">
        <f>+IF(M256="M",DO256,0)</f>
        <v>0.12375</v>
      </c>
      <c r="DQ256" s="538">
        <f t="shared" si="210"/>
        <v>0.12375</v>
      </c>
      <c r="DR256" s="617">
        <f t="shared" si="211"/>
        <v>1</v>
      </c>
      <c r="DS256" s="616">
        <f t="shared" si="212"/>
        <v>0</v>
      </c>
      <c r="DT256" s="259">
        <v>39</v>
      </c>
      <c r="DU256" s="260" t="s">
        <v>376</v>
      </c>
      <c r="DV256" s="259">
        <v>74</v>
      </c>
      <c r="DW256" s="260" t="s">
        <v>442</v>
      </c>
      <c r="DX256" s="259">
        <v>118</v>
      </c>
      <c r="DY256" s="259"/>
      <c r="DZ256" s="259"/>
      <c r="EA256" s="987"/>
      <c r="EB256" s="1041" t="s">
        <v>2591</v>
      </c>
      <c r="EC256" s="802">
        <v>20000000</v>
      </c>
      <c r="EE256" s="1047"/>
    </row>
    <row r="257" spans="4:135" s="534" customFormat="1" ht="76.5" hidden="1" x14ac:dyDescent="0.3">
      <c r="D257" s="783">
        <v>254</v>
      </c>
      <c r="E257" s="799">
        <v>302</v>
      </c>
      <c r="F257" s="787" t="s">
        <v>200</v>
      </c>
      <c r="G257" s="739" t="s">
        <v>3</v>
      </c>
      <c r="H257" s="790" t="s">
        <v>2200</v>
      </c>
      <c r="I257" s="712" t="s">
        <v>782</v>
      </c>
      <c r="J257" s="573" t="s">
        <v>827</v>
      </c>
      <c r="K257" s="573" t="s">
        <v>828</v>
      </c>
      <c r="L257" s="702" t="s">
        <v>1682</v>
      </c>
      <c r="M257" s="571" t="s">
        <v>2017</v>
      </c>
      <c r="N257" s="571">
        <v>0</v>
      </c>
      <c r="O257" s="570">
        <f>+N257+P257</f>
        <v>1500</v>
      </c>
      <c r="P257" s="569">
        <v>1500</v>
      </c>
      <c r="Q257" s="628">
        <v>0.16500000000000001</v>
      </c>
      <c r="R257" s="580">
        <f t="shared" si="190"/>
        <v>4.1250000000000002E-2</v>
      </c>
      <c r="S257" s="627">
        <v>375</v>
      </c>
      <c r="T257" s="625">
        <f t="shared" si="220"/>
        <v>0.25</v>
      </c>
      <c r="U257" s="992">
        <v>752</v>
      </c>
      <c r="V257" s="626">
        <f t="shared" si="221"/>
        <v>752</v>
      </c>
      <c r="W257" s="594">
        <f t="shared" si="222"/>
        <v>200.53333333333333</v>
      </c>
      <c r="X257" s="594">
        <f t="shared" si="191"/>
        <v>100</v>
      </c>
      <c r="Y257" s="594">
        <f t="shared" si="215"/>
        <v>4.1250000000000002E-2</v>
      </c>
      <c r="Z257" s="594">
        <f t="shared" si="192"/>
        <v>100</v>
      </c>
      <c r="AA257" s="593">
        <v>10000000</v>
      </c>
      <c r="AB257" s="593">
        <v>10000000</v>
      </c>
      <c r="AC257" s="593">
        <v>0</v>
      </c>
      <c r="AD257" s="593">
        <v>0</v>
      </c>
      <c r="AE257" s="593">
        <v>0</v>
      </c>
      <c r="AF257" s="593">
        <v>0</v>
      </c>
      <c r="AG257" s="593">
        <v>0</v>
      </c>
      <c r="AH257" s="593">
        <v>0</v>
      </c>
      <c r="AI257" s="593">
        <v>10000000</v>
      </c>
      <c r="AJ257" s="593">
        <v>10000000</v>
      </c>
      <c r="AK257" s="593">
        <v>0</v>
      </c>
      <c r="AL257" s="593">
        <v>0</v>
      </c>
      <c r="AM257" s="593">
        <v>0</v>
      </c>
      <c r="AN257" s="593">
        <v>0</v>
      </c>
      <c r="AO257" s="593">
        <v>0</v>
      </c>
      <c r="AP257" s="593">
        <v>0</v>
      </c>
      <c r="AQ257" s="593">
        <v>0</v>
      </c>
      <c r="AR257" s="593">
        <v>0</v>
      </c>
      <c r="AS257" s="593">
        <v>0</v>
      </c>
      <c r="AT257" s="570">
        <f t="shared" si="193"/>
        <v>4.1250000000000002E-2</v>
      </c>
      <c r="AU257" s="571">
        <v>375</v>
      </c>
      <c r="AV257" s="625">
        <f t="shared" si="223"/>
        <v>0.25</v>
      </c>
      <c r="AW257" s="1012">
        <v>418</v>
      </c>
      <c r="AX257" s="604">
        <f t="shared" si="224"/>
        <v>418</v>
      </c>
      <c r="AY257" s="604">
        <f t="shared" si="225"/>
        <v>111.46666666666667</v>
      </c>
      <c r="AZ257" s="604">
        <f t="shared" si="194"/>
        <v>100</v>
      </c>
      <c r="BA257" s="592">
        <f t="shared" si="195"/>
        <v>4.1250000000000002E-2</v>
      </c>
      <c r="BB257" s="592">
        <f t="shared" si="196"/>
        <v>100</v>
      </c>
      <c r="BC257" s="591">
        <v>20000000</v>
      </c>
      <c r="BD257" s="591">
        <v>0</v>
      </c>
      <c r="BE257" s="591">
        <v>20000000</v>
      </c>
      <c r="BF257" s="591">
        <v>0</v>
      </c>
      <c r="BG257" s="591">
        <v>0</v>
      </c>
      <c r="BH257" s="591">
        <v>0</v>
      </c>
      <c r="BI257" s="591">
        <v>0</v>
      </c>
      <c r="BJ257" s="591">
        <v>0</v>
      </c>
      <c r="BK257" s="700">
        <v>14202286</v>
      </c>
      <c r="BL257" s="589">
        <v>14202286</v>
      </c>
      <c r="BM257" s="589">
        <v>0</v>
      </c>
      <c r="BN257" s="589">
        <v>0</v>
      </c>
      <c r="BO257" s="589">
        <v>0</v>
      </c>
      <c r="BP257" s="589">
        <v>0</v>
      </c>
      <c r="BQ257" s="589">
        <v>0</v>
      </c>
      <c r="BR257" s="589">
        <v>0</v>
      </c>
      <c r="BS257" s="589">
        <v>0</v>
      </c>
      <c r="BT257" s="589">
        <v>0</v>
      </c>
      <c r="BU257" s="589">
        <v>0</v>
      </c>
      <c r="BV257" s="588">
        <f t="shared" si="197"/>
        <v>4.1250000000000002E-2</v>
      </c>
      <c r="BW257" s="588">
        <v>375</v>
      </c>
      <c r="BX257" s="623">
        <f t="shared" si="226"/>
        <v>0.25</v>
      </c>
      <c r="BY257" s="607">
        <v>527</v>
      </c>
      <c r="BZ257" s="629">
        <v>527</v>
      </c>
      <c r="CA257" s="1017">
        <v>527</v>
      </c>
      <c r="CB257" s="557">
        <f t="shared" si="227"/>
        <v>527</v>
      </c>
      <c r="CC257" s="557">
        <f t="shared" si="228"/>
        <v>140.53333333333333</v>
      </c>
      <c r="CD257" s="622">
        <f t="shared" si="198"/>
        <v>100</v>
      </c>
      <c r="CE257" s="621">
        <f t="shared" si="199"/>
        <v>4.1250000000000002E-2</v>
      </c>
      <c r="CF257" s="605">
        <f t="shared" si="200"/>
        <v>100</v>
      </c>
      <c r="CG257" s="621">
        <f t="shared" si="201"/>
        <v>5.7970000000000008E-2</v>
      </c>
      <c r="CH257" s="553">
        <f t="shared" si="202"/>
        <v>4.1250000000000002E-2</v>
      </c>
      <c r="CI257" s="552">
        <v>375</v>
      </c>
      <c r="CJ257" s="551">
        <f t="shared" si="229"/>
        <v>0.25</v>
      </c>
      <c r="CK257" s="874">
        <v>695</v>
      </c>
      <c r="CL257" s="533">
        <f t="shared" si="230"/>
        <v>-320</v>
      </c>
      <c r="CM257" s="619">
        <f t="shared" si="231"/>
        <v>695</v>
      </c>
      <c r="CN257" s="619">
        <f t="shared" si="232"/>
        <v>185.33333333333334</v>
      </c>
      <c r="CO257" s="549">
        <f t="shared" si="203"/>
        <v>100</v>
      </c>
      <c r="CP257" s="619">
        <f t="shared" si="204"/>
        <v>4.1250000000000002E-2</v>
      </c>
      <c r="CQ257" s="619">
        <f t="shared" si="205"/>
        <v>7.6450000000000004E-2</v>
      </c>
      <c r="CR257" s="546">
        <v>20000000</v>
      </c>
      <c r="CS257" s="546">
        <v>20000000</v>
      </c>
      <c r="CT257" s="546">
        <v>0</v>
      </c>
      <c r="CU257" s="546">
        <v>0</v>
      </c>
      <c r="CV257" s="546">
        <v>0</v>
      </c>
      <c r="CW257" s="546">
        <v>0</v>
      </c>
      <c r="CX257" s="546">
        <v>0</v>
      </c>
      <c r="CY257" s="546">
        <v>0</v>
      </c>
      <c r="CZ257" s="618">
        <v>0</v>
      </c>
      <c r="DA257" s="618">
        <v>0</v>
      </c>
      <c r="DB257" s="618">
        <v>0</v>
      </c>
      <c r="DC257" s="618">
        <v>0</v>
      </c>
      <c r="DD257" s="618">
        <v>0</v>
      </c>
      <c r="DE257" s="618">
        <v>0</v>
      </c>
      <c r="DF257" s="618">
        <v>0</v>
      </c>
      <c r="DG257" s="618">
        <v>0</v>
      </c>
      <c r="DH257" s="618">
        <v>0</v>
      </c>
      <c r="DI257" s="618">
        <v>0</v>
      </c>
      <c r="DJ257" s="618">
        <v>0</v>
      </c>
      <c r="DK257" s="1034">
        <f t="shared" si="233"/>
        <v>2392</v>
      </c>
      <c r="DL257" s="543">
        <f t="shared" si="206"/>
        <v>0.16500000000000001</v>
      </c>
      <c r="DM257" s="542">
        <f t="shared" si="207"/>
        <v>159.46666666666667</v>
      </c>
      <c r="DN257" s="594">
        <f t="shared" si="208"/>
        <v>100</v>
      </c>
      <c r="DO257" s="540">
        <f t="shared" si="209"/>
        <v>0.16500000000000001</v>
      </c>
      <c r="DP257" s="597">
        <f>+IF(((DN257*Q257)/100)&lt;Q257, ((DN257*Q257)/100),Q257)</f>
        <v>0.16500000000000001</v>
      </c>
      <c r="DQ257" s="538">
        <f t="shared" si="210"/>
        <v>0.16500000000000001</v>
      </c>
      <c r="DR257" s="617">
        <f t="shared" si="211"/>
        <v>1</v>
      </c>
      <c r="DS257" s="616">
        <f t="shared" si="212"/>
        <v>0</v>
      </c>
      <c r="DT257" s="259">
        <v>74</v>
      </c>
      <c r="DU257" s="260" t="s">
        <v>442</v>
      </c>
      <c r="DV257" s="259"/>
      <c r="DW257" s="260" t="s">
        <v>242</v>
      </c>
      <c r="DX257" s="259"/>
      <c r="DY257" s="259"/>
      <c r="DZ257" s="259"/>
      <c r="EA257" s="987"/>
      <c r="EB257" s="1041" t="s">
        <v>2592</v>
      </c>
      <c r="EC257" s="802">
        <v>20000000</v>
      </c>
      <c r="EE257" s="1047"/>
    </row>
    <row r="258" spans="4:135" s="534" customFormat="1" ht="76.5" hidden="1" x14ac:dyDescent="0.3">
      <c r="D258" s="783">
        <v>255</v>
      </c>
      <c r="E258" s="799">
        <v>303</v>
      </c>
      <c r="F258" s="787" t="s">
        <v>200</v>
      </c>
      <c r="G258" s="739" t="s">
        <v>3</v>
      </c>
      <c r="H258" s="790" t="s">
        <v>2200</v>
      </c>
      <c r="I258" s="712" t="s">
        <v>782</v>
      </c>
      <c r="J258" s="573" t="s">
        <v>829</v>
      </c>
      <c r="K258" s="573" t="s">
        <v>830</v>
      </c>
      <c r="L258" s="702" t="s">
        <v>1682</v>
      </c>
      <c r="M258" s="571" t="s">
        <v>2032</v>
      </c>
      <c r="N258" s="571">
        <v>0</v>
      </c>
      <c r="O258" s="570">
        <f>+P258</f>
        <v>2329</v>
      </c>
      <c r="P258" s="569">
        <v>2329</v>
      </c>
      <c r="Q258" s="628">
        <v>0.16500000000000001</v>
      </c>
      <c r="R258" s="580">
        <f t="shared" si="190"/>
        <v>4.1250000000000002E-2</v>
      </c>
      <c r="S258" s="627">
        <v>2329</v>
      </c>
      <c r="T258" s="625">
        <f t="shared" si="220"/>
        <v>0.25</v>
      </c>
      <c r="U258" s="992">
        <v>2362</v>
      </c>
      <c r="V258" s="626">
        <f t="shared" si="221"/>
        <v>590.5</v>
      </c>
      <c r="W258" s="594">
        <f t="shared" si="222"/>
        <v>101.41691713181623</v>
      </c>
      <c r="X258" s="594">
        <f t="shared" si="191"/>
        <v>100</v>
      </c>
      <c r="Y258" s="594">
        <f t="shared" si="215"/>
        <v>4.1250000000000002E-2</v>
      </c>
      <c r="Z258" s="594">
        <f t="shared" si="192"/>
        <v>100</v>
      </c>
      <c r="AA258" s="593">
        <v>5000000</v>
      </c>
      <c r="AB258" s="593">
        <v>5000000</v>
      </c>
      <c r="AC258" s="593">
        <v>0</v>
      </c>
      <c r="AD258" s="593">
        <v>0</v>
      </c>
      <c r="AE258" s="593">
        <v>0</v>
      </c>
      <c r="AF258" s="593">
        <v>0</v>
      </c>
      <c r="AG258" s="593">
        <v>0</v>
      </c>
      <c r="AH258" s="593">
        <v>0</v>
      </c>
      <c r="AI258" s="593">
        <v>5000000</v>
      </c>
      <c r="AJ258" s="593">
        <v>5000000</v>
      </c>
      <c r="AK258" s="593">
        <v>0</v>
      </c>
      <c r="AL258" s="593">
        <v>0</v>
      </c>
      <c r="AM258" s="593">
        <v>0</v>
      </c>
      <c r="AN258" s="593">
        <v>0</v>
      </c>
      <c r="AO258" s="593">
        <v>0</v>
      </c>
      <c r="AP258" s="593">
        <v>0</v>
      </c>
      <c r="AQ258" s="593">
        <v>0</v>
      </c>
      <c r="AR258" s="593">
        <v>0</v>
      </c>
      <c r="AS258" s="593">
        <v>0</v>
      </c>
      <c r="AT258" s="570">
        <f t="shared" si="193"/>
        <v>4.1250000000000002E-2</v>
      </c>
      <c r="AU258" s="571">
        <v>2329</v>
      </c>
      <c r="AV258" s="625">
        <f t="shared" si="223"/>
        <v>0.25</v>
      </c>
      <c r="AW258" s="1012">
        <v>2465</v>
      </c>
      <c r="AX258" s="604">
        <f t="shared" si="224"/>
        <v>616.25</v>
      </c>
      <c r="AY258" s="604">
        <f t="shared" si="225"/>
        <v>105.83941605839416</v>
      </c>
      <c r="AZ258" s="604">
        <f t="shared" si="194"/>
        <v>100</v>
      </c>
      <c r="BA258" s="592">
        <f t="shared" si="195"/>
        <v>4.1250000000000002E-2</v>
      </c>
      <c r="BB258" s="592">
        <f t="shared" si="196"/>
        <v>100</v>
      </c>
      <c r="BC258" s="591">
        <v>3000000</v>
      </c>
      <c r="BD258" s="591">
        <v>0</v>
      </c>
      <c r="BE258" s="591">
        <v>3000000</v>
      </c>
      <c r="BF258" s="591">
        <v>0</v>
      </c>
      <c r="BG258" s="591">
        <v>0</v>
      </c>
      <c r="BH258" s="591">
        <v>0</v>
      </c>
      <c r="BI258" s="591">
        <v>0</v>
      </c>
      <c r="BJ258" s="591">
        <v>0</v>
      </c>
      <c r="BK258" s="700">
        <v>12160743</v>
      </c>
      <c r="BL258" s="589">
        <v>12160743</v>
      </c>
      <c r="BM258" s="589">
        <v>0</v>
      </c>
      <c r="BN258" s="589">
        <v>0</v>
      </c>
      <c r="BO258" s="589">
        <v>0</v>
      </c>
      <c r="BP258" s="589">
        <v>0</v>
      </c>
      <c r="BQ258" s="589">
        <v>0</v>
      </c>
      <c r="BR258" s="589">
        <v>0</v>
      </c>
      <c r="BS258" s="589">
        <v>0</v>
      </c>
      <c r="BT258" s="589">
        <v>0</v>
      </c>
      <c r="BU258" s="589">
        <v>0</v>
      </c>
      <c r="BV258" s="588">
        <f t="shared" si="197"/>
        <v>4.1250000000000002E-2</v>
      </c>
      <c r="BW258" s="588">
        <v>2329</v>
      </c>
      <c r="BX258" s="623">
        <f t="shared" si="226"/>
        <v>0.25</v>
      </c>
      <c r="BY258" s="607">
        <v>2331</v>
      </c>
      <c r="BZ258" s="629">
        <v>2331</v>
      </c>
      <c r="CA258" s="1017">
        <v>2331</v>
      </c>
      <c r="CB258" s="557">
        <f t="shared" si="227"/>
        <v>582.75</v>
      </c>
      <c r="CC258" s="557">
        <f t="shared" si="228"/>
        <v>100.08587376556461</v>
      </c>
      <c r="CD258" s="622">
        <f t="shared" si="198"/>
        <v>100</v>
      </c>
      <c r="CE258" s="621">
        <f t="shared" si="199"/>
        <v>4.1250000000000002E-2</v>
      </c>
      <c r="CF258" s="605">
        <f t="shared" si="200"/>
        <v>100</v>
      </c>
      <c r="CG258" s="621">
        <f t="shared" si="201"/>
        <v>4.1285422928295408E-2</v>
      </c>
      <c r="CH258" s="553">
        <f t="shared" si="202"/>
        <v>4.1250000000000002E-2</v>
      </c>
      <c r="CI258" s="552">
        <v>2329</v>
      </c>
      <c r="CJ258" s="551">
        <f t="shared" si="229"/>
        <v>0.25</v>
      </c>
      <c r="CK258" s="874">
        <v>2498</v>
      </c>
      <c r="CL258" s="533">
        <f t="shared" si="230"/>
        <v>-169</v>
      </c>
      <c r="CM258" s="619">
        <f t="shared" si="231"/>
        <v>624.5</v>
      </c>
      <c r="CN258" s="619">
        <f t="shared" si="232"/>
        <v>107.25633319021038</v>
      </c>
      <c r="CO258" s="619">
        <f t="shared" si="203"/>
        <v>100</v>
      </c>
      <c r="CP258" s="619">
        <f t="shared" si="204"/>
        <v>4.1250000000000002E-2</v>
      </c>
      <c r="CQ258" s="619">
        <f t="shared" si="205"/>
        <v>4.4243237440961786E-2</v>
      </c>
      <c r="CR258" s="546">
        <v>3000000</v>
      </c>
      <c r="CS258" s="546">
        <v>3000000</v>
      </c>
      <c r="CT258" s="546">
        <v>0</v>
      </c>
      <c r="CU258" s="546">
        <v>0</v>
      </c>
      <c r="CV258" s="546">
        <v>0</v>
      </c>
      <c r="CW258" s="546">
        <v>0</v>
      </c>
      <c r="CX258" s="546">
        <v>0</v>
      </c>
      <c r="CY258" s="546">
        <v>0</v>
      </c>
      <c r="CZ258" s="618">
        <v>0</v>
      </c>
      <c r="DA258" s="618">
        <v>0</v>
      </c>
      <c r="DB258" s="618">
        <v>0</v>
      </c>
      <c r="DC258" s="618">
        <v>0</v>
      </c>
      <c r="DD258" s="618">
        <v>0</v>
      </c>
      <c r="DE258" s="618">
        <v>0</v>
      </c>
      <c r="DF258" s="618">
        <v>0</v>
      </c>
      <c r="DG258" s="618">
        <v>0</v>
      </c>
      <c r="DH258" s="618">
        <v>0</v>
      </c>
      <c r="DI258" s="618">
        <v>0</v>
      </c>
      <c r="DJ258" s="618">
        <v>0</v>
      </c>
      <c r="DK258" s="1034">
        <f t="shared" si="233"/>
        <v>2414</v>
      </c>
      <c r="DL258" s="543">
        <f t="shared" si="206"/>
        <v>0.16500000000000001</v>
      </c>
      <c r="DM258" s="542">
        <f t="shared" si="207"/>
        <v>103.64963503649635</v>
      </c>
      <c r="DN258" s="594">
        <f t="shared" si="208"/>
        <v>100</v>
      </c>
      <c r="DO258" s="540">
        <f t="shared" si="209"/>
        <v>0.16500000000000001</v>
      </c>
      <c r="DP258" s="597">
        <f>+IF(M258="M",DO258,0)</f>
        <v>0.16500000000000001</v>
      </c>
      <c r="DQ258" s="538">
        <f t="shared" si="210"/>
        <v>0.16500000000000001</v>
      </c>
      <c r="DR258" s="617">
        <f t="shared" si="211"/>
        <v>1</v>
      </c>
      <c r="DS258" s="616">
        <f t="shared" si="212"/>
        <v>0</v>
      </c>
      <c r="DT258" s="259">
        <v>74</v>
      </c>
      <c r="DU258" s="260" t="s">
        <v>442</v>
      </c>
      <c r="DV258" s="259"/>
      <c r="DW258" s="260" t="s">
        <v>242</v>
      </c>
      <c r="DX258" s="259"/>
      <c r="DY258" s="259"/>
      <c r="DZ258" s="259"/>
      <c r="EA258" s="987"/>
      <c r="EB258" s="1041" t="s">
        <v>2593</v>
      </c>
      <c r="EC258" s="802">
        <v>3000000</v>
      </c>
      <c r="EE258" s="1047"/>
    </row>
    <row r="259" spans="4:135" s="534" customFormat="1" ht="51" hidden="1" x14ac:dyDescent="0.3">
      <c r="D259" s="783">
        <v>256</v>
      </c>
      <c r="E259" s="799">
        <v>304</v>
      </c>
      <c r="F259" s="787" t="s">
        <v>200</v>
      </c>
      <c r="G259" s="739" t="s">
        <v>3</v>
      </c>
      <c r="H259" s="790" t="s">
        <v>2200</v>
      </c>
      <c r="I259" s="712" t="s">
        <v>782</v>
      </c>
      <c r="J259" s="573" t="s">
        <v>831</v>
      </c>
      <c r="K259" s="573" t="s">
        <v>832</v>
      </c>
      <c r="L259" s="702" t="s">
        <v>1682</v>
      </c>
      <c r="M259" s="571" t="s">
        <v>2017</v>
      </c>
      <c r="N259" s="571">
        <v>0</v>
      </c>
      <c r="O259" s="570">
        <f>+N259+P259</f>
        <v>3600</v>
      </c>
      <c r="P259" s="569">
        <v>3600</v>
      </c>
      <c r="Q259" s="628">
        <v>0.16500000000000001</v>
      </c>
      <c r="R259" s="580">
        <f t="shared" si="190"/>
        <v>4.1250000000000002E-2</v>
      </c>
      <c r="S259" s="627">
        <v>900</v>
      </c>
      <c r="T259" s="625">
        <f t="shared" si="220"/>
        <v>0.25</v>
      </c>
      <c r="U259" s="992">
        <v>910</v>
      </c>
      <c r="V259" s="626">
        <f t="shared" si="221"/>
        <v>910</v>
      </c>
      <c r="W259" s="594">
        <f t="shared" si="222"/>
        <v>101.11111111111111</v>
      </c>
      <c r="X259" s="594">
        <f t="shared" si="191"/>
        <v>100</v>
      </c>
      <c r="Y259" s="594">
        <f t="shared" si="215"/>
        <v>4.1250000000000002E-2</v>
      </c>
      <c r="Z259" s="594">
        <f t="shared" si="192"/>
        <v>100</v>
      </c>
      <c r="AA259" s="593">
        <v>18000000</v>
      </c>
      <c r="AB259" s="593">
        <v>18000000</v>
      </c>
      <c r="AC259" s="593">
        <v>0</v>
      </c>
      <c r="AD259" s="593">
        <v>0</v>
      </c>
      <c r="AE259" s="593">
        <v>0</v>
      </c>
      <c r="AF259" s="593">
        <v>0</v>
      </c>
      <c r="AG259" s="593">
        <v>0</v>
      </c>
      <c r="AH259" s="593">
        <v>0</v>
      </c>
      <c r="AI259" s="593">
        <v>18000000</v>
      </c>
      <c r="AJ259" s="593">
        <v>18000000</v>
      </c>
      <c r="AK259" s="593">
        <v>0</v>
      </c>
      <c r="AL259" s="593">
        <v>0</v>
      </c>
      <c r="AM259" s="593">
        <v>0</v>
      </c>
      <c r="AN259" s="593">
        <v>0</v>
      </c>
      <c r="AO259" s="593">
        <v>0</v>
      </c>
      <c r="AP259" s="593">
        <v>0</v>
      </c>
      <c r="AQ259" s="593">
        <v>0</v>
      </c>
      <c r="AR259" s="593">
        <v>0</v>
      </c>
      <c r="AS259" s="593">
        <v>0</v>
      </c>
      <c r="AT259" s="570">
        <f t="shared" si="193"/>
        <v>4.1250000000000002E-2</v>
      </c>
      <c r="AU259" s="571">
        <v>900</v>
      </c>
      <c r="AV259" s="625">
        <f t="shared" si="223"/>
        <v>0.25</v>
      </c>
      <c r="AW259" s="1012">
        <v>912</v>
      </c>
      <c r="AX259" s="604">
        <f t="shared" si="224"/>
        <v>912</v>
      </c>
      <c r="AY259" s="604">
        <f t="shared" si="225"/>
        <v>101.33333333333333</v>
      </c>
      <c r="AZ259" s="604">
        <f t="shared" si="194"/>
        <v>100</v>
      </c>
      <c r="BA259" s="592">
        <f t="shared" si="195"/>
        <v>4.1250000000000002E-2</v>
      </c>
      <c r="BB259" s="592">
        <f t="shared" si="196"/>
        <v>100</v>
      </c>
      <c r="BC259" s="591">
        <v>18000000</v>
      </c>
      <c r="BD259" s="591">
        <v>0</v>
      </c>
      <c r="BE259" s="591">
        <v>18000000</v>
      </c>
      <c r="BF259" s="591">
        <v>0</v>
      </c>
      <c r="BG259" s="591">
        <v>0</v>
      </c>
      <c r="BH259" s="591">
        <v>0</v>
      </c>
      <c r="BI259" s="591">
        <v>0</v>
      </c>
      <c r="BJ259" s="591">
        <v>0</v>
      </c>
      <c r="BK259" s="700">
        <v>12160743</v>
      </c>
      <c r="BL259" s="589">
        <v>12160743</v>
      </c>
      <c r="BM259" s="589">
        <v>0</v>
      </c>
      <c r="BN259" s="589">
        <v>0</v>
      </c>
      <c r="BO259" s="589">
        <v>0</v>
      </c>
      <c r="BP259" s="589">
        <v>0</v>
      </c>
      <c r="BQ259" s="589">
        <v>0</v>
      </c>
      <c r="BR259" s="589">
        <v>0</v>
      </c>
      <c r="BS259" s="589">
        <v>0</v>
      </c>
      <c r="BT259" s="589">
        <v>0</v>
      </c>
      <c r="BU259" s="589">
        <v>0</v>
      </c>
      <c r="BV259" s="588">
        <f t="shared" si="197"/>
        <v>4.1250000000000002E-2</v>
      </c>
      <c r="BW259" s="588">
        <v>900</v>
      </c>
      <c r="BX259" s="623">
        <f t="shared" si="226"/>
        <v>0.25</v>
      </c>
      <c r="BY259" s="607">
        <v>951</v>
      </c>
      <c r="BZ259" s="629">
        <v>951</v>
      </c>
      <c r="CA259" s="1017">
        <v>951</v>
      </c>
      <c r="CB259" s="557">
        <f t="shared" si="227"/>
        <v>951</v>
      </c>
      <c r="CC259" s="557">
        <f t="shared" si="228"/>
        <v>105.66666666666667</v>
      </c>
      <c r="CD259" s="622">
        <f t="shared" si="198"/>
        <v>100</v>
      </c>
      <c r="CE259" s="621">
        <f t="shared" si="199"/>
        <v>4.1250000000000002E-2</v>
      </c>
      <c r="CF259" s="605">
        <f t="shared" si="200"/>
        <v>100</v>
      </c>
      <c r="CG259" s="621">
        <f t="shared" si="201"/>
        <v>4.3587500000000008E-2</v>
      </c>
      <c r="CH259" s="553">
        <f t="shared" si="202"/>
        <v>4.1250000000000002E-2</v>
      </c>
      <c r="CI259" s="552">
        <v>900</v>
      </c>
      <c r="CJ259" s="551">
        <f t="shared" si="229"/>
        <v>0.25</v>
      </c>
      <c r="CK259" s="874">
        <v>366</v>
      </c>
      <c r="CL259" s="533">
        <f t="shared" si="230"/>
        <v>534</v>
      </c>
      <c r="CM259" s="619">
        <f t="shared" si="231"/>
        <v>366</v>
      </c>
      <c r="CN259" s="619">
        <f t="shared" si="232"/>
        <v>40.666666666666664</v>
      </c>
      <c r="CO259" s="549">
        <f t="shared" si="203"/>
        <v>40.666666666666664</v>
      </c>
      <c r="CP259" s="619">
        <f t="shared" si="204"/>
        <v>1.6774999999999998E-2</v>
      </c>
      <c r="CQ259" s="619">
        <f t="shared" si="205"/>
        <v>1.6774999999999998E-2</v>
      </c>
      <c r="CR259" s="546">
        <v>19000000</v>
      </c>
      <c r="CS259" s="546">
        <v>19000000</v>
      </c>
      <c r="CT259" s="546">
        <v>0</v>
      </c>
      <c r="CU259" s="546">
        <v>0</v>
      </c>
      <c r="CV259" s="546">
        <v>0</v>
      </c>
      <c r="CW259" s="546">
        <v>0</v>
      </c>
      <c r="CX259" s="546">
        <v>0</v>
      </c>
      <c r="CY259" s="546">
        <v>0</v>
      </c>
      <c r="CZ259" s="618">
        <v>0</v>
      </c>
      <c r="DA259" s="618">
        <v>0</v>
      </c>
      <c r="DB259" s="618">
        <v>0</v>
      </c>
      <c r="DC259" s="618">
        <v>0</v>
      </c>
      <c r="DD259" s="618">
        <v>0</v>
      </c>
      <c r="DE259" s="618">
        <v>0</v>
      </c>
      <c r="DF259" s="618">
        <v>0</v>
      </c>
      <c r="DG259" s="618">
        <v>0</v>
      </c>
      <c r="DH259" s="618">
        <v>0</v>
      </c>
      <c r="DI259" s="618">
        <v>0</v>
      </c>
      <c r="DJ259" s="618">
        <v>0</v>
      </c>
      <c r="DK259" s="1034">
        <f t="shared" si="233"/>
        <v>3139</v>
      </c>
      <c r="DL259" s="543">
        <f t="shared" si="206"/>
        <v>0.16500000000000001</v>
      </c>
      <c r="DM259" s="542">
        <f t="shared" si="207"/>
        <v>87.194444444444443</v>
      </c>
      <c r="DN259" s="594">
        <f t="shared" si="208"/>
        <v>87.194444444444443</v>
      </c>
      <c r="DO259" s="540">
        <f t="shared" si="209"/>
        <v>0.14387083333333334</v>
      </c>
      <c r="DP259" s="597">
        <f>+IF(((DN259*Q259)/100)&lt;Q259, ((DN259*Q259)/100),Q259)</f>
        <v>0.14387083333333334</v>
      </c>
      <c r="DQ259" s="538">
        <f t="shared" si="210"/>
        <v>0.14387083333333334</v>
      </c>
      <c r="DR259" s="617">
        <f t="shared" si="211"/>
        <v>1</v>
      </c>
      <c r="DS259" s="616">
        <f t="shared" si="212"/>
        <v>0</v>
      </c>
      <c r="DT259" s="259">
        <v>160</v>
      </c>
      <c r="DU259" s="260" t="s">
        <v>575</v>
      </c>
      <c r="DV259" s="259"/>
      <c r="DW259" s="260" t="s">
        <v>242</v>
      </c>
      <c r="DX259" s="259"/>
      <c r="DY259" s="259"/>
      <c r="DZ259" s="259"/>
      <c r="EA259" s="987"/>
      <c r="EB259" s="1041" t="s">
        <v>2594</v>
      </c>
      <c r="EC259" s="802">
        <v>19000000</v>
      </c>
      <c r="EE259" s="1047"/>
    </row>
    <row r="260" spans="4:135" s="534" customFormat="1" ht="76.5" hidden="1" x14ac:dyDescent="0.3">
      <c r="D260" s="783">
        <v>257</v>
      </c>
      <c r="E260" s="799">
        <v>305</v>
      </c>
      <c r="F260" s="787" t="s">
        <v>200</v>
      </c>
      <c r="G260" s="739" t="s">
        <v>3</v>
      </c>
      <c r="H260" s="790" t="s">
        <v>2200</v>
      </c>
      <c r="I260" s="712" t="s">
        <v>782</v>
      </c>
      <c r="J260" s="573" t="s">
        <v>833</v>
      </c>
      <c r="K260" s="573" t="s">
        <v>834</v>
      </c>
      <c r="L260" s="702" t="s">
        <v>1682</v>
      </c>
      <c r="M260" s="571" t="s">
        <v>2032</v>
      </c>
      <c r="N260" s="571">
        <v>0</v>
      </c>
      <c r="O260" s="570">
        <f>+P260</f>
        <v>2000</v>
      </c>
      <c r="P260" s="569">
        <v>2000</v>
      </c>
      <c r="Q260" s="628">
        <v>0.16500000000000001</v>
      </c>
      <c r="R260" s="580">
        <f t="shared" si="190"/>
        <v>4.1250000000000002E-2</v>
      </c>
      <c r="S260" s="627">
        <v>2000</v>
      </c>
      <c r="T260" s="625">
        <f t="shared" si="220"/>
        <v>0.25</v>
      </c>
      <c r="U260" s="992">
        <v>2050</v>
      </c>
      <c r="V260" s="626">
        <f t="shared" si="221"/>
        <v>512.5</v>
      </c>
      <c r="W260" s="594">
        <f t="shared" si="222"/>
        <v>102.5</v>
      </c>
      <c r="X260" s="594">
        <f t="shared" si="191"/>
        <v>100</v>
      </c>
      <c r="Y260" s="594">
        <f t="shared" si="215"/>
        <v>4.1250000000000002E-2</v>
      </c>
      <c r="Z260" s="594">
        <f t="shared" si="192"/>
        <v>100</v>
      </c>
      <c r="AA260" s="593">
        <v>6000000</v>
      </c>
      <c r="AB260" s="593">
        <v>6000000</v>
      </c>
      <c r="AC260" s="593">
        <v>0</v>
      </c>
      <c r="AD260" s="593">
        <v>0</v>
      </c>
      <c r="AE260" s="593">
        <v>0</v>
      </c>
      <c r="AF260" s="593">
        <v>0</v>
      </c>
      <c r="AG260" s="593">
        <v>0</v>
      </c>
      <c r="AH260" s="593">
        <v>0</v>
      </c>
      <c r="AI260" s="593">
        <v>6000000</v>
      </c>
      <c r="AJ260" s="593">
        <v>6000000</v>
      </c>
      <c r="AK260" s="593">
        <v>0</v>
      </c>
      <c r="AL260" s="593">
        <v>0</v>
      </c>
      <c r="AM260" s="593">
        <v>0</v>
      </c>
      <c r="AN260" s="593">
        <v>0</v>
      </c>
      <c r="AO260" s="593">
        <v>0</v>
      </c>
      <c r="AP260" s="593">
        <v>0</v>
      </c>
      <c r="AQ260" s="593">
        <v>0</v>
      </c>
      <c r="AR260" s="593">
        <v>0</v>
      </c>
      <c r="AS260" s="593">
        <v>0</v>
      </c>
      <c r="AT260" s="570">
        <f t="shared" si="193"/>
        <v>4.1250000000000002E-2</v>
      </c>
      <c r="AU260" s="571">
        <v>2000</v>
      </c>
      <c r="AV260" s="625">
        <f t="shared" si="223"/>
        <v>0.25</v>
      </c>
      <c r="AW260" s="1012">
        <v>2131</v>
      </c>
      <c r="AX260" s="604">
        <f t="shared" si="224"/>
        <v>532.75</v>
      </c>
      <c r="AY260" s="604">
        <f t="shared" si="225"/>
        <v>106.55</v>
      </c>
      <c r="AZ260" s="604">
        <f t="shared" si="194"/>
        <v>100</v>
      </c>
      <c r="BA260" s="592">
        <f t="shared" si="195"/>
        <v>4.1250000000000002E-2</v>
      </c>
      <c r="BB260" s="592">
        <f t="shared" si="196"/>
        <v>100</v>
      </c>
      <c r="BC260" s="591">
        <v>5000000</v>
      </c>
      <c r="BD260" s="591">
        <v>0</v>
      </c>
      <c r="BE260" s="591">
        <v>5000000</v>
      </c>
      <c r="BF260" s="591">
        <v>0</v>
      </c>
      <c r="BG260" s="591">
        <v>0</v>
      </c>
      <c r="BH260" s="591">
        <v>0</v>
      </c>
      <c r="BI260" s="591">
        <v>0</v>
      </c>
      <c r="BJ260" s="591">
        <v>0</v>
      </c>
      <c r="BK260" s="700">
        <v>12160743</v>
      </c>
      <c r="BL260" s="589">
        <v>12160743</v>
      </c>
      <c r="BM260" s="589">
        <v>0</v>
      </c>
      <c r="BN260" s="589">
        <v>0</v>
      </c>
      <c r="BO260" s="589">
        <v>0</v>
      </c>
      <c r="BP260" s="589">
        <v>0</v>
      </c>
      <c r="BQ260" s="589">
        <v>0</v>
      </c>
      <c r="BR260" s="589">
        <v>0</v>
      </c>
      <c r="BS260" s="589">
        <v>0</v>
      </c>
      <c r="BT260" s="589">
        <v>0</v>
      </c>
      <c r="BU260" s="589">
        <v>0</v>
      </c>
      <c r="BV260" s="588">
        <f t="shared" si="197"/>
        <v>4.1250000000000002E-2</v>
      </c>
      <c r="BW260" s="588">
        <v>2000</v>
      </c>
      <c r="BX260" s="623">
        <f t="shared" si="226"/>
        <v>0.25</v>
      </c>
      <c r="BY260" s="607">
        <v>853</v>
      </c>
      <c r="BZ260" s="629">
        <v>853</v>
      </c>
      <c r="CA260" s="1017">
        <v>1919</v>
      </c>
      <c r="CB260" s="557">
        <f t="shared" si="227"/>
        <v>479.75</v>
      </c>
      <c r="CC260" s="557">
        <f t="shared" si="228"/>
        <v>95.95</v>
      </c>
      <c r="CD260" s="622">
        <f t="shared" si="198"/>
        <v>95.95</v>
      </c>
      <c r="CE260" s="621">
        <f t="shared" si="199"/>
        <v>3.9579375E-2</v>
      </c>
      <c r="CF260" s="605">
        <f t="shared" si="200"/>
        <v>95.95</v>
      </c>
      <c r="CG260" s="621">
        <f t="shared" si="201"/>
        <v>3.9579375E-2</v>
      </c>
      <c r="CH260" s="553">
        <f t="shared" si="202"/>
        <v>4.1250000000000002E-2</v>
      </c>
      <c r="CI260" s="552">
        <v>2000</v>
      </c>
      <c r="CJ260" s="551">
        <f t="shared" si="229"/>
        <v>0.25</v>
      </c>
      <c r="CK260" s="874">
        <v>412</v>
      </c>
      <c r="CL260" s="533">
        <f t="shared" si="230"/>
        <v>1588</v>
      </c>
      <c r="CM260" s="619">
        <f t="shared" si="231"/>
        <v>103</v>
      </c>
      <c r="CN260" s="619">
        <f t="shared" si="232"/>
        <v>20.6</v>
      </c>
      <c r="CO260" s="619">
        <f t="shared" si="203"/>
        <v>20.6</v>
      </c>
      <c r="CP260" s="619">
        <f t="shared" si="204"/>
        <v>8.4975000000000016E-3</v>
      </c>
      <c r="CQ260" s="619">
        <f t="shared" si="205"/>
        <v>8.4975000000000016E-3</v>
      </c>
      <c r="CR260" s="546">
        <v>5000000</v>
      </c>
      <c r="CS260" s="546">
        <v>5000000</v>
      </c>
      <c r="CT260" s="546">
        <v>0</v>
      </c>
      <c r="CU260" s="546">
        <v>0</v>
      </c>
      <c r="CV260" s="546">
        <v>0</v>
      </c>
      <c r="CW260" s="546">
        <v>0</v>
      </c>
      <c r="CX260" s="546">
        <v>0</v>
      </c>
      <c r="CY260" s="546">
        <v>0</v>
      </c>
      <c r="CZ260" s="618">
        <v>0</v>
      </c>
      <c r="DA260" s="618">
        <v>0</v>
      </c>
      <c r="DB260" s="618">
        <v>0</v>
      </c>
      <c r="DC260" s="618">
        <v>0</v>
      </c>
      <c r="DD260" s="618">
        <v>0</v>
      </c>
      <c r="DE260" s="618">
        <v>0</v>
      </c>
      <c r="DF260" s="618">
        <v>0</v>
      </c>
      <c r="DG260" s="618">
        <v>0</v>
      </c>
      <c r="DH260" s="618">
        <v>0</v>
      </c>
      <c r="DI260" s="618">
        <v>0</v>
      </c>
      <c r="DJ260" s="618">
        <v>0</v>
      </c>
      <c r="DK260" s="1034">
        <f t="shared" si="233"/>
        <v>1628</v>
      </c>
      <c r="DL260" s="543">
        <f t="shared" si="206"/>
        <v>0.16500000000000001</v>
      </c>
      <c r="DM260" s="542">
        <f t="shared" si="207"/>
        <v>81.400000000000006</v>
      </c>
      <c r="DN260" s="594">
        <f t="shared" si="208"/>
        <v>81.400000000000006</v>
      </c>
      <c r="DO260" s="540">
        <f t="shared" si="209"/>
        <v>0.13431000000000001</v>
      </c>
      <c r="DP260" s="597">
        <f>+IF(M260="M",DO260,0)</f>
        <v>0.13431000000000001</v>
      </c>
      <c r="DQ260" s="538">
        <f t="shared" si="210"/>
        <v>0.13431000000000001</v>
      </c>
      <c r="DR260" s="617">
        <f t="shared" si="211"/>
        <v>1</v>
      </c>
      <c r="DS260" s="616">
        <f t="shared" si="212"/>
        <v>0</v>
      </c>
      <c r="DT260" s="259">
        <v>201</v>
      </c>
      <c r="DU260" s="260" t="s">
        <v>280</v>
      </c>
      <c r="DV260" s="259"/>
      <c r="DW260" s="260" t="s">
        <v>242</v>
      </c>
      <c r="DX260" s="259"/>
      <c r="DY260" s="259"/>
      <c r="DZ260" s="259"/>
      <c r="EA260" s="987"/>
      <c r="EB260" s="1041" t="s">
        <v>2595</v>
      </c>
      <c r="EC260" s="802">
        <v>5000000</v>
      </c>
      <c r="EE260" s="1047"/>
    </row>
    <row r="261" spans="4:135" s="534" customFormat="1" ht="38.25" hidden="1" x14ac:dyDescent="0.3">
      <c r="D261" s="783">
        <v>258</v>
      </c>
      <c r="E261" s="799">
        <v>306</v>
      </c>
      <c r="F261" s="787" t="s">
        <v>200</v>
      </c>
      <c r="G261" s="739" t="s">
        <v>3</v>
      </c>
      <c r="H261" s="790" t="s">
        <v>2200</v>
      </c>
      <c r="I261" s="712" t="s">
        <v>782</v>
      </c>
      <c r="J261" s="573" t="s">
        <v>835</v>
      </c>
      <c r="K261" s="573" t="s">
        <v>836</v>
      </c>
      <c r="L261" s="702" t="s">
        <v>1682</v>
      </c>
      <c r="M261" s="571" t="s">
        <v>2017</v>
      </c>
      <c r="N261" s="571">
        <v>0</v>
      </c>
      <c r="O261" s="570">
        <f>+N261+P261</f>
        <v>2500</v>
      </c>
      <c r="P261" s="569">
        <v>2500</v>
      </c>
      <c r="Q261" s="628">
        <v>0.16500000000000001</v>
      </c>
      <c r="R261" s="580">
        <f t="shared" ref="R261:R324" si="234">+Q261*T261</f>
        <v>4.1250000000000002E-2</v>
      </c>
      <c r="S261" s="627">
        <v>625</v>
      </c>
      <c r="T261" s="625">
        <f t="shared" si="220"/>
        <v>0.25</v>
      </c>
      <c r="U261" s="992">
        <v>750</v>
      </c>
      <c r="V261" s="626">
        <f t="shared" si="221"/>
        <v>750</v>
      </c>
      <c r="W261" s="594">
        <f t="shared" si="222"/>
        <v>120</v>
      </c>
      <c r="X261" s="594">
        <f t="shared" ref="X261:X324" si="235">+IF(W261&lt;100,W261,100)</f>
        <v>100</v>
      </c>
      <c r="Y261" s="594">
        <f t="shared" si="215"/>
        <v>4.1250000000000002E-2</v>
      </c>
      <c r="Z261" s="594">
        <f t="shared" ref="Z261:Z324" si="236">+IF(U261&gt;S261,100,X261)</f>
        <v>100</v>
      </c>
      <c r="AA261" s="593">
        <v>10000000</v>
      </c>
      <c r="AB261" s="593">
        <v>10000000</v>
      </c>
      <c r="AC261" s="593">
        <v>0</v>
      </c>
      <c r="AD261" s="593">
        <v>0</v>
      </c>
      <c r="AE261" s="593">
        <v>0</v>
      </c>
      <c r="AF261" s="593">
        <v>0</v>
      </c>
      <c r="AG261" s="593">
        <v>0</v>
      </c>
      <c r="AH261" s="593">
        <v>0</v>
      </c>
      <c r="AI261" s="593">
        <v>10000000</v>
      </c>
      <c r="AJ261" s="593">
        <v>10000000</v>
      </c>
      <c r="AK261" s="593">
        <v>0</v>
      </c>
      <c r="AL261" s="593">
        <v>0</v>
      </c>
      <c r="AM261" s="593">
        <v>0</v>
      </c>
      <c r="AN261" s="593">
        <v>0</v>
      </c>
      <c r="AO261" s="593">
        <v>0</v>
      </c>
      <c r="AP261" s="593">
        <v>0</v>
      </c>
      <c r="AQ261" s="593">
        <v>0</v>
      </c>
      <c r="AR261" s="593">
        <v>0</v>
      </c>
      <c r="AS261" s="593">
        <v>0</v>
      </c>
      <c r="AT261" s="570">
        <f t="shared" ref="AT261:AT324" si="237">+Q261*AV261</f>
        <v>4.1250000000000002E-2</v>
      </c>
      <c r="AU261" s="571">
        <v>625</v>
      </c>
      <c r="AV261" s="625">
        <f t="shared" si="223"/>
        <v>0.25</v>
      </c>
      <c r="AW261" s="1012">
        <v>639</v>
      </c>
      <c r="AX261" s="604">
        <f t="shared" si="224"/>
        <v>639</v>
      </c>
      <c r="AY261" s="604">
        <f t="shared" si="225"/>
        <v>102.24</v>
      </c>
      <c r="AZ261" s="604">
        <f t="shared" ref="AZ261:AZ324" si="238">+IF(AY261&lt;100,AY261,100)</f>
        <v>100</v>
      </c>
      <c r="BA261" s="592">
        <f t="shared" ref="BA261:BA324" si="239">+(AZ261*AT261)/100</f>
        <v>4.1250000000000002E-2</v>
      </c>
      <c r="BB261" s="592">
        <f t="shared" ref="BB261:BB324" si="240">+IF(AW261&gt;AU261,100,AZ261)</f>
        <v>100</v>
      </c>
      <c r="BC261" s="591">
        <v>10000000</v>
      </c>
      <c r="BD261" s="591">
        <v>0</v>
      </c>
      <c r="BE261" s="591">
        <v>10000000</v>
      </c>
      <c r="BF261" s="591">
        <v>0</v>
      </c>
      <c r="BG261" s="591">
        <v>0</v>
      </c>
      <c r="BH261" s="591">
        <v>0</v>
      </c>
      <c r="BI261" s="591">
        <v>0</v>
      </c>
      <c r="BJ261" s="591">
        <v>0</v>
      </c>
      <c r="BK261" s="700">
        <v>12160743</v>
      </c>
      <c r="BL261" s="589">
        <v>12160743</v>
      </c>
      <c r="BM261" s="589">
        <v>0</v>
      </c>
      <c r="BN261" s="589">
        <v>0</v>
      </c>
      <c r="BO261" s="589">
        <v>0</v>
      </c>
      <c r="BP261" s="589">
        <v>0</v>
      </c>
      <c r="BQ261" s="589">
        <v>0</v>
      </c>
      <c r="BR261" s="589">
        <v>0</v>
      </c>
      <c r="BS261" s="589">
        <v>0</v>
      </c>
      <c r="BT261" s="589">
        <v>0</v>
      </c>
      <c r="BU261" s="589">
        <v>0</v>
      </c>
      <c r="BV261" s="588">
        <f t="shared" ref="BV261:BV324" si="241">+Q261*BX261</f>
        <v>4.1250000000000002E-2</v>
      </c>
      <c r="BW261" s="588">
        <v>625</v>
      </c>
      <c r="BX261" s="623">
        <f t="shared" si="226"/>
        <v>0.25</v>
      </c>
      <c r="BY261" s="607">
        <v>0</v>
      </c>
      <c r="BZ261" s="629">
        <v>0</v>
      </c>
      <c r="CA261" s="1017">
        <v>670</v>
      </c>
      <c r="CB261" s="557">
        <f t="shared" si="227"/>
        <v>670</v>
      </c>
      <c r="CC261" s="557">
        <f t="shared" si="228"/>
        <v>107.2</v>
      </c>
      <c r="CD261" s="622">
        <f t="shared" ref="CD261:CD324" si="242">+IF(CC261&lt;100,CC261,100)</f>
        <v>100</v>
      </c>
      <c r="CE261" s="621">
        <f t="shared" ref="CE261:CE324" si="243">+(CD261*BV261)/100</f>
        <v>4.1250000000000002E-2</v>
      </c>
      <c r="CF261" s="605">
        <f t="shared" ref="CF261:CF324" si="244">+IF(BZ261&gt;BW261,100,CD261)</f>
        <v>100</v>
      </c>
      <c r="CG261" s="621">
        <f t="shared" ref="CG261:CG324" si="245">(CC261*BV261)/100</f>
        <v>4.4220000000000009E-2</v>
      </c>
      <c r="CH261" s="553">
        <f t="shared" ref="CH261:CH324" si="246">+Q261*CJ261</f>
        <v>4.1250000000000002E-2</v>
      </c>
      <c r="CI261" s="552">
        <v>625</v>
      </c>
      <c r="CJ261" s="551">
        <f t="shared" si="229"/>
        <v>0.25</v>
      </c>
      <c r="CK261" s="874">
        <v>0</v>
      </c>
      <c r="CL261" s="533">
        <f t="shared" si="230"/>
        <v>625</v>
      </c>
      <c r="CM261" s="619">
        <f t="shared" si="231"/>
        <v>0</v>
      </c>
      <c r="CN261" s="619">
        <f t="shared" si="232"/>
        <v>0</v>
      </c>
      <c r="CO261" s="549">
        <f t="shared" ref="CO261:CO324" si="247">+IF(CN261&lt;100,CN261,100)</f>
        <v>0</v>
      </c>
      <c r="CP261" s="619">
        <f t="shared" ref="CP261:CP324" si="248">+(CO261*CH261)/100</f>
        <v>0</v>
      </c>
      <c r="CQ261" s="619">
        <f t="shared" ref="CQ261:CQ324" si="249">+(CN261*CH261)/100</f>
        <v>0</v>
      </c>
      <c r="CR261" s="546">
        <v>10000000</v>
      </c>
      <c r="CS261" s="546">
        <v>10000000</v>
      </c>
      <c r="CT261" s="546">
        <v>0</v>
      </c>
      <c r="CU261" s="546">
        <v>0</v>
      </c>
      <c r="CV261" s="546">
        <v>0</v>
      </c>
      <c r="CW261" s="546">
        <v>0</v>
      </c>
      <c r="CX261" s="546">
        <v>0</v>
      </c>
      <c r="CY261" s="546">
        <v>0</v>
      </c>
      <c r="CZ261" s="618">
        <v>0</v>
      </c>
      <c r="DA261" s="618">
        <v>0</v>
      </c>
      <c r="DB261" s="618">
        <v>0</v>
      </c>
      <c r="DC261" s="618">
        <v>0</v>
      </c>
      <c r="DD261" s="618">
        <v>0</v>
      </c>
      <c r="DE261" s="618">
        <v>0</v>
      </c>
      <c r="DF261" s="618">
        <v>0</v>
      </c>
      <c r="DG261" s="618">
        <v>0</v>
      </c>
      <c r="DH261" s="618">
        <v>0</v>
      </c>
      <c r="DI261" s="618">
        <v>0</v>
      </c>
      <c r="DJ261" s="618">
        <v>0</v>
      </c>
      <c r="DK261" s="1034">
        <f t="shared" si="233"/>
        <v>2059</v>
      </c>
      <c r="DL261" s="543">
        <f t="shared" ref="DL261:DL324" si="250">+R261+AT261+BV261+CH261</f>
        <v>0.16500000000000001</v>
      </c>
      <c r="DM261" s="542">
        <f t="shared" ref="DM261:DM324" si="251">+DK261*100/P261</f>
        <v>82.36</v>
      </c>
      <c r="DN261" s="594">
        <f t="shared" ref="DN261:DN324" si="252">+IF(DM261&lt;100,DM261,100)</f>
        <v>82.36</v>
      </c>
      <c r="DO261" s="540">
        <f t="shared" ref="DO261:DO324" si="253">+(DN261*Q261)/100</f>
        <v>0.13589400000000001</v>
      </c>
      <c r="DP261" s="597">
        <f>+IF(((DN261*Q261)/100)&lt;Q261, ((DN261*Q261)/100),Q261)</f>
        <v>0.13589400000000001</v>
      </c>
      <c r="DQ261" s="538">
        <f t="shared" ref="DQ261:DQ324" si="254">+IF(DL261&lt;DP261,DL261,DP261)</f>
        <v>0.13589400000000001</v>
      </c>
      <c r="DR261" s="617">
        <f t="shared" ref="DR261:DR324" si="255">+T261+AV261+BX261+CJ261</f>
        <v>1</v>
      </c>
      <c r="DS261" s="616">
        <f t="shared" ref="DS261:DS324" si="256">+Q261-R261-AT261-BV261-CH261</f>
        <v>0</v>
      </c>
      <c r="DT261" s="259">
        <v>160</v>
      </c>
      <c r="DU261" s="260" t="s">
        <v>575</v>
      </c>
      <c r="DV261" s="259"/>
      <c r="DW261" s="260" t="s">
        <v>242</v>
      </c>
      <c r="DX261" s="259"/>
      <c r="DY261" s="259"/>
      <c r="DZ261" s="259"/>
      <c r="EA261" s="987"/>
      <c r="EB261" s="1041" t="s">
        <v>2590</v>
      </c>
      <c r="EC261" s="802">
        <v>0</v>
      </c>
      <c r="EE261" s="1047"/>
    </row>
    <row r="262" spans="4:135" s="534" customFormat="1" ht="72" hidden="1" x14ac:dyDescent="0.3">
      <c r="D262" s="783">
        <v>259</v>
      </c>
      <c r="E262" s="799">
        <v>307</v>
      </c>
      <c r="F262" s="787" t="s">
        <v>200</v>
      </c>
      <c r="G262" s="739" t="s">
        <v>3</v>
      </c>
      <c r="H262" s="790" t="s">
        <v>2200</v>
      </c>
      <c r="I262" s="712" t="s">
        <v>782</v>
      </c>
      <c r="J262" s="573" t="s">
        <v>837</v>
      </c>
      <c r="K262" s="573" t="s">
        <v>838</v>
      </c>
      <c r="L262" s="702" t="s">
        <v>1682</v>
      </c>
      <c r="M262" s="571" t="s">
        <v>2017</v>
      </c>
      <c r="N262" s="571">
        <v>0</v>
      </c>
      <c r="O262" s="570">
        <f>+N262+P262</f>
        <v>2800</v>
      </c>
      <c r="P262" s="569">
        <v>2800</v>
      </c>
      <c r="Q262" s="628">
        <v>0.16500000000000001</v>
      </c>
      <c r="R262" s="580">
        <f t="shared" si="234"/>
        <v>4.1250000000000002E-2</v>
      </c>
      <c r="S262" s="627">
        <v>700</v>
      </c>
      <c r="T262" s="625">
        <f t="shared" si="220"/>
        <v>0.25</v>
      </c>
      <c r="U262" s="992">
        <v>721</v>
      </c>
      <c r="V262" s="626">
        <f t="shared" si="221"/>
        <v>721</v>
      </c>
      <c r="W262" s="594">
        <f t="shared" si="222"/>
        <v>103</v>
      </c>
      <c r="X262" s="594">
        <f t="shared" si="235"/>
        <v>100</v>
      </c>
      <c r="Y262" s="594">
        <f t="shared" si="215"/>
        <v>4.1250000000000002E-2</v>
      </c>
      <c r="Z262" s="594">
        <f t="shared" si="236"/>
        <v>100</v>
      </c>
      <c r="AA262" s="593">
        <v>10000000</v>
      </c>
      <c r="AB262" s="593">
        <v>10000000</v>
      </c>
      <c r="AC262" s="593">
        <v>0</v>
      </c>
      <c r="AD262" s="593">
        <v>0</v>
      </c>
      <c r="AE262" s="593">
        <v>0</v>
      </c>
      <c r="AF262" s="593">
        <v>0</v>
      </c>
      <c r="AG262" s="593">
        <v>0</v>
      </c>
      <c r="AH262" s="593">
        <v>0</v>
      </c>
      <c r="AI262" s="593">
        <v>10000000</v>
      </c>
      <c r="AJ262" s="593">
        <v>10000000</v>
      </c>
      <c r="AK262" s="593">
        <v>0</v>
      </c>
      <c r="AL262" s="593">
        <v>0</v>
      </c>
      <c r="AM262" s="593">
        <v>0</v>
      </c>
      <c r="AN262" s="593">
        <v>0</v>
      </c>
      <c r="AO262" s="593">
        <v>0</v>
      </c>
      <c r="AP262" s="593">
        <v>0</v>
      </c>
      <c r="AQ262" s="593">
        <v>0</v>
      </c>
      <c r="AR262" s="593">
        <v>0</v>
      </c>
      <c r="AS262" s="593">
        <v>0</v>
      </c>
      <c r="AT262" s="570">
        <f t="shared" si="237"/>
        <v>4.1250000000000002E-2</v>
      </c>
      <c r="AU262" s="571">
        <v>700</v>
      </c>
      <c r="AV262" s="625">
        <f t="shared" si="223"/>
        <v>0.25</v>
      </c>
      <c r="AW262" s="1012">
        <v>740</v>
      </c>
      <c r="AX262" s="604">
        <f t="shared" si="224"/>
        <v>740</v>
      </c>
      <c r="AY262" s="604">
        <f t="shared" si="225"/>
        <v>105.71428571428571</v>
      </c>
      <c r="AZ262" s="604">
        <f t="shared" si="238"/>
        <v>100</v>
      </c>
      <c r="BA262" s="592">
        <f t="shared" si="239"/>
        <v>4.1250000000000002E-2</v>
      </c>
      <c r="BB262" s="592">
        <f t="shared" si="240"/>
        <v>100</v>
      </c>
      <c r="BC262" s="591">
        <v>20000000</v>
      </c>
      <c r="BD262" s="591">
        <v>0</v>
      </c>
      <c r="BE262" s="591">
        <v>20000000</v>
      </c>
      <c r="BF262" s="591">
        <v>0</v>
      </c>
      <c r="BG262" s="591">
        <v>0</v>
      </c>
      <c r="BH262" s="591">
        <v>0</v>
      </c>
      <c r="BI262" s="591">
        <v>0</v>
      </c>
      <c r="BJ262" s="591">
        <v>0</v>
      </c>
      <c r="BK262" s="700">
        <v>12160743</v>
      </c>
      <c r="BL262" s="589">
        <v>12160743</v>
      </c>
      <c r="BM262" s="589">
        <v>0</v>
      </c>
      <c r="BN262" s="589">
        <v>0</v>
      </c>
      <c r="BO262" s="589">
        <v>0</v>
      </c>
      <c r="BP262" s="589">
        <v>0</v>
      </c>
      <c r="BQ262" s="589">
        <v>0</v>
      </c>
      <c r="BR262" s="589">
        <v>0</v>
      </c>
      <c r="BS262" s="589">
        <v>0</v>
      </c>
      <c r="BT262" s="589">
        <v>0</v>
      </c>
      <c r="BU262" s="589">
        <v>0</v>
      </c>
      <c r="BV262" s="588">
        <f t="shared" si="241"/>
        <v>4.1250000000000002E-2</v>
      </c>
      <c r="BW262" s="588">
        <v>700</v>
      </c>
      <c r="BX262" s="623">
        <f t="shared" si="226"/>
        <v>0.25</v>
      </c>
      <c r="BY262" s="607">
        <v>731</v>
      </c>
      <c r="BZ262" s="629">
        <v>731</v>
      </c>
      <c r="CA262" s="1017">
        <v>731</v>
      </c>
      <c r="CB262" s="557">
        <f t="shared" si="227"/>
        <v>731</v>
      </c>
      <c r="CC262" s="557">
        <f t="shared" si="228"/>
        <v>104.42857142857143</v>
      </c>
      <c r="CD262" s="622">
        <f t="shared" si="242"/>
        <v>100</v>
      </c>
      <c r="CE262" s="621">
        <f t="shared" si="243"/>
        <v>4.1250000000000002E-2</v>
      </c>
      <c r="CF262" s="605">
        <f t="shared" si="244"/>
        <v>100</v>
      </c>
      <c r="CG262" s="621">
        <f t="shared" si="245"/>
        <v>4.307678571428572E-2</v>
      </c>
      <c r="CH262" s="553">
        <f t="shared" si="246"/>
        <v>4.1250000000000002E-2</v>
      </c>
      <c r="CI262" s="552">
        <v>700</v>
      </c>
      <c r="CJ262" s="551">
        <f t="shared" si="229"/>
        <v>0.25</v>
      </c>
      <c r="CK262" s="874">
        <v>477</v>
      </c>
      <c r="CL262" s="533">
        <f t="shared" si="230"/>
        <v>223</v>
      </c>
      <c r="CM262" s="619">
        <f t="shared" si="231"/>
        <v>477</v>
      </c>
      <c r="CN262" s="619">
        <f t="shared" si="232"/>
        <v>68.142857142857139</v>
      </c>
      <c r="CO262" s="549">
        <f t="shared" si="247"/>
        <v>68.142857142857139</v>
      </c>
      <c r="CP262" s="619">
        <f t="shared" si="248"/>
        <v>2.8108928571428569E-2</v>
      </c>
      <c r="CQ262" s="619">
        <f t="shared" si="249"/>
        <v>2.8108928571428569E-2</v>
      </c>
      <c r="CR262" s="546">
        <v>20000000</v>
      </c>
      <c r="CS262" s="546">
        <v>20000000</v>
      </c>
      <c r="CT262" s="546">
        <v>0</v>
      </c>
      <c r="CU262" s="546">
        <v>0</v>
      </c>
      <c r="CV262" s="546">
        <v>0</v>
      </c>
      <c r="CW262" s="546">
        <v>0</v>
      </c>
      <c r="CX262" s="546">
        <v>0</v>
      </c>
      <c r="CY262" s="546">
        <v>0</v>
      </c>
      <c r="CZ262" s="618">
        <v>0</v>
      </c>
      <c r="DA262" s="618">
        <v>0</v>
      </c>
      <c r="DB262" s="618">
        <v>0</v>
      </c>
      <c r="DC262" s="618">
        <v>0</v>
      </c>
      <c r="DD262" s="618">
        <v>0</v>
      </c>
      <c r="DE262" s="618">
        <v>0</v>
      </c>
      <c r="DF262" s="618">
        <v>0</v>
      </c>
      <c r="DG262" s="618">
        <v>0</v>
      </c>
      <c r="DH262" s="618">
        <v>0</v>
      </c>
      <c r="DI262" s="618">
        <v>0</v>
      </c>
      <c r="DJ262" s="618">
        <v>0</v>
      </c>
      <c r="DK262" s="1034">
        <f t="shared" si="233"/>
        <v>2669</v>
      </c>
      <c r="DL262" s="543">
        <f t="shared" si="250"/>
        <v>0.16500000000000001</v>
      </c>
      <c r="DM262" s="542">
        <f t="shared" si="251"/>
        <v>95.321428571428569</v>
      </c>
      <c r="DN262" s="594">
        <f t="shared" si="252"/>
        <v>95.321428571428569</v>
      </c>
      <c r="DO262" s="540">
        <f t="shared" si="253"/>
        <v>0.15728035714285715</v>
      </c>
      <c r="DP262" s="597">
        <f>+IF(((DN262*Q262)/100)&lt;Q262, ((DN262*Q262)/100),Q262)</f>
        <v>0.15728035714285715</v>
      </c>
      <c r="DQ262" s="538">
        <f t="shared" si="254"/>
        <v>0.15728035714285715</v>
      </c>
      <c r="DR262" s="617">
        <f t="shared" si="255"/>
        <v>1</v>
      </c>
      <c r="DS262" s="616">
        <f t="shared" si="256"/>
        <v>0</v>
      </c>
      <c r="DT262" s="259">
        <v>179</v>
      </c>
      <c r="DU262" s="260" t="s">
        <v>605</v>
      </c>
      <c r="DV262" s="259"/>
      <c r="DW262" s="260" t="s">
        <v>242</v>
      </c>
      <c r="DX262" s="259"/>
      <c r="DY262" s="259"/>
      <c r="DZ262" s="259"/>
      <c r="EA262" s="987"/>
      <c r="EB262" s="1041" t="s">
        <v>2596</v>
      </c>
      <c r="EC262" s="802">
        <v>20000000</v>
      </c>
      <c r="EE262" s="1047"/>
    </row>
    <row r="263" spans="4:135" s="534" customFormat="1" ht="76.5" hidden="1" x14ac:dyDescent="0.3">
      <c r="D263" s="783">
        <v>260</v>
      </c>
      <c r="E263" s="799">
        <v>308</v>
      </c>
      <c r="F263" s="787" t="s">
        <v>200</v>
      </c>
      <c r="G263" s="739" t="s">
        <v>3</v>
      </c>
      <c r="H263" s="790" t="s">
        <v>2200</v>
      </c>
      <c r="I263" s="712" t="s">
        <v>782</v>
      </c>
      <c r="J263" s="573" t="s">
        <v>839</v>
      </c>
      <c r="K263" s="573" t="s">
        <v>840</v>
      </c>
      <c r="L263" s="702" t="s">
        <v>1682</v>
      </c>
      <c r="M263" s="571" t="s">
        <v>2032</v>
      </c>
      <c r="N263" s="571">
        <v>0</v>
      </c>
      <c r="O263" s="570">
        <f>+P263</f>
        <v>2500</v>
      </c>
      <c r="P263" s="569">
        <v>2500</v>
      </c>
      <c r="Q263" s="628">
        <v>0.16500000000000001</v>
      </c>
      <c r="R263" s="580">
        <f t="shared" si="234"/>
        <v>4.1250000000000002E-2</v>
      </c>
      <c r="S263" s="627">
        <v>2500</v>
      </c>
      <c r="T263" s="625">
        <f t="shared" si="220"/>
        <v>0.25</v>
      </c>
      <c r="U263" s="992">
        <v>2500</v>
      </c>
      <c r="V263" s="626">
        <f t="shared" si="221"/>
        <v>625</v>
      </c>
      <c r="W263" s="594">
        <f t="shared" si="222"/>
        <v>100</v>
      </c>
      <c r="X263" s="594">
        <f t="shared" si="235"/>
        <v>100</v>
      </c>
      <c r="Y263" s="594">
        <f t="shared" si="215"/>
        <v>4.1250000000000002E-2</v>
      </c>
      <c r="Z263" s="594">
        <f t="shared" si="236"/>
        <v>100</v>
      </c>
      <c r="AA263" s="593">
        <v>5000000</v>
      </c>
      <c r="AB263" s="593">
        <v>5000000</v>
      </c>
      <c r="AC263" s="593">
        <v>0</v>
      </c>
      <c r="AD263" s="593">
        <v>0</v>
      </c>
      <c r="AE263" s="593">
        <v>0</v>
      </c>
      <c r="AF263" s="593">
        <v>0</v>
      </c>
      <c r="AG263" s="593">
        <v>0</v>
      </c>
      <c r="AH263" s="593">
        <v>0</v>
      </c>
      <c r="AI263" s="593">
        <v>5000000</v>
      </c>
      <c r="AJ263" s="593">
        <v>5000000</v>
      </c>
      <c r="AK263" s="593">
        <v>0</v>
      </c>
      <c r="AL263" s="593">
        <v>0</v>
      </c>
      <c r="AM263" s="593">
        <v>0</v>
      </c>
      <c r="AN263" s="593">
        <v>0</v>
      </c>
      <c r="AO263" s="593">
        <v>0</v>
      </c>
      <c r="AP263" s="593">
        <v>0</v>
      </c>
      <c r="AQ263" s="593">
        <v>0</v>
      </c>
      <c r="AR263" s="593">
        <v>0</v>
      </c>
      <c r="AS263" s="593">
        <v>0</v>
      </c>
      <c r="AT263" s="570">
        <f t="shared" si="237"/>
        <v>4.1250000000000002E-2</v>
      </c>
      <c r="AU263" s="571">
        <v>2500</v>
      </c>
      <c r="AV263" s="625">
        <f t="shared" si="223"/>
        <v>0.25</v>
      </c>
      <c r="AW263" s="1012">
        <v>2686</v>
      </c>
      <c r="AX263" s="604">
        <f t="shared" si="224"/>
        <v>671.5</v>
      </c>
      <c r="AY263" s="604">
        <f t="shared" si="225"/>
        <v>107.44</v>
      </c>
      <c r="AZ263" s="604">
        <f t="shared" si="238"/>
        <v>100</v>
      </c>
      <c r="BA263" s="592">
        <f t="shared" si="239"/>
        <v>4.1250000000000002E-2</v>
      </c>
      <c r="BB263" s="592">
        <f t="shared" si="240"/>
        <v>100</v>
      </c>
      <c r="BC263" s="591">
        <v>3000000</v>
      </c>
      <c r="BD263" s="591">
        <v>0</v>
      </c>
      <c r="BE263" s="591">
        <v>3000000</v>
      </c>
      <c r="BF263" s="591">
        <v>0</v>
      </c>
      <c r="BG263" s="591">
        <v>0</v>
      </c>
      <c r="BH263" s="591">
        <v>0</v>
      </c>
      <c r="BI263" s="591">
        <v>0</v>
      </c>
      <c r="BJ263" s="591">
        <v>0</v>
      </c>
      <c r="BK263" s="700">
        <v>12160743</v>
      </c>
      <c r="BL263" s="589">
        <v>12160743</v>
      </c>
      <c r="BM263" s="589">
        <v>0</v>
      </c>
      <c r="BN263" s="589">
        <v>0</v>
      </c>
      <c r="BO263" s="589">
        <v>0</v>
      </c>
      <c r="BP263" s="589">
        <v>0</v>
      </c>
      <c r="BQ263" s="589">
        <v>0</v>
      </c>
      <c r="BR263" s="589">
        <v>0</v>
      </c>
      <c r="BS263" s="589">
        <v>0</v>
      </c>
      <c r="BT263" s="589">
        <v>0</v>
      </c>
      <c r="BU263" s="589">
        <v>0</v>
      </c>
      <c r="BV263" s="588">
        <f t="shared" si="241"/>
        <v>4.1250000000000002E-2</v>
      </c>
      <c r="BW263" s="588">
        <v>2500</v>
      </c>
      <c r="BX263" s="623">
        <f t="shared" si="226"/>
        <v>0.25</v>
      </c>
      <c r="BY263" s="607">
        <v>482</v>
      </c>
      <c r="BZ263" s="629">
        <v>482</v>
      </c>
      <c r="CA263" s="1017">
        <v>2411</v>
      </c>
      <c r="CB263" s="557">
        <f t="shared" si="227"/>
        <v>602.75</v>
      </c>
      <c r="CC263" s="557">
        <f t="shared" si="228"/>
        <v>96.44</v>
      </c>
      <c r="CD263" s="622">
        <f t="shared" si="242"/>
        <v>96.44</v>
      </c>
      <c r="CE263" s="621">
        <f t="shared" si="243"/>
        <v>3.9781500000000004E-2</v>
      </c>
      <c r="CF263" s="605">
        <f t="shared" si="244"/>
        <v>96.44</v>
      </c>
      <c r="CG263" s="621">
        <f t="shared" si="245"/>
        <v>3.9781500000000004E-2</v>
      </c>
      <c r="CH263" s="553">
        <f t="shared" si="246"/>
        <v>4.1250000000000002E-2</v>
      </c>
      <c r="CI263" s="552">
        <v>2500</v>
      </c>
      <c r="CJ263" s="551">
        <f t="shared" si="229"/>
        <v>0.25</v>
      </c>
      <c r="CK263" s="874">
        <v>596</v>
      </c>
      <c r="CL263" s="533">
        <f t="shared" si="230"/>
        <v>1904</v>
      </c>
      <c r="CM263" s="619">
        <f t="shared" si="231"/>
        <v>149</v>
      </c>
      <c r="CN263" s="619">
        <f t="shared" si="232"/>
        <v>23.84</v>
      </c>
      <c r="CO263" s="619">
        <f t="shared" si="247"/>
        <v>23.84</v>
      </c>
      <c r="CP263" s="619">
        <f t="shared" si="248"/>
        <v>9.8340000000000007E-3</v>
      </c>
      <c r="CQ263" s="619">
        <f t="shared" si="249"/>
        <v>9.8340000000000007E-3</v>
      </c>
      <c r="CR263" s="546">
        <v>5000000</v>
      </c>
      <c r="CS263" s="546">
        <v>5000000</v>
      </c>
      <c r="CT263" s="546">
        <v>0</v>
      </c>
      <c r="CU263" s="546">
        <v>0</v>
      </c>
      <c r="CV263" s="546">
        <v>0</v>
      </c>
      <c r="CW263" s="546">
        <v>0</v>
      </c>
      <c r="CX263" s="546">
        <v>0</v>
      </c>
      <c r="CY263" s="546">
        <v>0</v>
      </c>
      <c r="CZ263" s="618">
        <v>0</v>
      </c>
      <c r="DA263" s="618">
        <v>0</v>
      </c>
      <c r="DB263" s="618">
        <v>0</v>
      </c>
      <c r="DC263" s="618">
        <v>0</v>
      </c>
      <c r="DD263" s="618">
        <v>0</v>
      </c>
      <c r="DE263" s="618">
        <v>0</v>
      </c>
      <c r="DF263" s="618">
        <v>0</v>
      </c>
      <c r="DG263" s="618">
        <v>0</v>
      </c>
      <c r="DH263" s="618">
        <v>0</v>
      </c>
      <c r="DI263" s="618">
        <v>0</v>
      </c>
      <c r="DJ263" s="618">
        <v>0</v>
      </c>
      <c r="DK263" s="1034">
        <f t="shared" si="233"/>
        <v>2048.25</v>
      </c>
      <c r="DL263" s="543">
        <f t="shared" si="250"/>
        <v>0.16500000000000001</v>
      </c>
      <c r="DM263" s="542">
        <f t="shared" si="251"/>
        <v>81.93</v>
      </c>
      <c r="DN263" s="594">
        <f t="shared" si="252"/>
        <v>81.93</v>
      </c>
      <c r="DO263" s="540">
        <f t="shared" si="253"/>
        <v>0.13518450000000001</v>
      </c>
      <c r="DP263" s="597">
        <f>+IF(M263="M",DO263,0)</f>
        <v>0.13518450000000001</v>
      </c>
      <c r="DQ263" s="538">
        <f t="shared" si="254"/>
        <v>0.13518450000000001</v>
      </c>
      <c r="DR263" s="617">
        <f t="shared" si="255"/>
        <v>1</v>
      </c>
      <c r="DS263" s="616">
        <f t="shared" si="256"/>
        <v>0</v>
      </c>
      <c r="DT263" s="259">
        <v>179</v>
      </c>
      <c r="DU263" s="260" t="s">
        <v>605</v>
      </c>
      <c r="DV263" s="259"/>
      <c r="DW263" s="260" t="s">
        <v>242</v>
      </c>
      <c r="DX263" s="259"/>
      <c r="DY263" s="259"/>
      <c r="DZ263" s="259"/>
      <c r="EA263" s="987"/>
      <c r="EB263" s="1041" t="s">
        <v>2597</v>
      </c>
      <c r="EC263" s="802">
        <v>4000000</v>
      </c>
      <c r="EE263" s="1047"/>
    </row>
    <row r="264" spans="4:135" s="534" customFormat="1" ht="76.5" hidden="1" x14ac:dyDescent="0.3">
      <c r="D264" s="783">
        <v>261</v>
      </c>
      <c r="E264" s="799">
        <v>309</v>
      </c>
      <c r="F264" s="787" t="s">
        <v>200</v>
      </c>
      <c r="G264" s="739" t="s">
        <v>17</v>
      </c>
      <c r="H264" s="790" t="s">
        <v>2200</v>
      </c>
      <c r="I264" s="712" t="s">
        <v>782</v>
      </c>
      <c r="J264" s="573" t="s">
        <v>841</v>
      </c>
      <c r="K264" s="573" t="s">
        <v>842</v>
      </c>
      <c r="L264" s="701" t="s">
        <v>2201</v>
      </c>
      <c r="M264" s="571" t="s">
        <v>2017</v>
      </c>
      <c r="N264" s="571">
        <v>0</v>
      </c>
      <c r="O264" s="570">
        <f t="shared" ref="O264:O273" si="257">+N264+P264</f>
        <v>100</v>
      </c>
      <c r="P264" s="569">
        <v>100</v>
      </c>
      <c r="Q264" s="628">
        <v>0.16500000000000001</v>
      </c>
      <c r="R264" s="580">
        <f t="shared" si="234"/>
        <v>8.2500000000000004E-3</v>
      </c>
      <c r="S264" s="627">
        <v>5</v>
      </c>
      <c r="T264" s="625">
        <f t="shared" si="220"/>
        <v>0.05</v>
      </c>
      <c r="U264" s="992">
        <v>0</v>
      </c>
      <c r="V264" s="626">
        <f t="shared" si="221"/>
        <v>0</v>
      </c>
      <c r="W264" s="594">
        <f t="shared" si="222"/>
        <v>0</v>
      </c>
      <c r="X264" s="594">
        <f t="shared" si="235"/>
        <v>0</v>
      </c>
      <c r="Y264" s="594">
        <f t="shared" si="215"/>
        <v>0</v>
      </c>
      <c r="Z264" s="594">
        <f t="shared" si="236"/>
        <v>0</v>
      </c>
      <c r="AA264" s="593">
        <v>11000000</v>
      </c>
      <c r="AB264" s="593">
        <v>11000000</v>
      </c>
      <c r="AC264" s="593">
        <v>0</v>
      </c>
      <c r="AD264" s="593">
        <v>0</v>
      </c>
      <c r="AE264" s="593">
        <v>0</v>
      </c>
      <c r="AF264" s="593">
        <v>0</v>
      </c>
      <c r="AG264" s="593">
        <v>0</v>
      </c>
      <c r="AH264" s="593">
        <v>0</v>
      </c>
      <c r="AI264" s="593">
        <v>0</v>
      </c>
      <c r="AJ264" s="593">
        <v>0</v>
      </c>
      <c r="AK264" s="593">
        <v>0</v>
      </c>
      <c r="AL264" s="593">
        <v>0</v>
      </c>
      <c r="AM264" s="593">
        <v>0</v>
      </c>
      <c r="AN264" s="593">
        <v>0</v>
      </c>
      <c r="AO264" s="593">
        <v>0</v>
      </c>
      <c r="AP264" s="593">
        <v>0</v>
      </c>
      <c r="AQ264" s="593">
        <v>0</v>
      </c>
      <c r="AR264" s="593">
        <v>0</v>
      </c>
      <c r="AS264" s="593">
        <v>0</v>
      </c>
      <c r="AT264" s="570">
        <f t="shared" si="237"/>
        <v>4.9500000000000002E-2</v>
      </c>
      <c r="AU264" s="571">
        <v>30</v>
      </c>
      <c r="AV264" s="625">
        <f t="shared" si="223"/>
        <v>0.3</v>
      </c>
      <c r="AW264" s="1012">
        <v>40</v>
      </c>
      <c r="AX264" s="604">
        <f t="shared" si="224"/>
        <v>40</v>
      </c>
      <c r="AY264" s="604">
        <f t="shared" si="225"/>
        <v>133.33333333333334</v>
      </c>
      <c r="AZ264" s="604">
        <f t="shared" si="238"/>
        <v>100</v>
      </c>
      <c r="BA264" s="592">
        <f t="shared" si="239"/>
        <v>4.9500000000000002E-2</v>
      </c>
      <c r="BB264" s="592">
        <f t="shared" si="240"/>
        <v>100</v>
      </c>
      <c r="BC264" s="591">
        <v>0</v>
      </c>
      <c r="BD264" s="591">
        <v>0</v>
      </c>
      <c r="BE264" s="591">
        <v>0</v>
      </c>
      <c r="BF264" s="591">
        <v>0</v>
      </c>
      <c r="BG264" s="591">
        <v>0</v>
      </c>
      <c r="BH264" s="591">
        <v>0</v>
      </c>
      <c r="BI264" s="591">
        <v>0</v>
      </c>
      <c r="BJ264" s="591">
        <v>0</v>
      </c>
      <c r="BK264" s="700">
        <v>94400000</v>
      </c>
      <c r="BL264" s="589">
        <v>94400000</v>
      </c>
      <c r="BM264" s="589">
        <v>0</v>
      </c>
      <c r="BN264" s="589">
        <v>0</v>
      </c>
      <c r="BO264" s="589">
        <v>0</v>
      </c>
      <c r="BP264" s="589">
        <v>0</v>
      </c>
      <c r="BQ264" s="589">
        <v>0</v>
      </c>
      <c r="BR264" s="589">
        <v>0</v>
      </c>
      <c r="BS264" s="589">
        <v>0</v>
      </c>
      <c r="BT264" s="589">
        <v>0</v>
      </c>
      <c r="BU264" s="589">
        <v>0</v>
      </c>
      <c r="BV264" s="588">
        <f t="shared" si="241"/>
        <v>4.9500000000000002E-2</v>
      </c>
      <c r="BW264" s="588">
        <v>30</v>
      </c>
      <c r="BX264" s="623">
        <f t="shared" si="226"/>
        <v>0.3</v>
      </c>
      <c r="BY264" s="607">
        <v>0.18000000715255737</v>
      </c>
      <c r="BZ264" s="629">
        <v>0</v>
      </c>
      <c r="CA264" s="1017">
        <v>0.25</v>
      </c>
      <c r="CB264" s="557">
        <f t="shared" si="227"/>
        <v>0.25</v>
      </c>
      <c r="CC264" s="557">
        <f t="shared" si="228"/>
        <v>0.83333333333333337</v>
      </c>
      <c r="CD264" s="622">
        <f t="shared" si="242"/>
        <v>0.83333333333333337</v>
      </c>
      <c r="CE264" s="621">
        <f t="shared" si="243"/>
        <v>4.125E-4</v>
      </c>
      <c r="CF264" s="605">
        <f t="shared" si="244"/>
        <v>0.83333333333333337</v>
      </c>
      <c r="CG264" s="621">
        <f t="shared" si="245"/>
        <v>4.125E-4</v>
      </c>
      <c r="CH264" s="553">
        <f t="shared" si="246"/>
        <v>5.7749999999999996E-2</v>
      </c>
      <c r="CI264" s="552">
        <v>35</v>
      </c>
      <c r="CJ264" s="551">
        <f t="shared" si="229"/>
        <v>0.35</v>
      </c>
      <c r="CK264" s="874">
        <v>0</v>
      </c>
      <c r="CL264" s="533">
        <f t="shared" si="230"/>
        <v>35</v>
      </c>
      <c r="CM264" s="619">
        <f t="shared" si="231"/>
        <v>0</v>
      </c>
      <c r="CN264" s="619">
        <f t="shared" si="232"/>
        <v>0</v>
      </c>
      <c r="CO264" s="549">
        <f t="shared" si="247"/>
        <v>0</v>
      </c>
      <c r="CP264" s="619">
        <f t="shared" si="248"/>
        <v>0</v>
      </c>
      <c r="CQ264" s="619">
        <f t="shared" si="249"/>
        <v>0</v>
      </c>
      <c r="CR264" s="546">
        <v>0</v>
      </c>
      <c r="CS264" s="546">
        <v>0</v>
      </c>
      <c r="CT264" s="546">
        <v>0</v>
      </c>
      <c r="CU264" s="546">
        <v>0</v>
      </c>
      <c r="CV264" s="546">
        <v>0</v>
      </c>
      <c r="CW264" s="546">
        <v>0</v>
      </c>
      <c r="CX264" s="546">
        <v>0</v>
      </c>
      <c r="CY264" s="546">
        <v>0</v>
      </c>
      <c r="CZ264" s="618">
        <v>0</v>
      </c>
      <c r="DA264" s="618">
        <v>0</v>
      </c>
      <c r="DB264" s="618">
        <v>0</v>
      </c>
      <c r="DC264" s="618">
        <v>0</v>
      </c>
      <c r="DD264" s="618">
        <v>0</v>
      </c>
      <c r="DE264" s="618">
        <v>0</v>
      </c>
      <c r="DF264" s="618">
        <v>0</v>
      </c>
      <c r="DG264" s="618">
        <v>0</v>
      </c>
      <c r="DH264" s="618">
        <v>0</v>
      </c>
      <c r="DI264" s="618">
        <v>0</v>
      </c>
      <c r="DJ264" s="618">
        <v>0</v>
      </c>
      <c r="DK264" s="1034">
        <f t="shared" si="233"/>
        <v>40.25</v>
      </c>
      <c r="DL264" s="543">
        <f t="shared" si="250"/>
        <v>0.16500000000000001</v>
      </c>
      <c r="DM264" s="542">
        <f t="shared" si="251"/>
        <v>40.25</v>
      </c>
      <c r="DN264" s="594">
        <f t="shared" si="252"/>
        <v>40.25</v>
      </c>
      <c r="DO264" s="540">
        <f t="shared" si="253"/>
        <v>6.6412499999999999E-2</v>
      </c>
      <c r="DP264" s="597">
        <f t="shared" ref="DP264:DP273" si="258">+IF(((DN264*Q264)/100)&lt;Q264, ((DN264*Q264)/100),Q264)</f>
        <v>6.6412499999999999E-2</v>
      </c>
      <c r="DQ264" s="538">
        <f t="shared" si="254"/>
        <v>6.6412499999999999E-2</v>
      </c>
      <c r="DR264" s="617">
        <f t="shared" si="255"/>
        <v>0.99999999999999989</v>
      </c>
      <c r="DS264" s="616">
        <f t="shared" si="256"/>
        <v>0</v>
      </c>
      <c r="DT264" s="259">
        <v>269</v>
      </c>
      <c r="DU264" s="260" t="s">
        <v>275</v>
      </c>
      <c r="DV264" s="259"/>
      <c r="DW264" s="260" t="s">
        <v>242</v>
      </c>
      <c r="DX264" s="259"/>
      <c r="DY264" s="259"/>
      <c r="DZ264" s="259"/>
      <c r="EA264" s="987"/>
      <c r="EB264" s="1041" t="s">
        <v>2598</v>
      </c>
      <c r="EC264" s="802">
        <v>0</v>
      </c>
      <c r="EE264" s="1047"/>
    </row>
    <row r="265" spans="4:135" s="534" customFormat="1" ht="102" hidden="1" x14ac:dyDescent="0.3">
      <c r="D265" s="783">
        <v>262</v>
      </c>
      <c r="E265" s="799">
        <v>310</v>
      </c>
      <c r="F265" s="787" t="s">
        <v>200</v>
      </c>
      <c r="G265" s="739" t="s">
        <v>17</v>
      </c>
      <c r="H265" s="790" t="s">
        <v>2200</v>
      </c>
      <c r="I265" s="712" t="s">
        <v>782</v>
      </c>
      <c r="J265" s="573" t="s">
        <v>843</v>
      </c>
      <c r="K265" s="573" t="s">
        <v>844</v>
      </c>
      <c r="L265" s="701" t="s">
        <v>2201</v>
      </c>
      <c r="M265" s="571" t="s">
        <v>2017</v>
      </c>
      <c r="N265" s="571">
        <v>0</v>
      </c>
      <c r="O265" s="570">
        <f t="shared" si="257"/>
        <v>100</v>
      </c>
      <c r="P265" s="569">
        <v>100</v>
      </c>
      <c r="Q265" s="628">
        <v>0.16500000000000001</v>
      </c>
      <c r="R265" s="580">
        <f t="shared" si="234"/>
        <v>1.6500000000000001E-2</v>
      </c>
      <c r="S265" s="627">
        <v>10</v>
      </c>
      <c r="T265" s="625">
        <f t="shared" si="220"/>
        <v>0.1</v>
      </c>
      <c r="U265" s="992">
        <v>60</v>
      </c>
      <c r="V265" s="626">
        <f t="shared" si="221"/>
        <v>60</v>
      </c>
      <c r="W265" s="594">
        <f t="shared" si="222"/>
        <v>600</v>
      </c>
      <c r="X265" s="594">
        <f t="shared" si="235"/>
        <v>100</v>
      </c>
      <c r="Y265" s="594">
        <f t="shared" si="215"/>
        <v>1.6500000000000001E-2</v>
      </c>
      <c r="Z265" s="594">
        <f t="shared" si="236"/>
        <v>100</v>
      </c>
      <c r="AA265" s="593">
        <v>128958000</v>
      </c>
      <c r="AB265" s="593">
        <v>128958000</v>
      </c>
      <c r="AC265" s="593">
        <v>0</v>
      </c>
      <c r="AD265" s="593">
        <v>0</v>
      </c>
      <c r="AE265" s="593">
        <v>0</v>
      </c>
      <c r="AF265" s="593">
        <v>0</v>
      </c>
      <c r="AG265" s="593">
        <v>0</v>
      </c>
      <c r="AH265" s="593">
        <v>0</v>
      </c>
      <c r="AI265" s="593">
        <v>7978000</v>
      </c>
      <c r="AJ265" s="593">
        <v>7978000</v>
      </c>
      <c r="AK265" s="593">
        <v>0</v>
      </c>
      <c r="AL265" s="593">
        <v>0</v>
      </c>
      <c r="AM265" s="593">
        <v>0</v>
      </c>
      <c r="AN265" s="593">
        <v>0</v>
      </c>
      <c r="AO265" s="593">
        <v>0</v>
      </c>
      <c r="AP265" s="593">
        <v>0</v>
      </c>
      <c r="AQ265" s="593">
        <v>0</v>
      </c>
      <c r="AR265" s="593">
        <v>0</v>
      </c>
      <c r="AS265" s="593">
        <v>0</v>
      </c>
      <c r="AT265" s="570">
        <f t="shared" si="237"/>
        <v>4.9500000000000002E-2</v>
      </c>
      <c r="AU265" s="571">
        <v>30</v>
      </c>
      <c r="AV265" s="625">
        <f t="shared" si="223"/>
        <v>0.3</v>
      </c>
      <c r="AW265" s="1012">
        <v>30</v>
      </c>
      <c r="AX265" s="604">
        <f t="shared" si="224"/>
        <v>30</v>
      </c>
      <c r="AY265" s="604">
        <f t="shared" si="225"/>
        <v>100</v>
      </c>
      <c r="AZ265" s="604">
        <f t="shared" si="238"/>
        <v>100</v>
      </c>
      <c r="BA265" s="592">
        <f t="shared" si="239"/>
        <v>4.9500000000000002E-2</v>
      </c>
      <c r="BB265" s="592">
        <f t="shared" si="240"/>
        <v>100</v>
      </c>
      <c r="BC265" s="591">
        <v>0</v>
      </c>
      <c r="BD265" s="591">
        <v>0</v>
      </c>
      <c r="BE265" s="591">
        <v>0</v>
      </c>
      <c r="BF265" s="591">
        <v>0</v>
      </c>
      <c r="BG265" s="591">
        <v>0</v>
      </c>
      <c r="BH265" s="591">
        <v>0</v>
      </c>
      <c r="BI265" s="591">
        <v>0</v>
      </c>
      <c r="BJ265" s="591">
        <v>0</v>
      </c>
      <c r="BK265" s="700">
        <v>639000000</v>
      </c>
      <c r="BL265" s="589">
        <v>639000000</v>
      </c>
      <c r="BM265" s="589">
        <v>0</v>
      </c>
      <c r="BN265" s="589">
        <v>0</v>
      </c>
      <c r="BO265" s="589">
        <v>0</v>
      </c>
      <c r="BP265" s="589">
        <v>0</v>
      </c>
      <c r="BQ265" s="589">
        <v>0</v>
      </c>
      <c r="BR265" s="589">
        <v>0</v>
      </c>
      <c r="BS265" s="589">
        <v>0</v>
      </c>
      <c r="BT265" s="589">
        <v>0</v>
      </c>
      <c r="BU265" s="589">
        <v>0</v>
      </c>
      <c r="BV265" s="588">
        <f t="shared" si="241"/>
        <v>4.9500000000000002E-2</v>
      </c>
      <c r="BW265" s="588">
        <v>30</v>
      </c>
      <c r="BX265" s="623">
        <f t="shared" si="226"/>
        <v>0.3</v>
      </c>
      <c r="BY265" s="607">
        <v>0</v>
      </c>
      <c r="BZ265" s="629">
        <v>0</v>
      </c>
      <c r="CA265" s="1017">
        <v>462</v>
      </c>
      <c r="CB265" s="557">
        <f t="shared" si="227"/>
        <v>462</v>
      </c>
      <c r="CC265" s="557">
        <f t="shared" si="228"/>
        <v>1540</v>
      </c>
      <c r="CD265" s="622">
        <f t="shared" si="242"/>
        <v>100</v>
      </c>
      <c r="CE265" s="621">
        <f t="shared" si="243"/>
        <v>4.9500000000000002E-2</v>
      </c>
      <c r="CF265" s="605">
        <f t="shared" si="244"/>
        <v>100</v>
      </c>
      <c r="CG265" s="621">
        <f t="shared" si="245"/>
        <v>0.76230000000000009</v>
      </c>
      <c r="CH265" s="553">
        <f t="shared" si="246"/>
        <v>4.9500000000000002E-2</v>
      </c>
      <c r="CI265" s="552">
        <v>30</v>
      </c>
      <c r="CJ265" s="551">
        <f t="shared" si="229"/>
        <v>0.3</v>
      </c>
      <c r="CK265" s="874">
        <v>0</v>
      </c>
      <c r="CL265" s="533">
        <f t="shared" si="230"/>
        <v>30</v>
      </c>
      <c r="CM265" s="619">
        <f t="shared" si="231"/>
        <v>0</v>
      </c>
      <c r="CN265" s="619">
        <f t="shared" si="232"/>
        <v>0</v>
      </c>
      <c r="CO265" s="549">
        <f t="shared" si="247"/>
        <v>0</v>
      </c>
      <c r="CP265" s="619">
        <f t="shared" si="248"/>
        <v>0</v>
      </c>
      <c r="CQ265" s="619">
        <f t="shared" si="249"/>
        <v>0</v>
      </c>
      <c r="CR265" s="546">
        <v>0</v>
      </c>
      <c r="CS265" s="546">
        <v>0</v>
      </c>
      <c r="CT265" s="546">
        <v>0</v>
      </c>
      <c r="CU265" s="546">
        <v>0</v>
      </c>
      <c r="CV265" s="546">
        <v>0</v>
      </c>
      <c r="CW265" s="546">
        <v>0</v>
      </c>
      <c r="CX265" s="546">
        <v>0</v>
      </c>
      <c r="CY265" s="546">
        <v>0</v>
      </c>
      <c r="CZ265" s="618">
        <v>0</v>
      </c>
      <c r="DA265" s="618">
        <v>0</v>
      </c>
      <c r="DB265" s="618">
        <v>0</v>
      </c>
      <c r="DC265" s="618">
        <v>0</v>
      </c>
      <c r="DD265" s="618">
        <v>0</v>
      </c>
      <c r="DE265" s="618">
        <v>0</v>
      </c>
      <c r="DF265" s="618">
        <v>0</v>
      </c>
      <c r="DG265" s="618">
        <v>0</v>
      </c>
      <c r="DH265" s="618">
        <v>0</v>
      </c>
      <c r="DI265" s="618">
        <v>0</v>
      </c>
      <c r="DJ265" s="618">
        <v>0</v>
      </c>
      <c r="DK265" s="1034">
        <f t="shared" si="233"/>
        <v>552</v>
      </c>
      <c r="DL265" s="543">
        <f t="shared" si="250"/>
        <v>0.16500000000000001</v>
      </c>
      <c r="DM265" s="542">
        <f t="shared" si="251"/>
        <v>552</v>
      </c>
      <c r="DN265" s="594">
        <f t="shared" si="252"/>
        <v>100</v>
      </c>
      <c r="DO265" s="540">
        <f t="shared" si="253"/>
        <v>0.16500000000000001</v>
      </c>
      <c r="DP265" s="597">
        <f t="shared" si="258"/>
        <v>0.16500000000000001</v>
      </c>
      <c r="DQ265" s="538">
        <f t="shared" si="254"/>
        <v>0.16500000000000001</v>
      </c>
      <c r="DR265" s="617">
        <f t="shared" si="255"/>
        <v>1</v>
      </c>
      <c r="DS265" s="616">
        <f t="shared" si="256"/>
        <v>0</v>
      </c>
      <c r="DT265" s="259">
        <v>269</v>
      </c>
      <c r="DU265" s="260" t="s">
        <v>275</v>
      </c>
      <c r="DV265" s="259"/>
      <c r="DW265" s="260" t="s">
        <v>242</v>
      </c>
      <c r="DX265" s="259"/>
      <c r="DY265" s="259"/>
      <c r="DZ265" s="259"/>
      <c r="EA265" s="987"/>
      <c r="EB265" s="1041" t="s">
        <v>2599</v>
      </c>
      <c r="EC265" s="802">
        <v>0</v>
      </c>
      <c r="EE265" s="1047"/>
    </row>
    <row r="266" spans="4:135" s="534" customFormat="1" ht="51" x14ac:dyDescent="0.3">
      <c r="D266" s="783">
        <v>263</v>
      </c>
      <c r="E266" s="799">
        <v>311</v>
      </c>
      <c r="F266" s="787" t="s">
        <v>200</v>
      </c>
      <c r="G266" s="739" t="s">
        <v>16</v>
      </c>
      <c r="H266" s="790" t="s">
        <v>2200</v>
      </c>
      <c r="I266" s="712" t="s">
        <v>782</v>
      </c>
      <c r="J266" s="573" t="s">
        <v>845</v>
      </c>
      <c r="K266" s="573" t="s">
        <v>846</v>
      </c>
      <c r="L266" s="702" t="s">
        <v>1642</v>
      </c>
      <c r="M266" s="571" t="s">
        <v>2017</v>
      </c>
      <c r="N266" s="571">
        <v>200</v>
      </c>
      <c r="O266" s="570">
        <f t="shared" si="257"/>
        <v>700</v>
      </c>
      <c r="P266" s="569">
        <v>500</v>
      </c>
      <c r="Q266" s="628">
        <v>0.16500000000000001</v>
      </c>
      <c r="R266" s="580">
        <f t="shared" si="234"/>
        <v>3.3000000000000002E-2</v>
      </c>
      <c r="S266" s="627">
        <v>100</v>
      </c>
      <c r="T266" s="625">
        <f t="shared" si="220"/>
        <v>0.2</v>
      </c>
      <c r="U266" s="992">
        <v>154</v>
      </c>
      <c r="V266" s="626">
        <f t="shared" si="221"/>
        <v>154</v>
      </c>
      <c r="W266" s="594">
        <f t="shared" si="222"/>
        <v>154</v>
      </c>
      <c r="X266" s="594">
        <f t="shared" si="235"/>
        <v>100</v>
      </c>
      <c r="Y266" s="594">
        <f t="shared" si="215"/>
        <v>3.3000000000000002E-2</v>
      </c>
      <c r="Z266" s="594">
        <f t="shared" si="236"/>
        <v>100</v>
      </c>
      <c r="AA266" s="593">
        <v>200000000</v>
      </c>
      <c r="AB266" s="593">
        <v>200000000</v>
      </c>
      <c r="AC266" s="593">
        <v>0</v>
      </c>
      <c r="AD266" s="593">
        <v>0</v>
      </c>
      <c r="AE266" s="593">
        <v>0</v>
      </c>
      <c r="AF266" s="593">
        <v>0</v>
      </c>
      <c r="AG266" s="593">
        <v>0</v>
      </c>
      <c r="AH266" s="593">
        <v>0</v>
      </c>
      <c r="AI266" s="593">
        <v>200000000</v>
      </c>
      <c r="AJ266" s="593">
        <v>200000000</v>
      </c>
      <c r="AK266" s="593">
        <v>0</v>
      </c>
      <c r="AL266" s="593">
        <v>0</v>
      </c>
      <c r="AM266" s="593">
        <v>0</v>
      </c>
      <c r="AN266" s="593">
        <v>0</v>
      </c>
      <c r="AO266" s="593">
        <v>0</v>
      </c>
      <c r="AP266" s="593">
        <v>0</v>
      </c>
      <c r="AQ266" s="593">
        <v>0</v>
      </c>
      <c r="AR266" s="593">
        <v>25000000</v>
      </c>
      <c r="AS266" s="593" t="s">
        <v>1593</v>
      </c>
      <c r="AT266" s="570">
        <f t="shared" si="237"/>
        <v>3.3000000000000002E-2</v>
      </c>
      <c r="AU266" s="571">
        <v>100</v>
      </c>
      <c r="AV266" s="625">
        <f t="shared" si="223"/>
        <v>0.2</v>
      </c>
      <c r="AW266" s="1003">
        <v>110</v>
      </c>
      <c r="AX266" s="604">
        <f t="shared" si="224"/>
        <v>110</v>
      </c>
      <c r="AY266" s="604">
        <f t="shared" si="225"/>
        <v>110</v>
      </c>
      <c r="AZ266" s="604">
        <f t="shared" si="238"/>
        <v>100</v>
      </c>
      <c r="BA266" s="592">
        <f t="shared" si="239"/>
        <v>3.3000000000000002E-2</v>
      </c>
      <c r="BB266" s="592">
        <f t="shared" si="240"/>
        <v>100</v>
      </c>
      <c r="BC266" s="591">
        <v>130000000</v>
      </c>
      <c r="BD266" s="591">
        <v>0</v>
      </c>
      <c r="BE266" s="591">
        <v>130000000</v>
      </c>
      <c r="BF266" s="591">
        <v>0</v>
      </c>
      <c r="BG266" s="591">
        <v>0</v>
      </c>
      <c r="BH266" s="591">
        <v>0</v>
      </c>
      <c r="BI266" s="591">
        <v>0</v>
      </c>
      <c r="BJ266" s="591">
        <v>0</v>
      </c>
      <c r="BK266" s="700">
        <v>97500000</v>
      </c>
      <c r="BL266" s="589">
        <v>97500000</v>
      </c>
      <c r="BM266" s="589">
        <v>0</v>
      </c>
      <c r="BN266" s="589">
        <v>0</v>
      </c>
      <c r="BO266" s="589">
        <v>0</v>
      </c>
      <c r="BP266" s="589">
        <v>0</v>
      </c>
      <c r="BQ266" s="589">
        <v>0</v>
      </c>
      <c r="BR266" s="589">
        <v>0</v>
      </c>
      <c r="BS266" s="589">
        <v>0</v>
      </c>
      <c r="BT266" s="589">
        <v>10000000</v>
      </c>
      <c r="BU266" s="589" t="s">
        <v>2181</v>
      </c>
      <c r="BV266" s="588">
        <f t="shared" si="241"/>
        <v>3.3000000000000002E-2</v>
      </c>
      <c r="BW266" s="588">
        <v>100</v>
      </c>
      <c r="BX266" s="623">
        <f t="shared" si="226"/>
        <v>0.2</v>
      </c>
      <c r="BY266" s="639">
        <v>159</v>
      </c>
      <c r="BZ266" s="638">
        <v>247</v>
      </c>
      <c r="CA266" s="1018">
        <v>304</v>
      </c>
      <c r="CB266" s="557">
        <f t="shared" si="227"/>
        <v>304</v>
      </c>
      <c r="CC266" s="557">
        <f t="shared" si="228"/>
        <v>304</v>
      </c>
      <c r="CD266" s="622">
        <f t="shared" si="242"/>
        <v>100</v>
      </c>
      <c r="CE266" s="621">
        <f t="shared" si="243"/>
        <v>3.3000000000000002E-2</v>
      </c>
      <c r="CF266" s="605">
        <f t="shared" si="244"/>
        <v>100</v>
      </c>
      <c r="CG266" s="621">
        <f t="shared" si="245"/>
        <v>0.10032000000000001</v>
      </c>
      <c r="CH266" s="553">
        <f t="shared" si="246"/>
        <v>6.6000000000000003E-2</v>
      </c>
      <c r="CI266" s="552">
        <v>200</v>
      </c>
      <c r="CJ266" s="551">
        <f t="shared" si="229"/>
        <v>0.4</v>
      </c>
      <c r="CK266" s="1048">
        <v>74</v>
      </c>
      <c r="CL266" s="533">
        <f t="shared" si="230"/>
        <v>126</v>
      </c>
      <c r="CM266" s="619">
        <f t="shared" si="231"/>
        <v>74</v>
      </c>
      <c r="CN266" s="619">
        <f t="shared" si="232"/>
        <v>37</v>
      </c>
      <c r="CO266" s="549">
        <f t="shared" si="247"/>
        <v>37</v>
      </c>
      <c r="CP266" s="619">
        <f t="shared" si="248"/>
        <v>2.4420000000000001E-2</v>
      </c>
      <c r="CQ266" s="619">
        <f t="shared" si="249"/>
        <v>2.4420000000000001E-2</v>
      </c>
      <c r="CR266" s="546">
        <v>300000000</v>
      </c>
      <c r="CS266" s="546">
        <v>300000000</v>
      </c>
      <c r="CT266" s="546">
        <v>0</v>
      </c>
      <c r="CU266" s="546">
        <v>0</v>
      </c>
      <c r="CV266" s="546">
        <v>0</v>
      </c>
      <c r="CW266" s="546">
        <v>0</v>
      </c>
      <c r="CX266" s="546">
        <v>0</v>
      </c>
      <c r="CY266" s="546">
        <v>0</v>
      </c>
      <c r="CZ266" s="618">
        <v>0</v>
      </c>
      <c r="DA266" s="618">
        <v>0</v>
      </c>
      <c r="DB266" s="618">
        <v>0</v>
      </c>
      <c r="DC266" s="618">
        <v>0</v>
      </c>
      <c r="DD266" s="618">
        <v>0</v>
      </c>
      <c r="DE266" s="618">
        <v>0</v>
      </c>
      <c r="DF266" s="618">
        <v>0</v>
      </c>
      <c r="DG266" s="618">
        <v>0</v>
      </c>
      <c r="DH266" s="618">
        <v>0</v>
      </c>
      <c r="DI266" s="618">
        <v>0</v>
      </c>
      <c r="DJ266" s="618">
        <v>0</v>
      </c>
      <c r="DK266" s="1051">
        <f t="shared" si="233"/>
        <v>642</v>
      </c>
      <c r="DL266" s="543">
        <f t="shared" si="250"/>
        <v>0.16500000000000001</v>
      </c>
      <c r="DM266" s="542">
        <f t="shared" si="251"/>
        <v>128.4</v>
      </c>
      <c r="DN266" s="594">
        <f t="shared" si="252"/>
        <v>100</v>
      </c>
      <c r="DO266" s="540">
        <f t="shared" si="253"/>
        <v>0.16500000000000001</v>
      </c>
      <c r="DP266" s="597">
        <f t="shared" si="258"/>
        <v>0.16500000000000001</v>
      </c>
      <c r="DQ266" s="538">
        <f t="shared" si="254"/>
        <v>0.16500000000000001</v>
      </c>
      <c r="DR266" s="617">
        <f t="shared" si="255"/>
        <v>1</v>
      </c>
      <c r="DS266" s="616">
        <f t="shared" si="256"/>
        <v>0</v>
      </c>
      <c r="DT266" s="259">
        <v>269</v>
      </c>
      <c r="DU266" s="260" t="s">
        <v>275</v>
      </c>
      <c r="DV266" s="259"/>
      <c r="DW266" s="260" t="s">
        <v>242</v>
      </c>
      <c r="DX266" s="259"/>
      <c r="DY266" s="259"/>
      <c r="DZ266" s="259"/>
      <c r="EA266" s="987"/>
      <c r="EB266" s="1041" t="s">
        <v>2906</v>
      </c>
      <c r="EC266" s="802">
        <v>300000000</v>
      </c>
      <c r="EE266" s="1047">
        <v>100</v>
      </c>
    </row>
    <row r="267" spans="4:135" s="534" customFormat="1" ht="63.75" x14ac:dyDescent="0.3">
      <c r="D267" s="783">
        <v>264</v>
      </c>
      <c r="E267" s="799">
        <v>312</v>
      </c>
      <c r="F267" s="787" t="s">
        <v>200</v>
      </c>
      <c r="G267" s="739" t="s">
        <v>16</v>
      </c>
      <c r="H267" s="790" t="s">
        <v>2200</v>
      </c>
      <c r="I267" s="712" t="s">
        <v>782</v>
      </c>
      <c r="J267" s="573" t="s">
        <v>847</v>
      </c>
      <c r="K267" s="573" t="s">
        <v>848</v>
      </c>
      <c r="L267" s="702" t="s">
        <v>1682</v>
      </c>
      <c r="M267" s="571" t="s">
        <v>2017</v>
      </c>
      <c r="N267" s="571">
        <v>0</v>
      </c>
      <c r="O267" s="570">
        <f t="shared" si="257"/>
        <v>150</v>
      </c>
      <c r="P267" s="569">
        <v>150</v>
      </c>
      <c r="Q267" s="628">
        <v>0.16500000000000001</v>
      </c>
      <c r="R267" s="580">
        <f t="shared" si="234"/>
        <v>2.2000000000000002E-2</v>
      </c>
      <c r="S267" s="627">
        <v>20</v>
      </c>
      <c r="T267" s="625">
        <f t="shared" si="220"/>
        <v>0.13333333333333333</v>
      </c>
      <c r="U267" s="992">
        <v>102</v>
      </c>
      <c r="V267" s="626">
        <f t="shared" si="221"/>
        <v>102</v>
      </c>
      <c r="W267" s="594">
        <f t="shared" si="222"/>
        <v>510</v>
      </c>
      <c r="X267" s="594">
        <f t="shared" si="235"/>
        <v>100</v>
      </c>
      <c r="Y267" s="594">
        <f t="shared" si="215"/>
        <v>2.2000000000000002E-2</v>
      </c>
      <c r="Z267" s="594">
        <f t="shared" si="236"/>
        <v>100</v>
      </c>
      <c r="AA267" s="593">
        <v>0</v>
      </c>
      <c r="AB267" s="593">
        <v>0</v>
      </c>
      <c r="AC267" s="593">
        <v>0</v>
      </c>
      <c r="AD267" s="593">
        <v>0</v>
      </c>
      <c r="AE267" s="593">
        <v>0</v>
      </c>
      <c r="AF267" s="593">
        <v>0</v>
      </c>
      <c r="AG267" s="593">
        <v>0</v>
      </c>
      <c r="AH267" s="593">
        <v>0</v>
      </c>
      <c r="AI267" s="593">
        <v>0</v>
      </c>
      <c r="AJ267" s="593">
        <v>0</v>
      </c>
      <c r="AK267" s="593">
        <v>0</v>
      </c>
      <c r="AL267" s="593">
        <v>0</v>
      </c>
      <c r="AM267" s="593">
        <v>0</v>
      </c>
      <c r="AN267" s="593">
        <v>0</v>
      </c>
      <c r="AO267" s="593">
        <v>0</v>
      </c>
      <c r="AP267" s="593">
        <v>0</v>
      </c>
      <c r="AQ267" s="593">
        <v>0</v>
      </c>
      <c r="AR267" s="593">
        <v>0</v>
      </c>
      <c r="AS267" s="593">
        <v>0</v>
      </c>
      <c r="AT267" s="570">
        <f t="shared" si="237"/>
        <v>5.5E-2</v>
      </c>
      <c r="AU267" s="571">
        <v>50</v>
      </c>
      <c r="AV267" s="625">
        <f t="shared" si="223"/>
        <v>0.33333333333333331</v>
      </c>
      <c r="AW267" s="1003">
        <v>0</v>
      </c>
      <c r="AX267" s="604">
        <f t="shared" si="224"/>
        <v>0</v>
      </c>
      <c r="AY267" s="604">
        <f t="shared" si="225"/>
        <v>0</v>
      </c>
      <c r="AZ267" s="604">
        <f t="shared" si="238"/>
        <v>0</v>
      </c>
      <c r="BA267" s="592">
        <f t="shared" si="239"/>
        <v>0</v>
      </c>
      <c r="BB267" s="592">
        <f t="shared" si="240"/>
        <v>0</v>
      </c>
      <c r="BC267" s="591">
        <v>46000000</v>
      </c>
      <c r="BD267" s="591">
        <v>0</v>
      </c>
      <c r="BE267" s="591">
        <v>46000000</v>
      </c>
      <c r="BF267" s="591">
        <v>0</v>
      </c>
      <c r="BG267" s="591">
        <v>0</v>
      </c>
      <c r="BH267" s="591">
        <v>0</v>
      </c>
      <c r="BI267" s="591">
        <v>0</v>
      </c>
      <c r="BJ267" s="591">
        <v>0</v>
      </c>
      <c r="BK267" s="700">
        <v>0</v>
      </c>
      <c r="BL267" s="589">
        <v>0</v>
      </c>
      <c r="BM267" s="589">
        <v>0</v>
      </c>
      <c r="BN267" s="589">
        <v>0</v>
      </c>
      <c r="BO267" s="589">
        <v>0</v>
      </c>
      <c r="BP267" s="589">
        <v>0</v>
      </c>
      <c r="BQ267" s="589">
        <v>0</v>
      </c>
      <c r="BR267" s="589">
        <v>0</v>
      </c>
      <c r="BS267" s="589">
        <v>0</v>
      </c>
      <c r="BT267" s="589">
        <v>0</v>
      </c>
      <c r="BU267" s="589">
        <v>0</v>
      </c>
      <c r="BV267" s="588">
        <f t="shared" si="241"/>
        <v>5.5E-2</v>
      </c>
      <c r="BW267" s="588">
        <v>50</v>
      </c>
      <c r="BX267" s="623">
        <f t="shared" si="226"/>
        <v>0.33333333333333331</v>
      </c>
      <c r="BY267" s="639">
        <v>49</v>
      </c>
      <c r="BZ267" s="638">
        <v>79</v>
      </c>
      <c r="CA267" s="1018">
        <v>79</v>
      </c>
      <c r="CB267" s="557">
        <f t="shared" si="227"/>
        <v>79</v>
      </c>
      <c r="CC267" s="557">
        <f t="shared" si="228"/>
        <v>158</v>
      </c>
      <c r="CD267" s="622">
        <f t="shared" si="242"/>
        <v>100</v>
      </c>
      <c r="CE267" s="621">
        <f t="shared" si="243"/>
        <v>5.5E-2</v>
      </c>
      <c r="CF267" s="605">
        <f t="shared" si="244"/>
        <v>100</v>
      </c>
      <c r="CG267" s="621">
        <f t="shared" si="245"/>
        <v>8.6899999999999991E-2</v>
      </c>
      <c r="CH267" s="553">
        <f t="shared" si="246"/>
        <v>3.3000000000000002E-2</v>
      </c>
      <c r="CI267" s="552">
        <v>30</v>
      </c>
      <c r="CJ267" s="551">
        <f t="shared" si="229"/>
        <v>0.2</v>
      </c>
      <c r="CK267" s="1049">
        <v>0</v>
      </c>
      <c r="CL267" s="533">
        <f t="shared" si="230"/>
        <v>30</v>
      </c>
      <c r="CM267" s="619">
        <f t="shared" si="231"/>
        <v>0</v>
      </c>
      <c r="CN267" s="619">
        <f t="shared" si="232"/>
        <v>0</v>
      </c>
      <c r="CO267" s="549">
        <f t="shared" si="247"/>
        <v>0</v>
      </c>
      <c r="CP267" s="619">
        <f t="shared" si="248"/>
        <v>0</v>
      </c>
      <c r="CQ267" s="619">
        <f t="shared" si="249"/>
        <v>0</v>
      </c>
      <c r="CR267" s="546">
        <v>105000000</v>
      </c>
      <c r="CS267" s="546">
        <v>105000000</v>
      </c>
      <c r="CT267" s="546">
        <v>0</v>
      </c>
      <c r="CU267" s="546">
        <v>0</v>
      </c>
      <c r="CV267" s="546">
        <v>0</v>
      </c>
      <c r="CW267" s="546">
        <v>0</v>
      </c>
      <c r="CX267" s="546">
        <v>0</v>
      </c>
      <c r="CY267" s="546">
        <v>0</v>
      </c>
      <c r="CZ267" s="618">
        <v>0</v>
      </c>
      <c r="DA267" s="618">
        <v>0</v>
      </c>
      <c r="DB267" s="618">
        <v>0</v>
      </c>
      <c r="DC267" s="618">
        <v>0</v>
      </c>
      <c r="DD267" s="618">
        <v>0</v>
      </c>
      <c r="DE267" s="618">
        <v>0</v>
      </c>
      <c r="DF267" s="618">
        <v>0</v>
      </c>
      <c r="DG267" s="618">
        <v>0</v>
      </c>
      <c r="DH267" s="618">
        <v>0</v>
      </c>
      <c r="DI267" s="618">
        <v>0</v>
      </c>
      <c r="DJ267" s="618">
        <v>0</v>
      </c>
      <c r="DK267" s="1051">
        <f t="shared" si="233"/>
        <v>181</v>
      </c>
      <c r="DL267" s="543">
        <f t="shared" si="250"/>
        <v>0.16500000000000001</v>
      </c>
      <c r="DM267" s="542">
        <f t="shared" si="251"/>
        <v>120.66666666666667</v>
      </c>
      <c r="DN267" s="594">
        <f t="shared" si="252"/>
        <v>100</v>
      </c>
      <c r="DO267" s="540">
        <f t="shared" si="253"/>
        <v>0.16500000000000001</v>
      </c>
      <c r="DP267" s="597">
        <f t="shared" si="258"/>
        <v>0.16500000000000001</v>
      </c>
      <c r="DQ267" s="538">
        <f t="shared" si="254"/>
        <v>0.16500000000000001</v>
      </c>
      <c r="DR267" s="617">
        <f t="shared" si="255"/>
        <v>1</v>
      </c>
      <c r="DS267" s="616">
        <f t="shared" si="256"/>
        <v>0</v>
      </c>
      <c r="DT267" s="259">
        <v>269</v>
      </c>
      <c r="DU267" s="260" t="s">
        <v>275</v>
      </c>
      <c r="DV267" s="259"/>
      <c r="DW267" s="260" t="s">
        <v>242</v>
      </c>
      <c r="DX267" s="259"/>
      <c r="DY267" s="259"/>
      <c r="DZ267" s="259"/>
      <c r="EA267" s="987"/>
      <c r="EB267" s="1041" t="s">
        <v>2907</v>
      </c>
      <c r="EC267" s="802">
        <v>105000000</v>
      </c>
      <c r="EE267" s="1047">
        <v>100</v>
      </c>
    </row>
    <row r="268" spans="4:135" s="534" customFormat="1" ht="63.75" x14ac:dyDescent="0.3">
      <c r="D268" s="783">
        <v>265</v>
      </c>
      <c r="E268" s="799">
        <v>313</v>
      </c>
      <c r="F268" s="787" t="s">
        <v>200</v>
      </c>
      <c r="G268" s="739" t="s">
        <v>16</v>
      </c>
      <c r="H268" s="790" t="s">
        <v>2200</v>
      </c>
      <c r="I268" s="712" t="s">
        <v>782</v>
      </c>
      <c r="J268" s="573" t="s">
        <v>849</v>
      </c>
      <c r="K268" s="573" t="s">
        <v>850</v>
      </c>
      <c r="L268" s="702" t="s">
        <v>1642</v>
      </c>
      <c r="M268" s="571" t="s">
        <v>2017</v>
      </c>
      <c r="N268" s="571">
        <v>0</v>
      </c>
      <c r="O268" s="570">
        <f t="shared" si="257"/>
        <v>50</v>
      </c>
      <c r="P268" s="569">
        <v>50</v>
      </c>
      <c r="Q268" s="628">
        <v>0.16500000000000001</v>
      </c>
      <c r="R268" s="580">
        <f t="shared" si="234"/>
        <v>3.3000000000000002E-2</v>
      </c>
      <c r="S268" s="627">
        <v>10</v>
      </c>
      <c r="T268" s="625">
        <f t="shared" si="220"/>
        <v>0.2</v>
      </c>
      <c r="U268" s="992">
        <v>0</v>
      </c>
      <c r="V268" s="626">
        <f t="shared" si="221"/>
        <v>0</v>
      </c>
      <c r="W268" s="594">
        <f t="shared" si="222"/>
        <v>0</v>
      </c>
      <c r="X268" s="594">
        <f t="shared" si="235"/>
        <v>0</v>
      </c>
      <c r="Y268" s="594">
        <f t="shared" si="215"/>
        <v>0</v>
      </c>
      <c r="Z268" s="594">
        <f t="shared" si="236"/>
        <v>0</v>
      </c>
      <c r="AA268" s="593">
        <v>0</v>
      </c>
      <c r="AB268" s="593">
        <v>0</v>
      </c>
      <c r="AC268" s="593">
        <v>0</v>
      </c>
      <c r="AD268" s="593">
        <v>0</v>
      </c>
      <c r="AE268" s="593">
        <v>0</v>
      </c>
      <c r="AF268" s="593">
        <v>0</v>
      </c>
      <c r="AG268" s="593">
        <v>0</v>
      </c>
      <c r="AH268" s="593">
        <v>0</v>
      </c>
      <c r="AI268" s="593">
        <v>0</v>
      </c>
      <c r="AJ268" s="593">
        <v>0</v>
      </c>
      <c r="AK268" s="593">
        <v>0</v>
      </c>
      <c r="AL268" s="593">
        <v>0</v>
      </c>
      <c r="AM268" s="593">
        <v>0</v>
      </c>
      <c r="AN268" s="593">
        <v>0</v>
      </c>
      <c r="AO268" s="593">
        <v>0</v>
      </c>
      <c r="AP268" s="593">
        <v>0</v>
      </c>
      <c r="AQ268" s="593">
        <v>0</v>
      </c>
      <c r="AR268" s="593">
        <v>0</v>
      </c>
      <c r="AS268" s="593">
        <v>0</v>
      </c>
      <c r="AT268" s="570">
        <f t="shared" si="237"/>
        <v>3.3000000000000002E-2</v>
      </c>
      <c r="AU268" s="571">
        <v>10</v>
      </c>
      <c r="AV268" s="625">
        <f t="shared" si="223"/>
        <v>0.2</v>
      </c>
      <c r="AW268" s="1003">
        <v>0</v>
      </c>
      <c r="AX268" s="604">
        <f t="shared" si="224"/>
        <v>0</v>
      </c>
      <c r="AY268" s="604">
        <f t="shared" si="225"/>
        <v>0</v>
      </c>
      <c r="AZ268" s="604">
        <f t="shared" si="238"/>
        <v>0</v>
      </c>
      <c r="BA268" s="592">
        <f t="shared" si="239"/>
        <v>0</v>
      </c>
      <c r="BB268" s="592">
        <f t="shared" si="240"/>
        <v>0</v>
      </c>
      <c r="BC268" s="591">
        <v>20000000</v>
      </c>
      <c r="BD268" s="591">
        <v>0</v>
      </c>
      <c r="BE268" s="591">
        <v>20000000</v>
      </c>
      <c r="BF268" s="591">
        <v>0</v>
      </c>
      <c r="BG268" s="591">
        <v>0</v>
      </c>
      <c r="BH268" s="591">
        <v>0</v>
      </c>
      <c r="BI268" s="591">
        <v>0</v>
      </c>
      <c r="BJ268" s="591">
        <v>0</v>
      </c>
      <c r="BK268" s="700">
        <v>0</v>
      </c>
      <c r="BL268" s="589">
        <v>0</v>
      </c>
      <c r="BM268" s="589">
        <v>0</v>
      </c>
      <c r="BN268" s="589">
        <v>0</v>
      </c>
      <c r="BO268" s="589">
        <v>0</v>
      </c>
      <c r="BP268" s="589">
        <v>0</v>
      </c>
      <c r="BQ268" s="589">
        <v>0</v>
      </c>
      <c r="BR268" s="589">
        <v>0</v>
      </c>
      <c r="BS268" s="589">
        <v>0</v>
      </c>
      <c r="BT268" s="589">
        <v>0</v>
      </c>
      <c r="BU268" s="589">
        <v>0</v>
      </c>
      <c r="BV268" s="588">
        <f t="shared" si="241"/>
        <v>3.3000000000000002E-2</v>
      </c>
      <c r="BW268" s="588">
        <v>10</v>
      </c>
      <c r="BX268" s="623">
        <f t="shared" si="226"/>
        <v>0.2</v>
      </c>
      <c r="BY268" s="639">
        <v>0</v>
      </c>
      <c r="BZ268" s="638">
        <v>0</v>
      </c>
      <c r="CA268" s="1018">
        <v>12</v>
      </c>
      <c r="CB268" s="557">
        <f t="shared" si="227"/>
        <v>12</v>
      </c>
      <c r="CC268" s="557">
        <f t="shared" si="228"/>
        <v>120</v>
      </c>
      <c r="CD268" s="622">
        <f t="shared" si="242"/>
        <v>100</v>
      </c>
      <c r="CE268" s="621">
        <f t="shared" si="243"/>
        <v>3.3000000000000002E-2</v>
      </c>
      <c r="CF268" s="605">
        <f t="shared" si="244"/>
        <v>100</v>
      </c>
      <c r="CG268" s="621">
        <f t="shared" si="245"/>
        <v>3.9599999999999996E-2</v>
      </c>
      <c r="CH268" s="553">
        <f t="shared" si="246"/>
        <v>6.6000000000000003E-2</v>
      </c>
      <c r="CI268" s="552">
        <v>20</v>
      </c>
      <c r="CJ268" s="551">
        <f t="shared" si="229"/>
        <v>0.4</v>
      </c>
      <c r="CK268" s="1048">
        <v>20</v>
      </c>
      <c r="CL268" s="533">
        <f t="shared" si="230"/>
        <v>0</v>
      </c>
      <c r="CM268" s="619">
        <f t="shared" si="231"/>
        <v>20</v>
      </c>
      <c r="CN268" s="619">
        <f t="shared" si="232"/>
        <v>100</v>
      </c>
      <c r="CO268" s="549">
        <f t="shared" si="247"/>
        <v>100</v>
      </c>
      <c r="CP268" s="619">
        <f t="shared" si="248"/>
        <v>6.6000000000000003E-2</v>
      </c>
      <c r="CQ268" s="619">
        <f t="shared" si="249"/>
        <v>6.6000000000000003E-2</v>
      </c>
      <c r="CR268" s="546">
        <v>45000000</v>
      </c>
      <c r="CS268" s="546">
        <v>45000000</v>
      </c>
      <c r="CT268" s="546">
        <v>0</v>
      </c>
      <c r="CU268" s="546">
        <v>0</v>
      </c>
      <c r="CV268" s="546">
        <v>0</v>
      </c>
      <c r="CW268" s="546">
        <v>0</v>
      </c>
      <c r="CX268" s="546">
        <v>0</v>
      </c>
      <c r="CY268" s="546">
        <v>0</v>
      </c>
      <c r="CZ268" s="618">
        <v>0</v>
      </c>
      <c r="DA268" s="618">
        <v>0</v>
      </c>
      <c r="DB268" s="618">
        <v>0</v>
      </c>
      <c r="DC268" s="618">
        <v>0</v>
      </c>
      <c r="DD268" s="618">
        <v>0</v>
      </c>
      <c r="DE268" s="618">
        <v>0</v>
      </c>
      <c r="DF268" s="618">
        <v>0</v>
      </c>
      <c r="DG268" s="618">
        <v>0</v>
      </c>
      <c r="DH268" s="618">
        <v>0</v>
      </c>
      <c r="DI268" s="618">
        <v>0</v>
      </c>
      <c r="DJ268" s="618">
        <v>0</v>
      </c>
      <c r="DK268" s="1051">
        <f t="shared" si="233"/>
        <v>32</v>
      </c>
      <c r="DL268" s="543">
        <f t="shared" si="250"/>
        <v>0.16500000000000001</v>
      </c>
      <c r="DM268" s="542">
        <f t="shared" si="251"/>
        <v>64</v>
      </c>
      <c r="DN268" s="594">
        <f t="shared" si="252"/>
        <v>64</v>
      </c>
      <c r="DO268" s="540">
        <f t="shared" si="253"/>
        <v>0.1056</v>
      </c>
      <c r="DP268" s="597">
        <f t="shared" si="258"/>
        <v>0.1056</v>
      </c>
      <c r="DQ268" s="538">
        <f t="shared" si="254"/>
        <v>0.1056</v>
      </c>
      <c r="DR268" s="617">
        <f t="shared" si="255"/>
        <v>1</v>
      </c>
      <c r="DS268" s="616">
        <f t="shared" si="256"/>
        <v>0</v>
      </c>
      <c r="DT268" s="259">
        <v>269</v>
      </c>
      <c r="DU268" s="260" t="s">
        <v>275</v>
      </c>
      <c r="DV268" s="259"/>
      <c r="DW268" s="260" t="s">
        <v>242</v>
      </c>
      <c r="DX268" s="259"/>
      <c r="DY268" s="259"/>
      <c r="DZ268" s="259"/>
      <c r="EA268" s="987"/>
      <c r="EB268" s="1041" t="s">
        <v>2908</v>
      </c>
      <c r="EC268" s="802">
        <v>45000000</v>
      </c>
      <c r="EE268" s="1047">
        <v>64</v>
      </c>
    </row>
    <row r="269" spans="4:135" s="534" customFormat="1" ht="51" hidden="1" x14ac:dyDescent="0.3">
      <c r="D269" s="783">
        <v>266</v>
      </c>
      <c r="E269" s="799">
        <v>314</v>
      </c>
      <c r="F269" s="787" t="s">
        <v>200</v>
      </c>
      <c r="G269" s="739" t="s">
        <v>7</v>
      </c>
      <c r="H269" s="790" t="s">
        <v>2200</v>
      </c>
      <c r="I269" s="712" t="s">
        <v>782</v>
      </c>
      <c r="J269" s="573" t="s">
        <v>851</v>
      </c>
      <c r="K269" s="573" t="s">
        <v>852</v>
      </c>
      <c r="L269" s="702" t="s">
        <v>2206</v>
      </c>
      <c r="M269" s="571" t="s">
        <v>2017</v>
      </c>
      <c r="N269" s="571">
        <v>0</v>
      </c>
      <c r="O269" s="570">
        <f t="shared" si="257"/>
        <v>3</v>
      </c>
      <c r="P269" s="569">
        <v>3</v>
      </c>
      <c r="Q269" s="628">
        <v>0.16500000000000001</v>
      </c>
      <c r="R269" s="580">
        <f t="shared" si="234"/>
        <v>0</v>
      </c>
      <c r="S269" s="627">
        <v>0</v>
      </c>
      <c r="T269" s="625">
        <f t="shared" si="220"/>
        <v>0</v>
      </c>
      <c r="U269" s="992">
        <v>0</v>
      </c>
      <c r="V269" s="626">
        <f t="shared" si="221"/>
        <v>0</v>
      </c>
      <c r="W269" s="594">
        <f t="shared" si="222"/>
        <v>0</v>
      </c>
      <c r="X269" s="594">
        <f t="shared" si="235"/>
        <v>0</v>
      </c>
      <c r="Y269" s="594">
        <f t="shared" si="215"/>
        <v>0</v>
      </c>
      <c r="Z269" s="594">
        <f t="shared" si="236"/>
        <v>0</v>
      </c>
      <c r="AA269" s="593">
        <v>0</v>
      </c>
      <c r="AB269" s="593">
        <v>0</v>
      </c>
      <c r="AC269" s="593">
        <v>0</v>
      </c>
      <c r="AD269" s="593">
        <v>0</v>
      </c>
      <c r="AE269" s="593">
        <v>0</v>
      </c>
      <c r="AF269" s="593">
        <v>0</v>
      </c>
      <c r="AG269" s="593">
        <v>0</v>
      </c>
      <c r="AH269" s="593">
        <v>0</v>
      </c>
      <c r="AI269" s="593">
        <v>0</v>
      </c>
      <c r="AJ269" s="593">
        <v>0</v>
      </c>
      <c r="AK269" s="593">
        <v>0</v>
      </c>
      <c r="AL269" s="593">
        <v>0</v>
      </c>
      <c r="AM269" s="593">
        <v>0</v>
      </c>
      <c r="AN269" s="593">
        <v>0</v>
      </c>
      <c r="AO269" s="593">
        <v>0</v>
      </c>
      <c r="AP269" s="593">
        <v>0</v>
      </c>
      <c r="AQ269" s="593">
        <v>0</v>
      </c>
      <c r="AR269" s="593">
        <v>0</v>
      </c>
      <c r="AS269" s="593">
        <v>0</v>
      </c>
      <c r="AT269" s="570">
        <f t="shared" si="237"/>
        <v>5.5E-2</v>
      </c>
      <c r="AU269" s="571">
        <v>1</v>
      </c>
      <c r="AV269" s="625">
        <f t="shared" si="223"/>
        <v>0.33333333333333331</v>
      </c>
      <c r="AW269" s="1003">
        <v>0</v>
      </c>
      <c r="AX269" s="604">
        <f t="shared" si="224"/>
        <v>0</v>
      </c>
      <c r="AY269" s="604">
        <f t="shared" si="225"/>
        <v>0</v>
      </c>
      <c r="AZ269" s="604">
        <f t="shared" si="238"/>
        <v>0</v>
      </c>
      <c r="BA269" s="592">
        <f t="shared" si="239"/>
        <v>0</v>
      </c>
      <c r="BB269" s="592">
        <f t="shared" si="240"/>
        <v>0</v>
      </c>
      <c r="BC269" s="591">
        <v>12500000</v>
      </c>
      <c r="BD269" s="591">
        <v>0</v>
      </c>
      <c r="BE269" s="591">
        <v>5000000</v>
      </c>
      <c r="BF269" s="591">
        <v>0</v>
      </c>
      <c r="BG269" s="591">
        <v>0</v>
      </c>
      <c r="BH269" s="591">
        <v>0</v>
      </c>
      <c r="BI269" s="591">
        <v>0</v>
      </c>
      <c r="BJ269" s="591">
        <v>7500000</v>
      </c>
      <c r="BK269" s="700">
        <v>26000000</v>
      </c>
      <c r="BL269" s="589">
        <v>26000000</v>
      </c>
      <c r="BM269" s="589">
        <v>0</v>
      </c>
      <c r="BN269" s="589">
        <v>0</v>
      </c>
      <c r="BO269" s="589">
        <v>0</v>
      </c>
      <c r="BP269" s="589">
        <v>0</v>
      </c>
      <c r="BQ269" s="589">
        <v>0</v>
      </c>
      <c r="BR269" s="589">
        <v>0</v>
      </c>
      <c r="BS269" s="589">
        <v>0</v>
      </c>
      <c r="BT269" s="589">
        <v>0</v>
      </c>
      <c r="BU269" s="589">
        <v>0</v>
      </c>
      <c r="BV269" s="588">
        <f t="shared" si="241"/>
        <v>5.5E-2</v>
      </c>
      <c r="BW269" s="588">
        <v>1</v>
      </c>
      <c r="BX269" s="623">
        <f t="shared" si="226"/>
        <v>0.33333333333333331</v>
      </c>
      <c r="BY269" s="639">
        <v>0</v>
      </c>
      <c r="BZ269" s="638">
        <v>0</v>
      </c>
      <c r="CA269" s="1018">
        <v>1</v>
      </c>
      <c r="CB269" s="557">
        <f t="shared" si="227"/>
        <v>1</v>
      </c>
      <c r="CC269" s="557">
        <f t="shared" si="228"/>
        <v>100</v>
      </c>
      <c r="CD269" s="622">
        <f t="shared" si="242"/>
        <v>100</v>
      </c>
      <c r="CE269" s="621">
        <f t="shared" si="243"/>
        <v>5.5E-2</v>
      </c>
      <c r="CF269" s="605">
        <f t="shared" si="244"/>
        <v>100</v>
      </c>
      <c r="CG269" s="621">
        <f t="shared" si="245"/>
        <v>5.5E-2</v>
      </c>
      <c r="CH269" s="553">
        <f t="shared" si="246"/>
        <v>5.5E-2</v>
      </c>
      <c r="CI269" s="552">
        <v>1</v>
      </c>
      <c r="CJ269" s="551">
        <f t="shared" si="229"/>
        <v>0.33333333333333331</v>
      </c>
      <c r="CK269" s="875">
        <v>0</v>
      </c>
      <c r="CL269" s="533">
        <f t="shared" si="230"/>
        <v>1</v>
      </c>
      <c r="CM269" s="619">
        <f t="shared" si="231"/>
        <v>0</v>
      </c>
      <c r="CN269" s="619">
        <f t="shared" si="232"/>
        <v>0</v>
      </c>
      <c r="CO269" s="549">
        <f t="shared" si="247"/>
        <v>0</v>
      </c>
      <c r="CP269" s="619">
        <f t="shared" si="248"/>
        <v>0</v>
      </c>
      <c r="CQ269" s="619">
        <f t="shared" si="249"/>
        <v>0</v>
      </c>
      <c r="CR269" s="546">
        <v>19500000</v>
      </c>
      <c r="CS269" s="546">
        <v>12000000</v>
      </c>
      <c r="CT269" s="546">
        <v>0</v>
      </c>
      <c r="CU269" s="546">
        <v>0</v>
      </c>
      <c r="CV269" s="546">
        <v>0</v>
      </c>
      <c r="CW269" s="546">
        <v>0</v>
      </c>
      <c r="CX269" s="546">
        <v>0</v>
      </c>
      <c r="CY269" s="546">
        <v>7500000</v>
      </c>
      <c r="CZ269" s="618">
        <v>0</v>
      </c>
      <c r="DA269" s="618">
        <v>0</v>
      </c>
      <c r="DB269" s="618">
        <v>0</v>
      </c>
      <c r="DC269" s="618">
        <v>0</v>
      </c>
      <c r="DD269" s="618">
        <v>0</v>
      </c>
      <c r="DE269" s="618">
        <v>0</v>
      </c>
      <c r="DF269" s="618">
        <v>0</v>
      </c>
      <c r="DG269" s="618">
        <v>0</v>
      </c>
      <c r="DH269" s="618">
        <v>0</v>
      </c>
      <c r="DI269" s="618">
        <v>0</v>
      </c>
      <c r="DJ269" s="618">
        <v>0</v>
      </c>
      <c r="DK269" s="1034">
        <f t="shared" si="233"/>
        <v>1</v>
      </c>
      <c r="DL269" s="543">
        <f t="shared" si="250"/>
        <v>0.16500000000000001</v>
      </c>
      <c r="DM269" s="542">
        <f t="shared" si="251"/>
        <v>33.333333333333336</v>
      </c>
      <c r="DN269" s="594">
        <f t="shared" si="252"/>
        <v>33.333333333333336</v>
      </c>
      <c r="DO269" s="540">
        <f t="shared" si="253"/>
        <v>5.5000000000000007E-2</v>
      </c>
      <c r="DP269" s="597">
        <f t="shared" si="258"/>
        <v>5.5000000000000007E-2</v>
      </c>
      <c r="DQ269" s="538">
        <f t="shared" si="254"/>
        <v>5.5000000000000007E-2</v>
      </c>
      <c r="DR269" s="617">
        <f t="shared" si="255"/>
        <v>1</v>
      </c>
      <c r="DS269" s="616">
        <f t="shared" si="256"/>
        <v>0</v>
      </c>
      <c r="DT269" s="259">
        <v>269</v>
      </c>
      <c r="DU269" s="260" t="s">
        <v>275</v>
      </c>
      <c r="DV269" s="259"/>
      <c r="DW269" s="260" t="s">
        <v>242</v>
      </c>
      <c r="DX269" s="259"/>
      <c r="DY269" s="259"/>
      <c r="DZ269" s="259"/>
      <c r="EA269" s="987"/>
      <c r="EB269" s="1041" t="s">
        <v>2600</v>
      </c>
      <c r="EC269" s="802">
        <v>19500000</v>
      </c>
      <c r="EE269" s="1047"/>
    </row>
    <row r="270" spans="4:135" s="534" customFormat="1" ht="63.75" hidden="1" x14ac:dyDescent="0.3">
      <c r="D270" s="783">
        <v>267</v>
      </c>
      <c r="E270" s="799">
        <v>315</v>
      </c>
      <c r="F270" s="787" t="s">
        <v>200</v>
      </c>
      <c r="G270" s="739" t="s">
        <v>239</v>
      </c>
      <c r="H270" s="790" t="s">
        <v>2200</v>
      </c>
      <c r="I270" s="712" t="s">
        <v>782</v>
      </c>
      <c r="J270" s="573" t="s">
        <v>853</v>
      </c>
      <c r="K270" s="573" t="s">
        <v>854</v>
      </c>
      <c r="L270" s="702" t="s">
        <v>2133</v>
      </c>
      <c r="M270" s="571" t="s">
        <v>2017</v>
      </c>
      <c r="N270" s="571">
        <v>0</v>
      </c>
      <c r="O270" s="570">
        <f t="shared" si="257"/>
        <v>20</v>
      </c>
      <c r="P270" s="569">
        <v>20</v>
      </c>
      <c r="Q270" s="628">
        <v>0.16500000000000001</v>
      </c>
      <c r="R270" s="580">
        <f t="shared" si="234"/>
        <v>0</v>
      </c>
      <c r="S270" s="627">
        <v>0</v>
      </c>
      <c r="T270" s="625">
        <f t="shared" si="220"/>
        <v>0</v>
      </c>
      <c r="U270" s="992">
        <v>0</v>
      </c>
      <c r="V270" s="626">
        <f t="shared" si="221"/>
        <v>0</v>
      </c>
      <c r="W270" s="594">
        <f t="shared" si="222"/>
        <v>0</v>
      </c>
      <c r="X270" s="594">
        <f t="shared" si="235"/>
        <v>0</v>
      </c>
      <c r="Y270" s="594">
        <f t="shared" si="215"/>
        <v>0</v>
      </c>
      <c r="Z270" s="594">
        <f t="shared" si="236"/>
        <v>0</v>
      </c>
      <c r="AA270" s="593">
        <v>0</v>
      </c>
      <c r="AB270" s="593">
        <v>0</v>
      </c>
      <c r="AC270" s="593">
        <v>0</v>
      </c>
      <c r="AD270" s="593">
        <v>0</v>
      </c>
      <c r="AE270" s="593">
        <v>0</v>
      </c>
      <c r="AF270" s="593">
        <v>0</v>
      </c>
      <c r="AG270" s="593">
        <v>0</v>
      </c>
      <c r="AH270" s="593">
        <v>0</v>
      </c>
      <c r="AI270" s="593">
        <v>0</v>
      </c>
      <c r="AJ270" s="593">
        <v>0</v>
      </c>
      <c r="AK270" s="593">
        <v>0</v>
      </c>
      <c r="AL270" s="593">
        <v>0</v>
      </c>
      <c r="AM270" s="593">
        <v>0</v>
      </c>
      <c r="AN270" s="593">
        <v>0</v>
      </c>
      <c r="AO270" s="593">
        <v>0</v>
      </c>
      <c r="AP270" s="593">
        <v>0</v>
      </c>
      <c r="AQ270" s="593">
        <v>0</v>
      </c>
      <c r="AR270" s="593">
        <v>0</v>
      </c>
      <c r="AS270" s="593">
        <v>0</v>
      </c>
      <c r="AT270" s="570">
        <f t="shared" si="237"/>
        <v>8.2500000000000004E-2</v>
      </c>
      <c r="AU270" s="571">
        <v>10</v>
      </c>
      <c r="AV270" s="625">
        <f t="shared" si="223"/>
        <v>0.5</v>
      </c>
      <c r="AW270" s="1003">
        <v>0</v>
      </c>
      <c r="AX270" s="604">
        <f t="shared" si="224"/>
        <v>0</v>
      </c>
      <c r="AY270" s="604">
        <f t="shared" si="225"/>
        <v>0</v>
      </c>
      <c r="AZ270" s="604">
        <f t="shared" si="238"/>
        <v>0</v>
      </c>
      <c r="BA270" s="592">
        <f t="shared" si="239"/>
        <v>0</v>
      </c>
      <c r="BB270" s="592">
        <f t="shared" si="240"/>
        <v>0</v>
      </c>
      <c r="BC270" s="591">
        <v>25000000</v>
      </c>
      <c r="BD270" s="591">
        <v>0</v>
      </c>
      <c r="BE270" s="591">
        <v>25000000</v>
      </c>
      <c r="BF270" s="591">
        <v>0</v>
      </c>
      <c r="BG270" s="591">
        <v>0</v>
      </c>
      <c r="BH270" s="591">
        <v>0</v>
      </c>
      <c r="BI270" s="591">
        <v>0</v>
      </c>
      <c r="BJ270" s="591">
        <v>0</v>
      </c>
      <c r="BK270" s="700">
        <v>50000000</v>
      </c>
      <c r="BL270" s="589">
        <v>50000000</v>
      </c>
      <c r="BM270" s="589">
        <v>0</v>
      </c>
      <c r="BN270" s="589">
        <v>0</v>
      </c>
      <c r="BO270" s="589">
        <v>0</v>
      </c>
      <c r="BP270" s="589">
        <v>0</v>
      </c>
      <c r="BQ270" s="589">
        <v>0</v>
      </c>
      <c r="BR270" s="589">
        <v>0</v>
      </c>
      <c r="BS270" s="589">
        <v>0</v>
      </c>
      <c r="BT270" s="589">
        <v>0</v>
      </c>
      <c r="BU270" s="589">
        <v>0</v>
      </c>
      <c r="BV270" s="588">
        <f t="shared" si="241"/>
        <v>8.2500000000000004E-2</v>
      </c>
      <c r="BW270" s="588">
        <v>10</v>
      </c>
      <c r="BX270" s="623">
        <f t="shared" si="226"/>
        <v>0.5</v>
      </c>
      <c r="BY270" s="607">
        <v>0</v>
      </c>
      <c r="BZ270" s="629">
        <v>0</v>
      </c>
      <c r="CA270" s="1017">
        <v>0</v>
      </c>
      <c r="CB270" s="557">
        <f t="shared" si="227"/>
        <v>0</v>
      </c>
      <c r="CC270" s="557">
        <f t="shared" si="228"/>
        <v>0</v>
      </c>
      <c r="CD270" s="622">
        <f t="shared" si="242"/>
        <v>0</v>
      </c>
      <c r="CE270" s="621">
        <f t="shared" si="243"/>
        <v>0</v>
      </c>
      <c r="CF270" s="605">
        <f t="shared" si="244"/>
        <v>0</v>
      </c>
      <c r="CG270" s="621">
        <f t="shared" si="245"/>
        <v>0</v>
      </c>
      <c r="CH270" s="553">
        <f t="shared" si="246"/>
        <v>0</v>
      </c>
      <c r="CI270" s="552">
        <v>0</v>
      </c>
      <c r="CJ270" s="551">
        <f t="shared" si="229"/>
        <v>0</v>
      </c>
      <c r="CK270" s="874">
        <v>0</v>
      </c>
      <c r="CL270" s="533">
        <f t="shared" si="230"/>
        <v>0</v>
      </c>
      <c r="CM270" s="619">
        <f t="shared" si="231"/>
        <v>0</v>
      </c>
      <c r="CN270" s="619">
        <f t="shared" si="232"/>
        <v>0</v>
      </c>
      <c r="CO270" s="549">
        <f t="shared" si="247"/>
        <v>0</v>
      </c>
      <c r="CP270" s="619">
        <f t="shared" si="248"/>
        <v>0</v>
      </c>
      <c r="CQ270" s="619">
        <f t="shared" si="249"/>
        <v>0</v>
      </c>
      <c r="CR270" s="546">
        <v>0</v>
      </c>
      <c r="CS270" s="546">
        <v>0</v>
      </c>
      <c r="CT270" s="546">
        <v>0</v>
      </c>
      <c r="CU270" s="546">
        <v>0</v>
      </c>
      <c r="CV270" s="546">
        <v>0</v>
      </c>
      <c r="CW270" s="546">
        <v>0</v>
      </c>
      <c r="CX270" s="546">
        <v>0</v>
      </c>
      <c r="CY270" s="546">
        <v>0</v>
      </c>
      <c r="CZ270" s="618">
        <v>0</v>
      </c>
      <c r="DA270" s="618">
        <v>0</v>
      </c>
      <c r="DB270" s="618">
        <v>0</v>
      </c>
      <c r="DC270" s="618">
        <v>0</v>
      </c>
      <c r="DD270" s="618">
        <v>0</v>
      </c>
      <c r="DE270" s="618">
        <v>0</v>
      </c>
      <c r="DF270" s="618">
        <v>0</v>
      </c>
      <c r="DG270" s="618">
        <v>0</v>
      </c>
      <c r="DH270" s="618">
        <v>0</v>
      </c>
      <c r="DI270" s="618">
        <v>0</v>
      </c>
      <c r="DJ270" s="618">
        <v>0</v>
      </c>
      <c r="DK270" s="1034">
        <f t="shared" si="233"/>
        <v>0</v>
      </c>
      <c r="DL270" s="543">
        <f t="shared" si="250"/>
        <v>0.16500000000000001</v>
      </c>
      <c r="DM270" s="542">
        <f t="shared" si="251"/>
        <v>0</v>
      </c>
      <c r="DN270" s="594">
        <f t="shared" si="252"/>
        <v>0</v>
      </c>
      <c r="DO270" s="540">
        <f t="shared" si="253"/>
        <v>0</v>
      </c>
      <c r="DP270" s="597">
        <f t="shared" si="258"/>
        <v>0</v>
      </c>
      <c r="DQ270" s="538">
        <f t="shared" si="254"/>
        <v>0</v>
      </c>
      <c r="DR270" s="617">
        <f t="shared" si="255"/>
        <v>1</v>
      </c>
      <c r="DS270" s="616">
        <f t="shared" si="256"/>
        <v>0</v>
      </c>
      <c r="DT270" s="259">
        <v>269</v>
      </c>
      <c r="DU270" s="260" t="s">
        <v>275</v>
      </c>
      <c r="DV270" s="259"/>
      <c r="DW270" s="260" t="s">
        <v>242</v>
      </c>
      <c r="DX270" s="259"/>
      <c r="DY270" s="259"/>
      <c r="DZ270" s="259"/>
      <c r="EA270" s="987"/>
      <c r="EB270" s="1041" t="s">
        <v>2601</v>
      </c>
      <c r="EC270" s="802">
        <v>25000000</v>
      </c>
      <c r="EE270" s="1047"/>
    </row>
    <row r="271" spans="4:135" s="534" customFormat="1" ht="102" hidden="1" x14ac:dyDescent="0.3">
      <c r="D271" s="783">
        <v>268</v>
      </c>
      <c r="E271" s="799">
        <v>316</v>
      </c>
      <c r="F271" s="787" t="s">
        <v>200</v>
      </c>
      <c r="G271" s="739" t="s">
        <v>239</v>
      </c>
      <c r="H271" s="790" t="s">
        <v>2200</v>
      </c>
      <c r="I271" s="712" t="s">
        <v>782</v>
      </c>
      <c r="J271" s="573" t="s">
        <v>855</v>
      </c>
      <c r="K271" s="573" t="s">
        <v>856</v>
      </c>
      <c r="L271" s="702" t="s">
        <v>2205</v>
      </c>
      <c r="M271" s="571" t="s">
        <v>2017</v>
      </c>
      <c r="N271" s="571">
        <v>0</v>
      </c>
      <c r="O271" s="570">
        <f t="shared" si="257"/>
        <v>8</v>
      </c>
      <c r="P271" s="569">
        <v>8</v>
      </c>
      <c r="Q271" s="628">
        <v>0.16500000000000001</v>
      </c>
      <c r="R271" s="580">
        <f t="shared" si="234"/>
        <v>2.0625000000000001E-2</v>
      </c>
      <c r="S271" s="627">
        <v>1</v>
      </c>
      <c r="T271" s="625">
        <f t="shared" si="220"/>
        <v>0.125</v>
      </c>
      <c r="U271" s="992">
        <v>4</v>
      </c>
      <c r="V271" s="626">
        <f t="shared" si="221"/>
        <v>4</v>
      </c>
      <c r="W271" s="594">
        <f t="shared" si="222"/>
        <v>400</v>
      </c>
      <c r="X271" s="594">
        <f t="shared" si="235"/>
        <v>100</v>
      </c>
      <c r="Y271" s="594">
        <f t="shared" si="215"/>
        <v>2.0625000000000001E-2</v>
      </c>
      <c r="Z271" s="594">
        <f t="shared" si="236"/>
        <v>100</v>
      </c>
      <c r="AA271" s="593">
        <v>17000000</v>
      </c>
      <c r="AB271" s="593">
        <v>17000000</v>
      </c>
      <c r="AC271" s="593">
        <v>0</v>
      </c>
      <c r="AD271" s="593">
        <v>0</v>
      </c>
      <c r="AE271" s="593">
        <v>0</v>
      </c>
      <c r="AF271" s="593">
        <v>0</v>
      </c>
      <c r="AG271" s="593">
        <v>0</v>
      </c>
      <c r="AH271" s="593">
        <v>0</v>
      </c>
      <c r="AI271" s="593">
        <v>16500000</v>
      </c>
      <c r="AJ271" s="593">
        <v>16500000</v>
      </c>
      <c r="AK271" s="593">
        <v>0</v>
      </c>
      <c r="AL271" s="593">
        <v>0</v>
      </c>
      <c r="AM271" s="593">
        <v>0</v>
      </c>
      <c r="AN271" s="593">
        <v>0</v>
      </c>
      <c r="AO271" s="593">
        <v>0</v>
      </c>
      <c r="AP271" s="593">
        <v>0</v>
      </c>
      <c r="AQ271" s="593">
        <v>0</v>
      </c>
      <c r="AR271" s="593">
        <v>15500000</v>
      </c>
      <c r="AS271" s="593" t="s">
        <v>2204</v>
      </c>
      <c r="AT271" s="570">
        <f t="shared" si="237"/>
        <v>4.1250000000000002E-2</v>
      </c>
      <c r="AU271" s="571">
        <v>2</v>
      </c>
      <c r="AV271" s="625">
        <f t="shared" si="223"/>
        <v>0.25</v>
      </c>
      <c r="AW271" s="1003">
        <v>1</v>
      </c>
      <c r="AX271" s="604">
        <f t="shared" si="224"/>
        <v>1</v>
      </c>
      <c r="AY271" s="604">
        <f t="shared" si="225"/>
        <v>50</v>
      </c>
      <c r="AZ271" s="604">
        <f t="shared" si="238"/>
        <v>50</v>
      </c>
      <c r="BA271" s="592">
        <f t="shared" si="239"/>
        <v>2.0625000000000001E-2</v>
      </c>
      <c r="BB271" s="592">
        <f t="shared" si="240"/>
        <v>50</v>
      </c>
      <c r="BC271" s="591">
        <v>22000000</v>
      </c>
      <c r="BD271" s="591">
        <v>0</v>
      </c>
      <c r="BE271" s="591">
        <v>22000000</v>
      </c>
      <c r="BF271" s="591">
        <v>0</v>
      </c>
      <c r="BG271" s="591">
        <v>0</v>
      </c>
      <c r="BH271" s="591">
        <v>0</v>
      </c>
      <c r="BI271" s="591">
        <v>0</v>
      </c>
      <c r="BJ271" s="591">
        <v>0</v>
      </c>
      <c r="BK271" s="700">
        <v>25000000</v>
      </c>
      <c r="BL271" s="589">
        <v>25000000</v>
      </c>
      <c r="BM271" s="589">
        <v>0</v>
      </c>
      <c r="BN271" s="589">
        <v>0</v>
      </c>
      <c r="BO271" s="589">
        <v>0</v>
      </c>
      <c r="BP271" s="589">
        <v>0</v>
      </c>
      <c r="BQ271" s="589">
        <v>0</v>
      </c>
      <c r="BR271" s="589">
        <v>0</v>
      </c>
      <c r="BS271" s="589">
        <v>0</v>
      </c>
      <c r="BT271" s="589">
        <v>0</v>
      </c>
      <c r="BU271" s="589">
        <v>0</v>
      </c>
      <c r="BV271" s="588">
        <f t="shared" si="241"/>
        <v>6.1874999999999999E-2</v>
      </c>
      <c r="BW271" s="588">
        <v>3</v>
      </c>
      <c r="BX271" s="623">
        <f t="shared" si="226"/>
        <v>0.375</v>
      </c>
      <c r="BY271" s="607">
        <v>0</v>
      </c>
      <c r="BZ271" s="629">
        <v>11</v>
      </c>
      <c r="CA271" s="1017">
        <v>10</v>
      </c>
      <c r="CB271" s="557">
        <f t="shared" si="227"/>
        <v>10</v>
      </c>
      <c r="CC271" s="557">
        <f t="shared" si="228"/>
        <v>333.33333333333331</v>
      </c>
      <c r="CD271" s="622">
        <f t="shared" si="242"/>
        <v>100</v>
      </c>
      <c r="CE271" s="621">
        <f t="shared" si="243"/>
        <v>6.1874999999999999E-2</v>
      </c>
      <c r="CF271" s="605">
        <f t="shared" si="244"/>
        <v>100</v>
      </c>
      <c r="CG271" s="621">
        <f t="shared" si="245"/>
        <v>0.20624999999999999</v>
      </c>
      <c r="CH271" s="553">
        <f t="shared" si="246"/>
        <v>4.1250000000000002E-2</v>
      </c>
      <c r="CI271" s="552">
        <v>2</v>
      </c>
      <c r="CJ271" s="551">
        <f t="shared" si="229"/>
        <v>0.25</v>
      </c>
      <c r="CK271" s="874">
        <v>0</v>
      </c>
      <c r="CL271" s="533">
        <f t="shared" si="230"/>
        <v>2</v>
      </c>
      <c r="CM271" s="619">
        <f t="shared" si="231"/>
        <v>0</v>
      </c>
      <c r="CN271" s="619">
        <f t="shared" si="232"/>
        <v>0</v>
      </c>
      <c r="CO271" s="549">
        <f t="shared" si="247"/>
        <v>0</v>
      </c>
      <c r="CP271" s="619">
        <f t="shared" si="248"/>
        <v>0</v>
      </c>
      <c r="CQ271" s="619">
        <f t="shared" si="249"/>
        <v>0</v>
      </c>
      <c r="CR271" s="546">
        <v>25000000</v>
      </c>
      <c r="CS271" s="546">
        <v>25000000</v>
      </c>
      <c r="CT271" s="546">
        <v>0</v>
      </c>
      <c r="CU271" s="546">
        <v>0</v>
      </c>
      <c r="CV271" s="546">
        <v>0</v>
      </c>
      <c r="CW271" s="546">
        <v>0</v>
      </c>
      <c r="CX271" s="546">
        <v>0</v>
      </c>
      <c r="CY271" s="546">
        <v>0</v>
      </c>
      <c r="CZ271" s="618">
        <v>0</v>
      </c>
      <c r="DA271" s="618">
        <v>0</v>
      </c>
      <c r="DB271" s="618">
        <v>0</v>
      </c>
      <c r="DC271" s="618">
        <v>0</v>
      </c>
      <c r="DD271" s="618">
        <v>0</v>
      </c>
      <c r="DE271" s="618">
        <v>0</v>
      </c>
      <c r="DF271" s="618">
        <v>0</v>
      </c>
      <c r="DG271" s="618">
        <v>0</v>
      </c>
      <c r="DH271" s="618">
        <v>0</v>
      </c>
      <c r="DI271" s="618">
        <v>0</v>
      </c>
      <c r="DJ271" s="618">
        <v>0</v>
      </c>
      <c r="DK271" s="1034">
        <f t="shared" si="233"/>
        <v>15</v>
      </c>
      <c r="DL271" s="543">
        <f t="shared" si="250"/>
        <v>0.16500000000000001</v>
      </c>
      <c r="DM271" s="542">
        <f t="shared" si="251"/>
        <v>187.5</v>
      </c>
      <c r="DN271" s="594">
        <f t="shared" si="252"/>
        <v>100</v>
      </c>
      <c r="DO271" s="540">
        <f t="shared" si="253"/>
        <v>0.16500000000000001</v>
      </c>
      <c r="DP271" s="597">
        <f t="shared" si="258"/>
        <v>0.16500000000000001</v>
      </c>
      <c r="DQ271" s="538">
        <f t="shared" si="254"/>
        <v>0.16500000000000001</v>
      </c>
      <c r="DR271" s="617">
        <f t="shared" si="255"/>
        <v>1</v>
      </c>
      <c r="DS271" s="616">
        <f t="shared" si="256"/>
        <v>0</v>
      </c>
      <c r="DT271" s="259">
        <v>269</v>
      </c>
      <c r="DU271" s="260" t="s">
        <v>275</v>
      </c>
      <c r="DV271" s="259"/>
      <c r="DW271" s="260" t="s">
        <v>242</v>
      </c>
      <c r="DX271" s="259"/>
      <c r="DY271" s="259"/>
      <c r="DZ271" s="259"/>
      <c r="EA271" s="987"/>
      <c r="EB271" s="1041" t="s">
        <v>2602</v>
      </c>
      <c r="EC271" s="802">
        <v>25000000</v>
      </c>
      <c r="EE271" s="1047"/>
    </row>
    <row r="272" spans="4:135" s="534" customFormat="1" ht="63.75" hidden="1" x14ac:dyDescent="0.3">
      <c r="D272" s="783">
        <v>269</v>
      </c>
      <c r="E272" s="799">
        <v>317</v>
      </c>
      <c r="F272" s="787" t="s">
        <v>200</v>
      </c>
      <c r="G272" s="739" t="s">
        <v>239</v>
      </c>
      <c r="H272" s="790" t="s">
        <v>2200</v>
      </c>
      <c r="I272" s="712" t="s">
        <v>782</v>
      </c>
      <c r="J272" s="573" t="s">
        <v>857</v>
      </c>
      <c r="K272" s="573" t="s">
        <v>858</v>
      </c>
      <c r="L272" s="702" t="s">
        <v>2203</v>
      </c>
      <c r="M272" s="571" t="s">
        <v>2017</v>
      </c>
      <c r="N272" s="571">
        <v>0</v>
      </c>
      <c r="O272" s="570">
        <f t="shared" si="257"/>
        <v>4</v>
      </c>
      <c r="P272" s="569">
        <v>4</v>
      </c>
      <c r="Q272" s="628">
        <v>0.16500000000000001</v>
      </c>
      <c r="R272" s="580">
        <f t="shared" si="234"/>
        <v>0</v>
      </c>
      <c r="S272" s="627">
        <v>0</v>
      </c>
      <c r="T272" s="625">
        <f t="shared" si="220"/>
        <v>0</v>
      </c>
      <c r="U272" s="992">
        <v>0</v>
      </c>
      <c r="V272" s="626">
        <f t="shared" si="221"/>
        <v>0</v>
      </c>
      <c r="W272" s="594">
        <f t="shared" si="222"/>
        <v>0</v>
      </c>
      <c r="X272" s="594">
        <f t="shared" si="235"/>
        <v>0</v>
      </c>
      <c r="Y272" s="594">
        <f t="shared" si="215"/>
        <v>0</v>
      </c>
      <c r="Z272" s="594">
        <f t="shared" si="236"/>
        <v>0</v>
      </c>
      <c r="AA272" s="593">
        <v>0</v>
      </c>
      <c r="AB272" s="593">
        <v>0</v>
      </c>
      <c r="AC272" s="593">
        <v>0</v>
      </c>
      <c r="AD272" s="593">
        <v>0</v>
      </c>
      <c r="AE272" s="593">
        <v>0</v>
      </c>
      <c r="AF272" s="593">
        <v>0</v>
      </c>
      <c r="AG272" s="593">
        <v>0</v>
      </c>
      <c r="AH272" s="593">
        <v>0</v>
      </c>
      <c r="AI272" s="593">
        <v>0</v>
      </c>
      <c r="AJ272" s="593">
        <v>0</v>
      </c>
      <c r="AK272" s="593">
        <v>0</v>
      </c>
      <c r="AL272" s="593">
        <v>0</v>
      </c>
      <c r="AM272" s="593">
        <v>0</v>
      </c>
      <c r="AN272" s="593">
        <v>0</v>
      </c>
      <c r="AO272" s="593">
        <v>0</v>
      </c>
      <c r="AP272" s="593">
        <v>0</v>
      </c>
      <c r="AQ272" s="593">
        <v>0</v>
      </c>
      <c r="AR272" s="593">
        <v>0</v>
      </c>
      <c r="AS272" s="593">
        <v>0</v>
      </c>
      <c r="AT272" s="570">
        <f t="shared" si="237"/>
        <v>8.2500000000000004E-2</v>
      </c>
      <c r="AU272" s="571">
        <v>2</v>
      </c>
      <c r="AV272" s="625">
        <f t="shared" si="223"/>
        <v>0.5</v>
      </c>
      <c r="AW272" s="1003">
        <v>2</v>
      </c>
      <c r="AX272" s="604">
        <f t="shared" si="224"/>
        <v>2</v>
      </c>
      <c r="AY272" s="604">
        <f t="shared" si="225"/>
        <v>100</v>
      </c>
      <c r="AZ272" s="604">
        <f t="shared" si="238"/>
        <v>100</v>
      </c>
      <c r="BA272" s="592">
        <f t="shared" si="239"/>
        <v>8.2500000000000004E-2</v>
      </c>
      <c r="BB272" s="592">
        <f t="shared" si="240"/>
        <v>100</v>
      </c>
      <c r="BC272" s="591">
        <v>30000000</v>
      </c>
      <c r="BD272" s="591">
        <v>0</v>
      </c>
      <c r="BE272" s="591">
        <v>30000000</v>
      </c>
      <c r="BF272" s="591">
        <v>0</v>
      </c>
      <c r="BG272" s="591">
        <v>0</v>
      </c>
      <c r="BH272" s="591">
        <v>0</v>
      </c>
      <c r="BI272" s="591">
        <v>0</v>
      </c>
      <c r="BJ272" s="591">
        <v>0</v>
      </c>
      <c r="BK272" s="700">
        <v>28000000</v>
      </c>
      <c r="BL272" s="589">
        <v>28000000</v>
      </c>
      <c r="BM272" s="589">
        <v>0</v>
      </c>
      <c r="BN272" s="589">
        <v>0</v>
      </c>
      <c r="BO272" s="589">
        <v>0</v>
      </c>
      <c r="BP272" s="589">
        <v>0</v>
      </c>
      <c r="BQ272" s="589">
        <v>0</v>
      </c>
      <c r="BR272" s="589">
        <v>0</v>
      </c>
      <c r="BS272" s="589">
        <v>0</v>
      </c>
      <c r="BT272" s="589">
        <v>0</v>
      </c>
      <c r="BU272" s="589">
        <v>0</v>
      </c>
      <c r="BV272" s="588">
        <f t="shared" si="241"/>
        <v>8.2500000000000004E-2</v>
      </c>
      <c r="BW272" s="588">
        <v>2</v>
      </c>
      <c r="BX272" s="623">
        <f t="shared" si="226"/>
        <v>0.5</v>
      </c>
      <c r="BY272" s="639">
        <v>0</v>
      </c>
      <c r="BZ272" s="638">
        <v>0</v>
      </c>
      <c r="CA272" s="1018">
        <v>2</v>
      </c>
      <c r="CB272" s="557">
        <f t="shared" si="227"/>
        <v>2</v>
      </c>
      <c r="CC272" s="557">
        <f t="shared" si="228"/>
        <v>100</v>
      </c>
      <c r="CD272" s="622">
        <f t="shared" si="242"/>
        <v>100</v>
      </c>
      <c r="CE272" s="621">
        <f t="shared" si="243"/>
        <v>8.2500000000000004E-2</v>
      </c>
      <c r="CF272" s="605">
        <f t="shared" si="244"/>
        <v>100</v>
      </c>
      <c r="CG272" s="621">
        <f t="shared" si="245"/>
        <v>8.2500000000000004E-2</v>
      </c>
      <c r="CH272" s="553">
        <f t="shared" si="246"/>
        <v>0</v>
      </c>
      <c r="CI272" s="552">
        <v>0</v>
      </c>
      <c r="CJ272" s="551">
        <f t="shared" si="229"/>
        <v>0</v>
      </c>
      <c r="CK272" s="874">
        <v>0</v>
      </c>
      <c r="CL272" s="533">
        <f t="shared" si="230"/>
        <v>0</v>
      </c>
      <c r="CM272" s="619">
        <f t="shared" si="231"/>
        <v>0</v>
      </c>
      <c r="CN272" s="619">
        <f t="shared" si="232"/>
        <v>0</v>
      </c>
      <c r="CO272" s="549">
        <f t="shared" si="247"/>
        <v>0</v>
      </c>
      <c r="CP272" s="619">
        <f t="shared" si="248"/>
        <v>0</v>
      </c>
      <c r="CQ272" s="619">
        <f t="shared" si="249"/>
        <v>0</v>
      </c>
      <c r="CR272" s="546">
        <v>0</v>
      </c>
      <c r="CS272" s="546">
        <v>0</v>
      </c>
      <c r="CT272" s="546">
        <v>0</v>
      </c>
      <c r="CU272" s="546">
        <v>0</v>
      </c>
      <c r="CV272" s="546">
        <v>0</v>
      </c>
      <c r="CW272" s="546">
        <v>0</v>
      </c>
      <c r="CX272" s="546">
        <v>0</v>
      </c>
      <c r="CY272" s="546">
        <v>0</v>
      </c>
      <c r="CZ272" s="618">
        <v>0</v>
      </c>
      <c r="DA272" s="618">
        <v>0</v>
      </c>
      <c r="DB272" s="618">
        <v>0</v>
      </c>
      <c r="DC272" s="618">
        <v>0</v>
      </c>
      <c r="DD272" s="618">
        <v>0</v>
      </c>
      <c r="DE272" s="618">
        <v>0</v>
      </c>
      <c r="DF272" s="618">
        <v>0</v>
      </c>
      <c r="DG272" s="618">
        <v>0</v>
      </c>
      <c r="DH272" s="618">
        <v>0</v>
      </c>
      <c r="DI272" s="618">
        <v>0</v>
      </c>
      <c r="DJ272" s="618">
        <v>0</v>
      </c>
      <c r="DK272" s="1034">
        <f t="shared" si="233"/>
        <v>4</v>
      </c>
      <c r="DL272" s="543">
        <f t="shared" si="250"/>
        <v>0.16500000000000001</v>
      </c>
      <c r="DM272" s="542">
        <f t="shared" si="251"/>
        <v>100</v>
      </c>
      <c r="DN272" s="594">
        <f t="shared" si="252"/>
        <v>100</v>
      </c>
      <c r="DO272" s="540">
        <f t="shared" si="253"/>
        <v>0.16500000000000001</v>
      </c>
      <c r="DP272" s="597">
        <f t="shared" si="258"/>
        <v>0.16500000000000001</v>
      </c>
      <c r="DQ272" s="538">
        <f t="shared" si="254"/>
        <v>0.16500000000000001</v>
      </c>
      <c r="DR272" s="617">
        <f t="shared" si="255"/>
        <v>1</v>
      </c>
      <c r="DS272" s="616">
        <f t="shared" si="256"/>
        <v>0</v>
      </c>
      <c r="DT272" s="259">
        <v>269</v>
      </c>
      <c r="DU272" s="260" t="s">
        <v>275</v>
      </c>
      <c r="DV272" s="259"/>
      <c r="DW272" s="260" t="s">
        <v>242</v>
      </c>
      <c r="DX272" s="259"/>
      <c r="DY272" s="259"/>
      <c r="DZ272" s="259"/>
      <c r="EA272" s="987"/>
      <c r="EB272" s="1041" t="s">
        <v>2603</v>
      </c>
      <c r="EC272" s="802">
        <v>30000000</v>
      </c>
      <c r="EE272" s="1047"/>
    </row>
    <row r="273" spans="4:135" s="534" customFormat="1" ht="63.75" hidden="1" x14ac:dyDescent="0.3">
      <c r="D273" s="783">
        <v>270</v>
      </c>
      <c r="E273" s="799">
        <v>318</v>
      </c>
      <c r="F273" s="787" t="s">
        <v>200</v>
      </c>
      <c r="G273" s="787" t="s">
        <v>14</v>
      </c>
      <c r="H273" s="790" t="s">
        <v>2200</v>
      </c>
      <c r="I273" s="712" t="s">
        <v>782</v>
      </c>
      <c r="J273" s="573" t="s">
        <v>859</v>
      </c>
      <c r="K273" s="573" t="s">
        <v>860</v>
      </c>
      <c r="L273" s="702" t="s">
        <v>2126</v>
      </c>
      <c r="M273" s="571" t="s">
        <v>2017</v>
      </c>
      <c r="N273" s="571">
        <v>170</v>
      </c>
      <c r="O273" s="570">
        <f t="shared" si="257"/>
        <v>370</v>
      </c>
      <c r="P273" s="569">
        <v>200</v>
      </c>
      <c r="Q273" s="628">
        <v>0.25</v>
      </c>
      <c r="R273" s="580">
        <f t="shared" si="234"/>
        <v>2.5000000000000001E-2</v>
      </c>
      <c r="S273" s="627">
        <v>20</v>
      </c>
      <c r="T273" s="625">
        <f t="shared" si="220"/>
        <v>0.1</v>
      </c>
      <c r="U273" s="992">
        <v>59</v>
      </c>
      <c r="V273" s="626">
        <f t="shared" si="221"/>
        <v>59</v>
      </c>
      <c r="W273" s="594">
        <f t="shared" si="222"/>
        <v>295</v>
      </c>
      <c r="X273" s="594">
        <f t="shared" si="235"/>
        <v>100</v>
      </c>
      <c r="Y273" s="594">
        <f t="shared" si="215"/>
        <v>2.5000000000000001E-2</v>
      </c>
      <c r="Z273" s="594">
        <f t="shared" si="236"/>
        <v>100</v>
      </c>
      <c r="AA273" s="593">
        <v>400000000</v>
      </c>
      <c r="AB273" s="593">
        <v>400000000</v>
      </c>
      <c r="AC273" s="593">
        <v>0</v>
      </c>
      <c r="AD273" s="593">
        <v>0</v>
      </c>
      <c r="AE273" s="593">
        <v>0</v>
      </c>
      <c r="AF273" s="593">
        <v>0</v>
      </c>
      <c r="AG273" s="593">
        <v>0</v>
      </c>
      <c r="AH273" s="593">
        <v>0</v>
      </c>
      <c r="AI273" s="593">
        <v>423947000</v>
      </c>
      <c r="AJ273" s="593">
        <v>400000000</v>
      </c>
      <c r="AK273" s="593">
        <v>0</v>
      </c>
      <c r="AL273" s="593">
        <v>23947000</v>
      </c>
      <c r="AM273" s="593">
        <v>0</v>
      </c>
      <c r="AN273" s="593">
        <v>0</v>
      </c>
      <c r="AO273" s="593">
        <v>0</v>
      </c>
      <c r="AP273" s="593">
        <v>0</v>
      </c>
      <c r="AQ273" s="593">
        <v>0</v>
      </c>
      <c r="AR273" s="593">
        <v>0</v>
      </c>
      <c r="AS273" s="593">
        <v>0</v>
      </c>
      <c r="AT273" s="570">
        <f t="shared" si="237"/>
        <v>3.7499999999999999E-2</v>
      </c>
      <c r="AU273" s="571">
        <v>30</v>
      </c>
      <c r="AV273" s="625">
        <f t="shared" si="223"/>
        <v>0.15</v>
      </c>
      <c r="AW273" s="1003">
        <v>48</v>
      </c>
      <c r="AX273" s="604">
        <f t="shared" si="224"/>
        <v>48</v>
      </c>
      <c r="AY273" s="604">
        <f t="shared" si="225"/>
        <v>160</v>
      </c>
      <c r="AZ273" s="604">
        <f t="shared" si="238"/>
        <v>100</v>
      </c>
      <c r="BA273" s="592">
        <f t="shared" si="239"/>
        <v>3.7499999999999999E-2</v>
      </c>
      <c r="BB273" s="592">
        <f t="shared" si="240"/>
        <v>100</v>
      </c>
      <c r="BC273" s="591">
        <v>260000000</v>
      </c>
      <c r="BD273" s="591">
        <v>0</v>
      </c>
      <c r="BE273" s="591">
        <v>260000000</v>
      </c>
      <c r="BF273" s="591">
        <v>0</v>
      </c>
      <c r="BG273" s="591">
        <v>0</v>
      </c>
      <c r="BH273" s="591">
        <v>0</v>
      </c>
      <c r="BI273" s="591">
        <v>0</v>
      </c>
      <c r="BJ273" s="591">
        <v>0</v>
      </c>
      <c r="BK273" s="700">
        <v>217210000</v>
      </c>
      <c r="BL273" s="589">
        <v>217210000</v>
      </c>
      <c r="BM273" s="589">
        <v>0</v>
      </c>
      <c r="BN273" s="589">
        <v>0</v>
      </c>
      <c r="BO273" s="589">
        <v>0</v>
      </c>
      <c r="BP273" s="589">
        <v>0</v>
      </c>
      <c r="BQ273" s="589">
        <v>0</v>
      </c>
      <c r="BR273" s="589">
        <v>0</v>
      </c>
      <c r="BS273" s="589">
        <v>0</v>
      </c>
      <c r="BT273" s="589">
        <v>0</v>
      </c>
      <c r="BU273" s="589">
        <v>0</v>
      </c>
      <c r="BV273" s="588">
        <f t="shared" si="241"/>
        <v>9.375E-2</v>
      </c>
      <c r="BW273" s="588">
        <v>75</v>
      </c>
      <c r="BX273" s="623">
        <f t="shared" si="226"/>
        <v>0.375</v>
      </c>
      <c r="BY273" s="607">
        <v>0</v>
      </c>
      <c r="BZ273" s="629">
        <v>0</v>
      </c>
      <c r="CA273" s="1017">
        <v>100</v>
      </c>
      <c r="CB273" s="557">
        <f t="shared" si="227"/>
        <v>100</v>
      </c>
      <c r="CC273" s="557">
        <f t="shared" si="228"/>
        <v>133.33333333333334</v>
      </c>
      <c r="CD273" s="622">
        <f t="shared" si="242"/>
        <v>100</v>
      </c>
      <c r="CE273" s="621">
        <f t="shared" si="243"/>
        <v>9.375E-2</v>
      </c>
      <c r="CF273" s="605">
        <f t="shared" si="244"/>
        <v>100</v>
      </c>
      <c r="CG273" s="621">
        <f t="shared" si="245"/>
        <v>0.125</v>
      </c>
      <c r="CH273" s="553">
        <f t="shared" si="246"/>
        <v>9.375E-2</v>
      </c>
      <c r="CI273" s="552">
        <v>75</v>
      </c>
      <c r="CJ273" s="551">
        <f t="shared" si="229"/>
        <v>0.375</v>
      </c>
      <c r="CK273" s="874">
        <v>24</v>
      </c>
      <c r="CL273" s="533">
        <f t="shared" si="230"/>
        <v>51</v>
      </c>
      <c r="CM273" s="619">
        <f t="shared" si="231"/>
        <v>24</v>
      </c>
      <c r="CN273" s="619">
        <f t="shared" si="232"/>
        <v>32</v>
      </c>
      <c r="CO273" s="549">
        <f t="shared" si="247"/>
        <v>32</v>
      </c>
      <c r="CP273" s="619">
        <f t="shared" si="248"/>
        <v>0.03</v>
      </c>
      <c r="CQ273" s="619">
        <f t="shared" si="249"/>
        <v>0.03</v>
      </c>
      <c r="CR273" s="546">
        <v>600000000</v>
      </c>
      <c r="CS273" s="546">
        <v>600000000</v>
      </c>
      <c r="CT273" s="546">
        <v>0</v>
      </c>
      <c r="CU273" s="546">
        <v>0</v>
      </c>
      <c r="CV273" s="546">
        <v>0</v>
      </c>
      <c r="CW273" s="546">
        <v>0</v>
      </c>
      <c r="CX273" s="546">
        <v>0</v>
      </c>
      <c r="CY273" s="546">
        <v>0</v>
      </c>
      <c r="CZ273" s="618">
        <v>0</v>
      </c>
      <c r="DA273" s="618">
        <v>0</v>
      </c>
      <c r="DB273" s="618">
        <v>0</v>
      </c>
      <c r="DC273" s="618">
        <v>0</v>
      </c>
      <c r="DD273" s="618">
        <v>0</v>
      </c>
      <c r="DE273" s="618">
        <v>0</v>
      </c>
      <c r="DF273" s="618">
        <v>0</v>
      </c>
      <c r="DG273" s="618">
        <v>0</v>
      </c>
      <c r="DH273" s="618">
        <v>0</v>
      </c>
      <c r="DI273" s="618">
        <v>0</v>
      </c>
      <c r="DJ273" s="618">
        <v>0</v>
      </c>
      <c r="DK273" s="1034">
        <f t="shared" si="233"/>
        <v>231</v>
      </c>
      <c r="DL273" s="543">
        <f t="shared" si="250"/>
        <v>0.25</v>
      </c>
      <c r="DM273" s="542">
        <f t="shared" si="251"/>
        <v>115.5</v>
      </c>
      <c r="DN273" s="594">
        <f t="shared" si="252"/>
        <v>100</v>
      </c>
      <c r="DO273" s="540">
        <f t="shared" si="253"/>
        <v>0.25</v>
      </c>
      <c r="DP273" s="597">
        <f t="shared" si="258"/>
        <v>0.25</v>
      </c>
      <c r="DQ273" s="538">
        <f t="shared" si="254"/>
        <v>0.25</v>
      </c>
      <c r="DR273" s="617">
        <f t="shared" si="255"/>
        <v>1</v>
      </c>
      <c r="DS273" s="616">
        <f t="shared" si="256"/>
        <v>0</v>
      </c>
      <c r="DT273" s="259">
        <v>269</v>
      </c>
      <c r="DU273" s="260" t="s">
        <v>275</v>
      </c>
      <c r="DV273" s="259"/>
      <c r="DW273" s="260" t="s">
        <v>242</v>
      </c>
      <c r="DX273" s="259"/>
      <c r="DY273" s="259"/>
      <c r="DZ273" s="259"/>
      <c r="EA273" s="987"/>
      <c r="EB273" s="1041" t="s">
        <v>2604</v>
      </c>
      <c r="EC273" s="802">
        <v>600000000</v>
      </c>
      <c r="EE273" s="1047"/>
    </row>
    <row r="274" spans="4:135" s="534" customFormat="1" ht="76.5" hidden="1" x14ac:dyDescent="0.3">
      <c r="D274" s="783">
        <v>271</v>
      </c>
      <c r="E274" s="799">
        <v>319</v>
      </c>
      <c r="F274" s="787" t="s">
        <v>200</v>
      </c>
      <c r="G274" s="739" t="s">
        <v>7</v>
      </c>
      <c r="H274" s="790" t="s">
        <v>2200</v>
      </c>
      <c r="I274" s="712" t="s">
        <v>782</v>
      </c>
      <c r="J274" s="573" t="s">
        <v>861</v>
      </c>
      <c r="K274" s="573" t="s">
        <v>862</v>
      </c>
      <c r="L274" s="701" t="s">
        <v>2201</v>
      </c>
      <c r="M274" s="571" t="s">
        <v>2032</v>
      </c>
      <c r="N274" s="571">
        <v>0</v>
      </c>
      <c r="O274" s="570">
        <f>+P274</f>
        <v>100</v>
      </c>
      <c r="P274" s="569">
        <v>100</v>
      </c>
      <c r="Q274" s="628">
        <v>0.16500000000000001</v>
      </c>
      <c r="R274" s="580">
        <f t="shared" si="234"/>
        <v>4.1250000000000002E-2</v>
      </c>
      <c r="S274" s="627">
        <v>100</v>
      </c>
      <c r="T274" s="625">
        <f t="shared" si="220"/>
        <v>0.25</v>
      </c>
      <c r="U274" s="992">
        <v>100</v>
      </c>
      <c r="V274" s="626">
        <f t="shared" si="221"/>
        <v>25</v>
      </c>
      <c r="W274" s="594">
        <f t="shared" si="222"/>
        <v>100</v>
      </c>
      <c r="X274" s="594">
        <f t="shared" si="235"/>
        <v>100</v>
      </c>
      <c r="Y274" s="594">
        <f t="shared" ref="Y274:Y337" si="259">+(X274*R274)/100</f>
        <v>4.1250000000000002E-2</v>
      </c>
      <c r="Z274" s="594">
        <f t="shared" si="236"/>
        <v>100</v>
      </c>
      <c r="AA274" s="593">
        <v>15000000</v>
      </c>
      <c r="AB274" s="593">
        <v>15000000</v>
      </c>
      <c r="AC274" s="593">
        <v>0</v>
      </c>
      <c r="AD274" s="593">
        <v>0</v>
      </c>
      <c r="AE274" s="593">
        <v>0</v>
      </c>
      <c r="AF274" s="593">
        <v>0</v>
      </c>
      <c r="AG274" s="593">
        <v>0</v>
      </c>
      <c r="AH274" s="593">
        <v>0</v>
      </c>
      <c r="AI274" s="593">
        <v>0</v>
      </c>
      <c r="AJ274" s="593">
        <v>0</v>
      </c>
      <c r="AK274" s="593">
        <v>0</v>
      </c>
      <c r="AL274" s="593">
        <v>0</v>
      </c>
      <c r="AM274" s="593">
        <v>0</v>
      </c>
      <c r="AN274" s="593">
        <v>0</v>
      </c>
      <c r="AO274" s="593">
        <v>0</v>
      </c>
      <c r="AP274" s="593">
        <v>0</v>
      </c>
      <c r="AQ274" s="593">
        <v>0</v>
      </c>
      <c r="AR274" s="593">
        <v>0</v>
      </c>
      <c r="AS274" s="593">
        <v>0</v>
      </c>
      <c r="AT274" s="570">
        <f t="shared" si="237"/>
        <v>4.1250000000000002E-2</v>
      </c>
      <c r="AU274" s="571">
        <v>100</v>
      </c>
      <c r="AV274" s="625">
        <f t="shared" si="223"/>
        <v>0.25</v>
      </c>
      <c r="AW274" s="1003">
        <v>0</v>
      </c>
      <c r="AX274" s="604">
        <f t="shared" si="224"/>
        <v>0</v>
      </c>
      <c r="AY274" s="604">
        <f t="shared" si="225"/>
        <v>0</v>
      </c>
      <c r="AZ274" s="604">
        <f t="shared" si="238"/>
        <v>0</v>
      </c>
      <c r="BA274" s="592">
        <f t="shared" si="239"/>
        <v>0</v>
      </c>
      <c r="BB274" s="592">
        <f t="shared" si="240"/>
        <v>0</v>
      </c>
      <c r="BC274" s="591">
        <v>5000000</v>
      </c>
      <c r="BD274" s="591">
        <v>0</v>
      </c>
      <c r="BE274" s="591">
        <v>2500000</v>
      </c>
      <c r="BF274" s="591">
        <v>0</v>
      </c>
      <c r="BG274" s="591">
        <v>0</v>
      </c>
      <c r="BH274" s="591">
        <v>0</v>
      </c>
      <c r="BI274" s="591">
        <v>0</v>
      </c>
      <c r="BJ274" s="591">
        <v>2500000</v>
      </c>
      <c r="BK274" s="700">
        <v>0</v>
      </c>
      <c r="BL274" s="589">
        <v>0</v>
      </c>
      <c r="BM274" s="589">
        <v>0</v>
      </c>
      <c r="BN274" s="589">
        <v>0</v>
      </c>
      <c r="BO274" s="589">
        <v>0</v>
      </c>
      <c r="BP274" s="589">
        <v>0</v>
      </c>
      <c r="BQ274" s="589">
        <v>0</v>
      </c>
      <c r="BR274" s="589">
        <v>0</v>
      </c>
      <c r="BS274" s="589">
        <v>0</v>
      </c>
      <c r="BT274" s="589">
        <v>0</v>
      </c>
      <c r="BU274" s="589">
        <v>0</v>
      </c>
      <c r="BV274" s="588">
        <f t="shared" si="241"/>
        <v>4.1250000000000002E-2</v>
      </c>
      <c r="BW274" s="588">
        <v>100</v>
      </c>
      <c r="BX274" s="623">
        <f t="shared" si="226"/>
        <v>0.25</v>
      </c>
      <c r="BY274" s="639">
        <v>30</v>
      </c>
      <c r="BZ274" s="638">
        <v>30</v>
      </c>
      <c r="CA274" s="1018">
        <v>100</v>
      </c>
      <c r="CB274" s="557">
        <f t="shared" si="227"/>
        <v>25</v>
      </c>
      <c r="CC274" s="557">
        <f t="shared" si="228"/>
        <v>100</v>
      </c>
      <c r="CD274" s="622">
        <f t="shared" si="242"/>
        <v>100</v>
      </c>
      <c r="CE274" s="621">
        <f t="shared" si="243"/>
        <v>4.1250000000000002E-2</v>
      </c>
      <c r="CF274" s="605">
        <f t="shared" si="244"/>
        <v>100</v>
      </c>
      <c r="CG274" s="621">
        <f t="shared" si="245"/>
        <v>4.1250000000000002E-2</v>
      </c>
      <c r="CH274" s="553">
        <f t="shared" si="246"/>
        <v>4.1250000000000002E-2</v>
      </c>
      <c r="CI274" s="552">
        <v>100</v>
      </c>
      <c r="CJ274" s="551">
        <f t="shared" si="229"/>
        <v>0.25</v>
      </c>
      <c r="CK274" s="875">
        <v>0</v>
      </c>
      <c r="CL274" s="533">
        <f t="shared" si="230"/>
        <v>100</v>
      </c>
      <c r="CM274" s="619">
        <f t="shared" si="231"/>
        <v>0</v>
      </c>
      <c r="CN274" s="619">
        <f t="shared" si="232"/>
        <v>0</v>
      </c>
      <c r="CO274" s="619">
        <f t="shared" si="247"/>
        <v>0</v>
      </c>
      <c r="CP274" s="619">
        <f t="shared" si="248"/>
        <v>0</v>
      </c>
      <c r="CQ274" s="619">
        <f t="shared" si="249"/>
        <v>0</v>
      </c>
      <c r="CR274" s="546">
        <v>8500000</v>
      </c>
      <c r="CS274" s="546">
        <v>6000000</v>
      </c>
      <c r="CT274" s="546">
        <v>0</v>
      </c>
      <c r="CU274" s="546">
        <v>0</v>
      </c>
      <c r="CV274" s="546">
        <v>0</v>
      </c>
      <c r="CW274" s="546">
        <v>0</v>
      </c>
      <c r="CX274" s="546">
        <v>0</v>
      </c>
      <c r="CY274" s="546">
        <v>2500000</v>
      </c>
      <c r="CZ274" s="618">
        <v>0</v>
      </c>
      <c r="DA274" s="618">
        <v>0</v>
      </c>
      <c r="DB274" s="618">
        <v>0</v>
      </c>
      <c r="DC274" s="618">
        <v>0</v>
      </c>
      <c r="DD274" s="618">
        <v>0</v>
      </c>
      <c r="DE274" s="618">
        <v>0</v>
      </c>
      <c r="DF274" s="618">
        <v>0</v>
      </c>
      <c r="DG274" s="618">
        <v>0</v>
      </c>
      <c r="DH274" s="618">
        <v>0</v>
      </c>
      <c r="DI274" s="618">
        <v>0</v>
      </c>
      <c r="DJ274" s="618">
        <v>0</v>
      </c>
      <c r="DK274" s="1034">
        <f t="shared" si="233"/>
        <v>50</v>
      </c>
      <c r="DL274" s="543">
        <f t="shared" si="250"/>
        <v>0.16500000000000001</v>
      </c>
      <c r="DM274" s="542">
        <f t="shared" si="251"/>
        <v>50</v>
      </c>
      <c r="DN274" s="594">
        <f t="shared" si="252"/>
        <v>50</v>
      </c>
      <c r="DO274" s="540">
        <f t="shared" si="253"/>
        <v>8.2500000000000004E-2</v>
      </c>
      <c r="DP274" s="597">
        <f>+IF(M274="M",DO274,0)</f>
        <v>8.2500000000000004E-2</v>
      </c>
      <c r="DQ274" s="538">
        <f t="shared" si="254"/>
        <v>8.2500000000000004E-2</v>
      </c>
      <c r="DR274" s="617">
        <f t="shared" si="255"/>
        <v>1</v>
      </c>
      <c r="DS274" s="616">
        <f t="shared" si="256"/>
        <v>0</v>
      </c>
      <c r="DT274" s="259">
        <v>269</v>
      </c>
      <c r="DU274" s="260" t="s">
        <v>275</v>
      </c>
      <c r="DV274" s="259"/>
      <c r="DW274" s="260" t="s">
        <v>242</v>
      </c>
      <c r="DX274" s="259"/>
      <c r="DY274" s="259"/>
      <c r="DZ274" s="259"/>
      <c r="EA274" s="987"/>
      <c r="EB274" s="1041" t="s">
        <v>2605</v>
      </c>
      <c r="EC274" s="802">
        <v>8500000</v>
      </c>
      <c r="EE274" s="1047"/>
    </row>
    <row r="275" spans="4:135" s="534" customFormat="1" ht="63.75" hidden="1" x14ac:dyDescent="0.3">
      <c r="D275" s="783">
        <v>272</v>
      </c>
      <c r="E275" s="799">
        <v>320</v>
      </c>
      <c r="F275" s="787" t="s">
        <v>200</v>
      </c>
      <c r="G275" s="739" t="s">
        <v>9</v>
      </c>
      <c r="H275" s="790" t="s">
        <v>2200</v>
      </c>
      <c r="I275" s="712" t="s">
        <v>782</v>
      </c>
      <c r="J275" s="573" t="s">
        <v>863</v>
      </c>
      <c r="K275" s="573" t="s">
        <v>864</v>
      </c>
      <c r="L275" s="701" t="s">
        <v>2202</v>
      </c>
      <c r="M275" s="571" t="s">
        <v>2017</v>
      </c>
      <c r="N275" s="571">
        <v>0</v>
      </c>
      <c r="O275" s="570">
        <f>+N275+P275</f>
        <v>100</v>
      </c>
      <c r="P275" s="569">
        <v>100</v>
      </c>
      <c r="Q275" s="628">
        <v>8.8999999999999996E-2</v>
      </c>
      <c r="R275" s="580">
        <f t="shared" si="234"/>
        <v>0</v>
      </c>
      <c r="S275" s="627">
        <v>0</v>
      </c>
      <c r="T275" s="625">
        <f t="shared" si="220"/>
        <v>0</v>
      </c>
      <c r="U275" s="992">
        <v>0</v>
      </c>
      <c r="V275" s="626">
        <f t="shared" si="221"/>
        <v>0</v>
      </c>
      <c r="W275" s="594">
        <f t="shared" si="222"/>
        <v>0</v>
      </c>
      <c r="X275" s="594">
        <f t="shared" si="235"/>
        <v>0</v>
      </c>
      <c r="Y275" s="594">
        <f t="shared" si="259"/>
        <v>0</v>
      </c>
      <c r="Z275" s="594">
        <f t="shared" si="236"/>
        <v>0</v>
      </c>
      <c r="AA275" s="593">
        <v>0</v>
      </c>
      <c r="AB275" s="593">
        <v>0</v>
      </c>
      <c r="AC275" s="593">
        <v>0</v>
      </c>
      <c r="AD275" s="593">
        <v>0</v>
      </c>
      <c r="AE275" s="593">
        <v>0</v>
      </c>
      <c r="AF275" s="593">
        <v>0</v>
      </c>
      <c r="AG275" s="593">
        <v>0</v>
      </c>
      <c r="AH275" s="593">
        <v>0</v>
      </c>
      <c r="AI275" s="593">
        <v>0</v>
      </c>
      <c r="AJ275" s="593">
        <v>0</v>
      </c>
      <c r="AK275" s="593">
        <v>0</v>
      </c>
      <c r="AL275" s="593">
        <v>0</v>
      </c>
      <c r="AM275" s="593">
        <v>0</v>
      </c>
      <c r="AN275" s="593">
        <v>0</v>
      </c>
      <c r="AO275" s="593">
        <v>0</v>
      </c>
      <c r="AP275" s="593">
        <v>0</v>
      </c>
      <c r="AQ275" s="593">
        <v>0</v>
      </c>
      <c r="AR275" s="593">
        <v>0</v>
      </c>
      <c r="AS275" s="593">
        <v>0</v>
      </c>
      <c r="AT275" s="570">
        <f t="shared" si="237"/>
        <v>2.2249999999999999E-2</v>
      </c>
      <c r="AU275" s="571">
        <v>25</v>
      </c>
      <c r="AV275" s="625">
        <f t="shared" si="223"/>
        <v>0.25</v>
      </c>
      <c r="AW275" s="1003">
        <v>1</v>
      </c>
      <c r="AX275" s="604">
        <f t="shared" si="224"/>
        <v>1</v>
      </c>
      <c r="AY275" s="604">
        <f t="shared" si="225"/>
        <v>4</v>
      </c>
      <c r="AZ275" s="604">
        <f t="shared" si="238"/>
        <v>4</v>
      </c>
      <c r="BA275" s="592">
        <f t="shared" si="239"/>
        <v>8.8999999999999995E-4</v>
      </c>
      <c r="BB275" s="592">
        <f t="shared" si="240"/>
        <v>4</v>
      </c>
      <c r="BC275" s="591">
        <v>0</v>
      </c>
      <c r="BD275" s="591">
        <v>0</v>
      </c>
      <c r="BE275" s="591">
        <v>0</v>
      </c>
      <c r="BF275" s="591">
        <v>0</v>
      </c>
      <c r="BG275" s="591">
        <v>0</v>
      </c>
      <c r="BH275" s="591">
        <v>0</v>
      </c>
      <c r="BI275" s="591">
        <v>0</v>
      </c>
      <c r="BJ275" s="591">
        <v>0</v>
      </c>
      <c r="BK275" s="700">
        <v>50000000</v>
      </c>
      <c r="BL275" s="589">
        <v>50000000</v>
      </c>
      <c r="BM275" s="589">
        <v>0</v>
      </c>
      <c r="BN275" s="589">
        <v>0</v>
      </c>
      <c r="BO275" s="589">
        <v>0</v>
      </c>
      <c r="BP275" s="589">
        <v>0</v>
      </c>
      <c r="BQ275" s="589">
        <v>0</v>
      </c>
      <c r="BR275" s="589">
        <v>0</v>
      </c>
      <c r="BS275" s="589">
        <v>0</v>
      </c>
      <c r="BT275" s="589">
        <v>0</v>
      </c>
      <c r="BU275" s="589">
        <v>0</v>
      </c>
      <c r="BV275" s="588">
        <f t="shared" si="241"/>
        <v>6.6750000000000004E-2</v>
      </c>
      <c r="BW275" s="588">
        <v>75</v>
      </c>
      <c r="BX275" s="623">
        <f t="shared" si="226"/>
        <v>0.75</v>
      </c>
      <c r="BY275" s="607">
        <v>50</v>
      </c>
      <c r="BZ275" s="629">
        <v>0</v>
      </c>
      <c r="CA275" s="1017">
        <v>100</v>
      </c>
      <c r="CB275" s="557">
        <f t="shared" si="227"/>
        <v>100</v>
      </c>
      <c r="CC275" s="557">
        <f t="shared" si="228"/>
        <v>133.33333333333334</v>
      </c>
      <c r="CD275" s="622">
        <f t="shared" si="242"/>
        <v>100</v>
      </c>
      <c r="CE275" s="621">
        <f t="shared" si="243"/>
        <v>6.6750000000000004E-2</v>
      </c>
      <c r="CF275" s="605">
        <f t="shared" si="244"/>
        <v>100</v>
      </c>
      <c r="CG275" s="621">
        <f t="shared" si="245"/>
        <v>8.900000000000001E-2</v>
      </c>
      <c r="CH275" s="704">
        <f t="shared" si="246"/>
        <v>0</v>
      </c>
      <c r="CI275" s="552">
        <v>0</v>
      </c>
      <c r="CJ275" s="551">
        <f t="shared" si="229"/>
        <v>0</v>
      </c>
      <c r="CK275" s="874">
        <v>29</v>
      </c>
      <c r="CL275" s="533">
        <f t="shared" si="230"/>
        <v>-29</v>
      </c>
      <c r="CM275" s="619">
        <f t="shared" si="231"/>
        <v>29</v>
      </c>
      <c r="CN275" s="619">
        <f t="shared" si="232"/>
        <v>0</v>
      </c>
      <c r="CO275" s="549">
        <f t="shared" si="247"/>
        <v>0</v>
      </c>
      <c r="CP275" s="619">
        <f t="shared" si="248"/>
        <v>0</v>
      </c>
      <c r="CQ275" s="619">
        <f t="shared" si="249"/>
        <v>0</v>
      </c>
      <c r="CR275" s="546">
        <v>0</v>
      </c>
      <c r="CS275" s="546">
        <v>0</v>
      </c>
      <c r="CT275" s="546">
        <v>0</v>
      </c>
      <c r="CU275" s="546">
        <v>0</v>
      </c>
      <c r="CV275" s="546">
        <v>0</v>
      </c>
      <c r="CW275" s="546">
        <v>0</v>
      </c>
      <c r="CX275" s="546">
        <v>0</v>
      </c>
      <c r="CY275" s="546">
        <v>0</v>
      </c>
      <c r="CZ275" s="618">
        <v>0</v>
      </c>
      <c r="DA275" s="618">
        <v>0</v>
      </c>
      <c r="DB275" s="618">
        <v>0</v>
      </c>
      <c r="DC275" s="618">
        <v>0</v>
      </c>
      <c r="DD275" s="618">
        <v>0</v>
      </c>
      <c r="DE275" s="618">
        <v>0</v>
      </c>
      <c r="DF275" s="618">
        <v>0</v>
      </c>
      <c r="DG275" s="618">
        <v>0</v>
      </c>
      <c r="DH275" s="618">
        <v>0</v>
      </c>
      <c r="DI275" s="618">
        <v>0</v>
      </c>
      <c r="DJ275" s="618">
        <v>0</v>
      </c>
      <c r="DK275" s="1034">
        <f t="shared" si="233"/>
        <v>130</v>
      </c>
      <c r="DL275" s="543">
        <f t="shared" si="250"/>
        <v>8.8999999999999996E-2</v>
      </c>
      <c r="DM275" s="542">
        <f t="shared" si="251"/>
        <v>130</v>
      </c>
      <c r="DN275" s="594">
        <f t="shared" si="252"/>
        <v>100</v>
      </c>
      <c r="DO275" s="540">
        <f t="shared" si="253"/>
        <v>8.900000000000001E-2</v>
      </c>
      <c r="DP275" s="597">
        <f>+IF(((DN275*Q275)/100)&lt;Q275, ((DN275*Q275)/100),Q275)</f>
        <v>8.8999999999999996E-2</v>
      </c>
      <c r="DQ275" s="538">
        <f t="shared" si="254"/>
        <v>8.8999999999999996E-2</v>
      </c>
      <c r="DR275" s="617">
        <f t="shared" si="255"/>
        <v>1</v>
      </c>
      <c r="DS275" s="616">
        <f t="shared" si="256"/>
        <v>0</v>
      </c>
      <c r="DT275" s="259">
        <v>269</v>
      </c>
      <c r="DU275" s="260" t="s">
        <v>275</v>
      </c>
      <c r="DV275" s="259"/>
      <c r="DW275" s="260" t="s">
        <v>242</v>
      </c>
      <c r="DX275" s="259"/>
      <c r="DY275" s="259"/>
      <c r="DZ275" s="259"/>
      <c r="EA275" s="987"/>
      <c r="EB275" s="1041" t="s">
        <v>2606</v>
      </c>
      <c r="EC275" s="802">
        <v>0</v>
      </c>
      <c r="EE275" s="1047"/>
    </row>
    <row r="276" spans="4:135" s="534" customFormat="1" ht="63.75" hidden="1" x14ac:dyDescent="0.3">
      <c r="D276" s="783">
        <v>273</v>
      </c>
      <c r="E276" s="799">
        <v>321</v>
      </c>
      <c r="F276" s="574" t="s">
        <v>200</v>
      </c>
      <c r="G276" s="574" t="s">
        <v>9</v>
      </c>
      <c r="H276" s="574" t="s">
        <v>2200</v>
      </c>
      <c r="I276" s="574" t="s">
        <v>782</v>
      </c>
      <c r="J276" s="573" t="s">
        <v>1444</v>
      </c>
      <c r="K276" s="573" t="s">
        <v>865</v>
      </c>
      <c r="L276" s="701" t="s">
        <v>2202</v>
      </c>
      <c r="M276" s="571" t="s">
        <v>2017</v>
      </c>
      <c r="N276" s="571">
        <v>0</v>
      </c>
      <c r="O276" s="570">
        <f>+N276+P276</f>
        <v>100</v>
      </c>
      <c r="P276" s="569">
        <v>100</v>
      </c>
      <c r="Q276" s="631">
        <v>8.8999999999999996E-2</v>
      </c>
      <c r="R276" s="580">
        <f t="shared" si="234"/>
        <v>0</v>
      </c>
      <c r="S276" s="627">
        <v>0</v>
      </c>
      <c r="T276" s="625">
        <f t="shared" si="220"/>
        <v>0</v>
      </c>
      <c r="U276" s="992">
        <v>0</v>
      </c>
      <c r="V276" s="626">
        <f t="shared" si="221"/>
        <v>0</v>
      </c>
      <c r="W276" s="594">
        <f t="shared" si="222"/>
        <v>0</v>
      </c>
      <c r="X276" s="594">
        <f t="shared" si="235"/>
        <v>0</v>
      </c>
      <c r="Y276" s="594">
        <f t="shared" si="259"/>
        <v>0</v>
      </c>
      <c r="Z276" s="594">
        <f t="shared" si="236"/>
        <v>0</v>
      </c>
      <c r="AA276" s="593">
        <v>0</v>
      </c>
      <c r="AB276" s="593">
        <v>0</v>
      </c>
      <c r="AC276" s="593">
        <v>0</v>
      </c>
      <c r="AD276" s="593">
        <v>0</v>
      </c>
      <c r="AE276" s="593">
        <v>0</v>
      </c>
      <c r="AF276" s="593">
        <v>0</v>
      </c>
      <c r="AG276" s="593">
        <v>0</v>
      </c>
      <c r="AH276" s="593">
        <v>0</v>
      </c>
      <c r="AI276" s="593">
        <v>0</v>
      </c>
      <c r="AJ276" s="593">
        <v>0</v>
      </c>
      <c r="AK276" s="593">
        <v>0</v>
      </c>
      <c r="AL276" s="593">
        <v>0</v>
      </c>
      <c r="AM276" s="593">
        <v>0</v>
      </c>
      <c r="AN276" s="593">
        <v>0</v>
      </c>
      <c r="AO276" s="593">
        <v>0</v>
      </c>
      <c r="AP276" s="593">
        <v>0</v>
      </c>
      <c r="AQ276" s="593">
        <v>0</v>
      </c>
      <c r="AR276" s="593">
        <v>0</v>
      </c>
      <c r="AS276" s="593">
        <v>0</v>
      </c>
      <c r="AT276" s="630">
        <f t="shared" si="237"/>
        <v>0</v>
      </c>
      <c r="AU276" s="571">
        <v>0</v>
      </c>
      <c r="AV276" s="625">
        <f t="shared" si="223"/>
        <v>0</v>
      </c>
      <c r="AW276" s="1003">
        <v>0</v>
      </c>
      <c r="AX276" s="604">
        <f t="shared" si="224"/>
        <v>0</v>
      </c>
      <c r="AY276" s="604">
        <f t="shared" si="225"/>
        <v>0</v>
      </c>
      <c r="AZ276" s="604">
        <f t="shared" si="238"/>
        <v>0</v>
      </c>
      <c r="BA276" s="592">
        <f t="shared" si="239"/>
        <v>0</v>
      </c>
      <c r="BB276" s="592">
        <f t="shared" si="240"/>
        <v>0</v>
      </c>
      <c r="BC276" s="591">
        <v>20000000</v>
      </c>
      <c r="BD276" s="591">
        <v>0</v>
      </c>
      <c r="BE276" s="591">
        <v>10000000</v>
      </c>
      <c r="BF276" s="591">
        <v>0</v>
      </c>
      <c r="BG276" s="591">
        <v>0</v>
      </c>
      <c r="BH276" s="591">
        <v>0</v>
      </c>
      <c r="BI276" s="591">
        <v>0</v>
      </c>
      <c r="BJ276" s="591">
        <v>10000000</v>
      </c>
      <c r="BK276" s="700">
        <v>0</v>
      </c>
      <c r="BL276" s="589">
        <v>0</v>
      </c>
      <c r="BM276" s="589">
        <v>0</v>
      </c>
      <c r="BN276" s="589">
        <v>0</v>
      </c>
      <c r="BO276" s="589">
        <v>0</v>
      </c>
      <c r="BP276" s="589">
        <v>0</v>
      </c>
      <c r="BQ276" s="589">
        <v>0</v>
      </c>
      <c r="BR276" s="589">
        <v>0</v>
      </c>
      <c r="BS276" s="589">
        <v>0</v>
      </c>
      <c r="BT276" s="589">
        <v>0</v>
      </c>
      <c r="BU276" s="589">
        <v>0</v>
      </c>
      <c r="BV276" s="588">
        <f t="shared" si="241"/>
        <v>8.8999999999999996E-2</v>
      </c>
      <c r="BW276" s="588">
        <v>100</v>
      </c>
      <c r="BX276" s="623">
        <f t="shared" si="226"/>
        <v>1</v>
      </c>
      <c r="BY276" s="639">
        <v>70</v>
      </c>
      <c r="BZ276" s="638">
        <v>75</v>
      </c>
      <c r="CA276" s="1018">
        <v>100</v>
      </c>
      <c r="CB276" s="557">
        <f t="shared" si="227"/>
        <v>100</v>
      </c>
      <c r="CC276" s="557">
        <f t="shared" si="228"/>
        <v>100</v>
      </c>
      <c r="CD276" s="622">
        <f t="shared" si="242"/>
        <v>100</v>
      </c>
      <c r="CE276" s="621">
        <f t="shared" si="243"/>
        <v>8.900000000000001E-2</v>
      </c>
      <c r="CF276" s="605">
        <f t="shared" si="244"/>
        <v>100</v>
      </c>
      <c r="CG276" s="621">
        <f t="shared" si="245"/>
        <v>8.900000000000001E-2</v>
      </c>
      <c r="CH276" s="553">
        <f t="shared" si="246"/>
        <v>0</v>
      </c>
      <c r="CI276" s="552">
        <v>0</v>
      </c>
      <c r="CJ276" s="551">
        <f t="shared" si="229"/>
        <v>0</v>
      </c>
      <c r="CK276" s="871">
        <v>0</v>
      </c>
      <c r="CL276" s="533">
        <f t="shared" si="230"/>
        <v>0</v>
      </c>
      <c r="CM276" s="619">
        <f t="shared" si="231"/>
        <v>0</v>
      </c>
      <c r="CN276" s="619">
        <f t="shared" si="232"/>
        <v>0</v>
      </c>
      <c r="CO276" s="549">
        <f t="shared" si="247"/>
        <v>0</v>
      </c>
      <c r="CP276" s="619">
        <f t="shared" si="248"/>
        <v>0</v>
      </c>
      <c r="CQ276" s="619">
        <f t="shared" si="249"/>
        <v>0</v>
      </c>
      <c r="CR276" s="546">
        <v>0</v>
      </c>
      <c r="CS276" s="546">
        <v>0</v>
      </c>
      <c r="CT276" s="546">
        <v>0</v>
      </c>
      <c r="CU276" s="546">
        <v>0</v>
      </c>
      <c r="CV276" s="546">
        <v>0</v>
      </c>
      <c r="CW276" s="546">
        <v>0</v>
      </c>
      <c r="CX276" s="546">
        <v>0</v>
      </c>
      <c r="CY276" s="546">
        <v>0</v>
      </c>
      <c r="CZ276" s="618">
        <v>0</v>
      </c>
      <c r="DA276" s="618">
        <v>0</v>
      </c>
      <c r="DB276" s="618">
        <v>0</v>
      </c>
      <c r="DC276" s="618">
        <v>0</v>
      </c>
      <c r="DD276" s="618">
        <v>0</v>
      </c>
      <c r="DE276" s="618">
        <v>0</v>
      </c>
      <c r="DF276" s="618">
        <v>0</v>
      </c>
      <c r="DG276" s="618">
        <v>0</v>
      </c>
      <c r="DH276" s="618">
        <v>0</v>
      </c>
      <c r="DI276" s="618">
        <v>0</v>
      </c>
      <c r="DJ276" s="618">
        <v>0</v>
      </c>
      <c r="DK276" s="1034">
        <f t="shared" si="233"/>
        <v>100</v>
      </c>
      <c r="DL276" s="543">
        <f t="shared" si="250"/>
        <v>8.8999999999999996E-2</v>
      </c>
      <c r="DM276" s="542">
        <f t="shared" si="251"/>
        <v>100</v>
      </c>
      <c r="DN276" s="594">
        <f t="shared" si="252"/>
        <v>100</v>
      </c>
      <c r="DO276" s="540">
        <f t="shared" si="253"/>
        <v>8.900000000000001E-2</v>
      </c>
      <c r="DP276" s="597">
        <f>+IF(((DN276*Q276)/100)&lt;Q276, ((DN276*Q276)/100),Q276)</f>
        <v>8.8999999999999996E-2</v>
      </c>
      <c r="DQ276" s="538">
        <f t="shared" si="254"/>
        <v>8.8999999999999996E-2</v>
      </c>
      <c r="DR276" s="617">
        <f t="shared" si="255"/>
        <v>1</v>
      </c>
      <c r="DS276" s="616">
        <f t="shared" si="256"/>
        <v>0</v>
      </c>
      <c r="DT276" s="259">
        <v>269</v>
      </c>
      <c r="DU276" s="260" t="s">
        <v>275</v>
      </c>
      <c r="DV276" s="259"/>
      <c r="DW276" s="260" t="s">
        <v>242</v>
      </c>
      <c r="DX276" s="259"/>
      <c r="DY276" s="259"/>
      <c r="DZ276" s="259"/>
      <c r="EA276" s="987"/>
      <c r="EB276" s="1041" t="s">
        <v>2607</v>
      </c>
      <c r="EC276" s="802">
        <v>20000000</v>
      </c>
      <c r="EE276" s="1047"/>
    </row>
    <row r="277" spans="4:135" s="534" customFormat="1" ht="63.75" hidden="1" x14ac:dyDescent="0.3">
      <c r="D277" s="783">
        <v>274</v>
      </c>
      <c r="E277" s="799">
        <v>322</v>
      </c>
      <c r="F277" s="787" t="s">
        <v>200</v>
      </c>
      <c r="G277" s="739" t="s">
        <v>240</v>
      </c>
      <c r="H277" s="790" t="s">
        <v>2200</v>
      </c>
      <c r="I277" s="712" t="s">
        <v>782</v>
      </c>
      <c r="J277" s="573" t="s">
        <v>866</v>
      </c>
      <c r="K277" s="573" t="s">
        <v>867</v>
      </c>
      <c r="L277" s="702" t="s">
        <v>1682</v>
      </c>
      <c r="M277" s="571" t="s">
        <v>2017</v>
      </c>
      <c r="N277" s="571">
        <v>0</v>
      </c>
      <c r="O277" s="570">
        <f>+N277+P277</f>
        <v>5000</v>
      </c>
      <c r="P277" s="569">
        <v>5000</v>
      </c>
      <c r="Q277" s="628">
        <v>0.25</v>
      </c>
      <c r="R277" s="580">
        <f t="shared" si="234"/>
        <v>0</v>
      </c>
      <c r="S277" s="627">
        <v>0</v>
      </c>
      <c r="T277" s="625">
        <f t="shared" si="220"/>
        <v>0</v>
      </c>
      <c r="U277" s="992">
        <v>0</v>
      </c>
      <c r="V277" s="626">
        <f t="shared" si="221"/>
        <v>0</v>
      </c>
      <c r="W277" s="594">
        <f t="shared" si="222"/>
        <v>0</v>
      </c>
      <c r="X277" s="594">
        <f t="shared" si="235"/>
        <v>0</v>
      </c>
      <c r="Y277" s="594">
        <f t="shared" si="259"/>
        <v>0</v>
      </c>
      <c r="Z277" s="594">
        <f t="shared" si="236"/>
        <v>0</v>
      </c>
      <c r="AA277" s="593">
        <v>0</v>
      </c>
      <c r="AB277" s="593">
        <v>0</v>
      </c>
      <c r="AC277" s="593">
        <v>0</v>
      </c>
      <c r="AD277" s="593">
        <v>0</v>
      </c>
      <c r="AE277" s="593">
        <v>0</v>
      </c>
      <c r="AF277" s="593">
        <v>0</v>
      </c>
      <c r="AG277" s="593">
        <v>0</v>
      </c>
      <c r="AH277" s="593">
        <v>0</v>
      </c>
      <c r="AI277" s="593">
        <v>0</v>
      </c>
      <c r="AJ277" s="593">
        <v>0</v>
      </c>
      <c r="AK277" s="593">
        <v>0</v>
      </c>
      <c r="AL277" s="593">
        <v>0</v>
      </c>
      <c r="AM277" s="593">
        <v>0</v>
      </c>
      <c r="AN277" s="593">
        <v>0</v>
      </c>
      <c r="AO277" s="593">
        <v>0</v>
      </c>
      <c r="AP277" s="593">
        <v>0</v>
      </c>
      <c r="AQ277" s="593">
        <v>0</v>
      </c>
      <c r="AR277" s="593">
        <v>0</v>
      </c>
      <c r="AS277" s="593">
        <v>0</v>
      </c>
      <c r="AT277" s="570">
        <f t="shared" si="237"/>
        <v>0.05</v>
      </c>
      <c r="AU277" s="571">
        <v>1000</v>
      </c>
      <c r="AV277" s="625">
        <f t="shared" si="223"/>
        <v>0.2</v>
      </c>
      <c r="AW277" s="1003">
        <v>6</v>
      </c>
      <c r="AX277" s="604">
        <f t="shared" si="224"/>
        <v>6</v>
      </c>
      <c r="AY277" s="604">
        <f t="shared" si="225"/>
        <v>0.6</v>
      </c>
      <c r="AZ277" s="604">
        <f t="shared" si="238"/>
        <v>0.6</v>
      </c>
      <c r="BA277" s="592">
        <f t="shared" si="239"/>
        <v>2.9999999999999997E-4</v>
      </c>
      <c r="BB277" s="592">
        <f t="shared" si="240"/>
        <v>0.6</v>
      </c>
      <c r="BC277" s="591">
        <v>0</v>
      </c>
      <c r="BD277" s="591">
        <v>0</v>
      </c>
      <c r="BE277" s="591">
        <v>0</v>
      </c>
      <c r="BF277" s="591">
        <v>0</v>
      </c>
      <c r="BG277" s="591">
        <v>0</v>
      </c>
      <c r="BH277" s="591">
        <v>0</v>
      </c>
      <c r="BI277" s="591">
        <v>0</v>
      </c>
      <c r="BJ277" s="591">
        <v>0</v>
      </c>
      <c r="BK277" s="700">
        <v>3000000000</v>
      </c>
      <c r="BL277" s="589">
        <v>3000000000</v>
      </c>
      <c r="BM277" s="589">
        <v>0</v>
      </c>
      <c r="BN277" s="589">
        <v>0</v>
      </c>
      <c r="BO277" s="589">
        <v>0</v>
      </c>
      <c r="BP277" s="589">
        <v>0</v>
      </c>
      <c r="BQ277" s="589">
        <v>0</v>
      </c>
      <c r="BR277" s="589">
        <v>0</v>
      </c>
      <c r="BS277" s="589">
        <v>0</v>
      </c>
      <c r="BT277" s="589">
        <v>0</v>
      </c>
      <c r="BU277" s="589">
        <v>0</v>
      </c>
      <c r="BV277" s="588">
        <f t="shared" si="241"/>
        <v>0.1</v>
      </c>
      <c r="BW277" s="588">
        <v>2000</v>
      </c>
      <c r="BX277" s="623">
        <f t="shared" si="226"/>
        <v>0.4</v>
      </c>
      <c r="BY277" s="640">
        <v>3576</v>
      </c>
      <c r="BZ277" s="656">
        <v>3720</v>
      </c>
      <c r="CA277" s="1019">
        <v>3720</v>
      </c>
      <c r="CB277" s="557">
        <f t="shared" si="227"/>
        <v>3720</v>
      </c>
      <c r="CC277" s="557">
        <f t="shared" si="228"/>
        <v>186</v>
      </c>
      <c r="CD277" s="622">
        <f t="shared" si="242"/>
        <v>100</v>
      </c>
      <c r="CE277" s="621">
        <f t="shared" si="243"/>
        <v>0.1</v>
      </c>
      <c r="CF277" s="605">
        <f t="shared" si="244"/>
        <v>100</v>
      </c>
      <c r="CG277" s="621">
        <f t="shared" si="245"/>
        <v>0.18600000000000003</v>
      </c>
      <c r="CH277" s="553">
        <f t="shared" si="246"/>
        <v>0.1</v>
      </c>
      <c r="CI277" s="552">
        <v>2000</v>
      </c>
      <c r="CJ277" s="551">
        <f t="shared" si="229"/>
        <v>0.4</v>
      </c>
      <c r="CK277" s="874">
        <v>1991</v>
      </c>
      <c r="CL277" s="533">
        <f t="shared" si="230"/>
        <v>9</v>
      </c>
      <c r="CM277" s="619">
        <f t="shared" si="231"/>
        <v>1991</v>
      </c>
      <c r="CN277" s="619">
        <f t="shared" si="232"/>
        <v>99.55</v>
      </c>
      <c r="CO277" s="549">
        <f t="shared" si="247"/>
        <v>99.55</v>
      </c>
      <c r="CP277" s="619">
        <f t="shared" si="248"/>
        <v>9.955E-2</v>
      </c>
      <c r="CQ277" s="619">
        <f t="shared" si="249"/>
        <v>9.955E-2</v>
      </c>
      <c r="CR277" s="546">
        <v>0</v>
      </c>
      <c r="CS277" s="546">
        <v>0</v>
      </c>
      <c r="CT277" s="546">
        <v>0</v>
      </c>
      <c r="CU277" s="546">
        <v>0</v>
      </c>
      <c r="CV277" s="546">
        <v>0</v>
      </c>
      <c r="CW277" s="546">
        <v>0</v>
      </c>
      <c r="CX277" s="546">
        <v>0</v>
      </c>
      <c r="CY277" s="546">
        <v>0</v>
      </c>
      <c r="CZ277" s="618">
        <v>0</v>
      </c>
      <c r="DA277" s="618">
        <v>0</v>
      </c>
      <c r="DB277" s="618">
        <v>0</v>
      </c>
      <c r="DC277" s="618">
        <v>0</v>
      </c>
      <c r="DD277" s="618">
        <v>0</v>
      </c>
      <c r="DE277" s="618">
        <v>0</v>
      </c>
      <c r="DF277" s="618">
        <v>0</v>
      </c>
      <c r="DG277" s="618">
        <v>0</v>
      </c>
      <c r="DH277" s="618">
        <v>0</v>
      </c>
      <c r="DI277" s="618">
        <v>0</v>
      </c>
      <c r="DJ277" s="618">
        <v>0</v>
      </c>
      <c r="DK277" s="1034">
        <f t="shared" si="233"/>
        <v>5717</v>
      </c>
      <c r="DL277" s="543">
        <f t="shared" si="250"/>
        <v>0.25</v>
      </c>
      <c r="DM277" s="542">
        <f t="shared" si="251"/>
        <v>114.34</v>
      </c>
      <c r="DN277" s="594">
        <f t="shared" si="252"/>
        <v>100</v>
      </c>
      <c r="DO277" s="540">
        <f t="shared" si="253"/>
        <v>0.25</v>
      </c>
      <c r="DP277" s="597">
        <f>+IF(((DN277*Q277)/100)&lt;Q277, ((DN277*Q277)/100),Q277)</f>
        <v>0.25</v>
      </c>
      <c r="DQ277" s="538">
        <f t="shared" si="254"/>
        <v>0.25</v>
      </c>
      <c r="DR277" s="617">
        <f t="shared" si="255"/>
        <v>1</v>
      </c>
      <c r="DS277" s="616">
        <f t="shared" si="256"/>
        <v>0</v>
      </c>
      <c r="DT277" s="259">
        <v>269</v>
      </c>
      <c r="DU277" s="260" t="s">
        <v>275</v>
      </c>
      <c r="DV277" s="259"/>
      <c r="DW277" s="260" t="s">
        <v>242</v>
      </c>
      <c r="DX277" s="259"/>
      <c r="DY277" s="259"/>
      <c r="DZ277" s="259"/>
      <c r="EA277" s="987"/>
      <c r="EB277" s="1041" t="s">
        <v>2608</v>
      </c>
      <c r="EC277" s="802">
        <v>0</v>
      </c>
      <c r="EE277" s="1047"/>
    </row>
    <row r="278" spans="4:135" s="534" customFormat="1" ht="127.5" hidden="1" x14ac:dyDescent="0.3">
      <c r="D278" s="783">
        <v>275</v>
      </c>
      <c r="E278" s="799">
        <v>323</v>
      </c>
      <c r="F278" s="787" t="s">
        <v>200</v>
      </c>
      <c r="G278" s="739" t="s">
        <v>12</v>
      </c>
      <c r="H278" s="790" t="s">
        <v>2200</v>
      </c>
      <c r="I278" s="712" t="s">
        <v>782</v>
      </c>
      <c r="J278" s="573" t="s">
        <v>868</v>
      </c>
      <c r="K278" s="573" t="s">
        <v>869</v>
      </c>
      <c r="L278" s="701" t="s">
        <v>2201</v>
      </c>
      <c r="M278" s="571" t="s">
        <v>2032</v>
      </c>
      <c r="N278" s="571">
        <v>0</v>
      </c>
      <c r="O278" s="570">
        <f>+P278</f>
        <v>100</v>
      </c>
      <c r="P278" s="569">
        <v>100</v>
      </c>
      <c r="Q278" s="628">
        <v>0.16500000000000001</v>
      </c>
      <c r="R278" s="580">
        <f t="shared" si="234"/>
        <v>4.1250000000000002E-2</v>
      </c>
      <c r="S278" s="627">
        <v>100</v>
      </c>
      <c r="T278" s="625">
        <f t="shared" si="220"/>
        <v>0.25</v>
      </c>
      <c r="U278" s="992">
        <v>100</v>
      </c>
      <c r="V278" s="626">
        <f t="shared" si="221"/>
        <v>25</v>
      </c>
      <c r="W278" s="594">
        <f t="shared" si="222"/>
        <v>100</v>
      </c>
      <c r="X278" s="594">
        <f t="shared" si="235"/>
        <v>100</v>
      </c>
      <c r="Y278" s="594">
        <f t="shared" si="259"/>
        <v>4.1250000000000002E-2</v>
      </c>
      <c r="Z278" s="594">
        <f t="shared" si="236"/>
        <v>100</v>
      </c>
      <c r="AA278" s="593">
        <v>10000000</v>
      </c>
      <c r="AB278" s="593">
        <v>10000000</v>
      </c>
      <c r="AC278" s="593">
        <v>0</v>
      </c>
      <c r="AD278" s="593">
        <v>0</v>
      </c>
      <c r="AE278" s="593">
        <v>0</v>
      </c>
      <c r="AF278" s="593">
        <v>0</v>
      </c>
      <c r="AG278" s="593">
        <v>0</v>
      </c>
      <c r="AH278" s="593">
        <v>0</v>
      </c>
      <c r="AI278" s="593">
        <v>0</v>
      </c>
      <c r="AJ278" s="593">
        <v>0</v>
      </c>
      <c r="AK278" s="593">
        <v>0</v>
      </c>
      <c r="AL278" s="593">
        <v>0</v>
      </c>
      <c r="AM278" s="593">
        <v>0</v>
      </c>
      <c r="AN278" s="593">
        <v>0</v>
      </c>
      <c r="AO278" s="593">
        <v>0</v>
      </c>
      <c r="AP278" s="593">
        <v>0</v>
      </c>
      <c r="AQ278" s="593">
        <v>0</v>
      </c>
      <c r="AR278" s="593">
        <v>0</v>
      </c>
      <c r="AS278" s="593">
        <v>0</v>
      </c>
      <c r="AT278" s="570">
        <f t="shared" si="237"/>
        <v>4.1250000000000002E-2</v>
      </c>
      <c r="AU278" s="571">
        <v>100</v>
      </c>
      <c r="AV278" s="625">
        <f t="shared" si="223"/>
        <v>0.25</v>
      </c>
      <c r="AW278" s="1003">
        <v>100</v>
      </c>
      <c r="AX278" s="604">
        <f t="shared" si="224"/>
        <v>25</v>
      </c>
      <c r="AY278" s="604">
        <f t="shared" si="225"/>
        <v>100</v>
      </c>
      <c r="AZ278" s="604">
        <f t="shared" si="238"/>
        <v>100</v>
      </c>
      <c r="BA278" s="592">
        <f t="shared" si="239"/>
        <v>4.1250000000000002E-2</v>
      </c>
      <c r="BB278" s="592">
        <f t="shared" si="240"/>
        <v>100</v>
      </c>
      <c r="BC278" s="591">
        <v>0</v>
      </c>
      <c r="BD278" s="591">
        <v>0</v>
      </c>
      <c r="BE278" s="591">
        <v>0</v>
      </c>
      <c r="BF278" s="591">
        <v>0</v>
      </c>
      <c r="BG278" s="591">
        <v>0</v>
      </c>
      <c r="BH278" s="591">
        <v>0</v>
      </c>
      <c r="BI278" s="591">
        <v>0</v>
      </c>
      <c r="BJ278" s="591">
        <v>0</v>
      </c>
      <c r="BK278" s="700">
        <v>0</v>
      </c>
      <c r="BL278" s="589">
        <v>0</v>
      </c>
      <c r="BM278" s="589">
        <v>0</v>
      </c>
      <c r="BN278" s="589">
        <v>0</v>
      </c>
      <c r="BO278" s="589">
        <v>0</v>
      </c>
      <c r="BP278" s="589">
        <v>0</v>
      </c>
      <c r="BQ278" s="589">
        <v>0</v>
      </c>
      <c r="BR278" s="589">
        <v>0</v>
      </c>
      <c r="BS278" s="589">
        <v>0</v>
      </c>
      <c r="BT278" s="589">
        <v>0</v>
      </c>
      <c r="BU278" s="589">
        <v>0</v>
      </c>
      <c r="BV278" s="588">
        <f t="shared" si="241"/>
        <v>4.1250000000000002E-2</v>
      </c>
      <c r="BW278" s="588">
        <v>100</v>
      </c>
      <c r="BX278" s="623">
        <f t="shared" si="226"/>
        <v>0.25</v>
      </c>
      <c r="BY278" s="640">
        <v>100</v>
      </c>
      <c r="BZ278" s="656">
        <v>100</v>
      </c>
      <c r="CA278" s="1019">
        <v>100</v>
      </c>
      <c r="CB278" s="557">
        <f t="shared" si="227"/>
        <v>25</v>
      </c>
      <c r="CC278" s="557">
        <f t="shared" si="228"/>
        <v>100</v>
      </c>
      <c r="CD278" s="622">
        <f t="shared" si="242"/>
        <v>100</v>
      </c>
      <c r="CE278" s="621">
        <f t="shared" si="243"/>
        <v>4.1250000000000002E-2</v>
      </c>
      <c r="CF278" s="605">
        <f t="shared" si="244"/>
        <v>100</v>
      </c>
      <c r="CG278" s="621">
        <f t="shared" si="245"/>
        <v>4.1250000000000002E-2</v>
      </c>
      <c r="CH278" s="553">
        <f t="shared" si="246"/>
        <v>4.1250000000000002E-2</v>
      </c>
      <c r="CI278" s="552">
        <v>100</v>
      </c>
      <c r="CJ278" s="551">
        <f t="shared" si="229"/>
        <v>0.25</v>
      </c>
      <c r="CK278" s="874">
        <v>100</v>
      </c>
      <c r="CL278" s="533">
        <f t="shared" si="230"/>
        <v>0</v>
      </c>
      <c r="CM278" s="619">
        <f t="shared" si="231"/>
        <v>25</v>
      </c>
      <c r="CN278" s="619">
        <f t="shared" si="232"/>
        <v>100</v>
      </c>
      <c r="CO278" s="619">
        <f t="shared" si="247"/>
        <v>100</v>
      </c>
      <c r="CP278" s="619">
        <f t="shared" si="248"/>
        <v>4.1250000000000002E-2</v>
      </c>
      <c r="CQ278" s="619">
        <f t="shared" si="249"/>
        <v>4.1250000000000002E-2</v>
      </c>
      <c r="CR278" s="546">
        <v>0</v>
      </c>
      <c r="CS278" s="546">
        <v>0</v>
      </c>
      <c r="CT278" s="546">
        <v>0</v>
      </c>
      <c r="CU278" s="546">
        <v>0</v>
      </c>
      <c r="CV278" s="546">
        <v>0</v>
      </c>
      <c r="CW278" s="546">
        <v>0</v>
      </c>
      <c r="CX278" s="546">
        <v>0</v>
      </c>
      <c r="CY278" s="546">
        <v>0</v>
      </c>
      <c r="CZ278" s="618">
        <v>0</v>
      </c>
      <c r="DA278" s="618">
        <v>0</v>
      </c>
      <c r="DB278" s="618">
        <v>0</v>
      </c>
      <c r="DC278" s="618">
        <v>0</v>
      </c>
      <c r="DD278" s="618">
        <v>0</v>
      </c>
      <c r="DE278" s="618">
        <v>0</v>
      </c>
      <c r="DF278" s="618">
        <v>0</v>
      </c>
      <c r="DG278" s="618">
        <v>0</v>
      </c>
      <c r="DH278" s="618">
        <v>0</v>
      </c>
      <c r="DI278" s="618">
        <v>0</v>
      </c>
      <c r="DJ278" s="618">
        <v>0</v>
      </c>
      <c r="DK278" s="1034">
        <f t="shared" si="233"/>
        <v>100</v>
      </c>
      <c r="DL278" s="543">
        <f t="shared" si="250"/>
        <v>0.16500000000000001</v>
      </c>
      <c r="DM278" s="542">
        <f t="shared" si="251"/>
        <v>100</v>
      </c>
      <c r="DN278" s="594">
        <f t="shared" si="252"/>
        <v>100</v>
      </c>
      <c r="DO278" s="540">
        <f t="shared" si="253"/>
        <v>0.16500000000000001</v>
      </c>
      <c r="DP278" s="597">
        <f>+IF(M278="M",DO278,0)</f>
        <v>0.16500000000000001</v>
      </c>
      <c r="DQ278" s="538">
        <f t="shared" si="254"/>
        <v>0.16500000000000001</v>
      </c>
      <c r="DR278" s="617">
        <f t="shared" si="255"/>
        <v>1</v>
      </c>
      <c r="DS278" s="616">
        <f t="shared" si="256"/>
        <v>0</v>
      </c>
      <c r="DT278" s="259">
        <v>619</v>
      </c>
      <c r="DU278" s="260" t="s">
        <v>431</v>
      </c>
      <c r="DV278" s="259"/>
      <c r="DW278" s="260" t="s">
        <v>242</v>
      </c>
      <c r="DX278" s="259"/>
      <c r="DY278" s="259"/>
      <c r="DZ278" s="259"/>
      <c r="EA278" s="987"/>
      <c r="EB278" s="1041" t="s">
        <v>2609</v>
      </c>
      <c r="EC278" s="802">
        <v>0</v>
      </c>
      <c r="EE278" s="1047"/>
    </row>
    <row r="279" spans="4:135" s="534" customFormat="1" ht="63.75" hidden="1" x14ac:dyDescent="0.3">
      <c r="D279" s="783">
        <v>276</v>
      </c>
      <c r="E279" s="799">
        <v>324</v>
      </c>
      <c r="F279" s="787" t="s">
        <v>200</v>
      </c>
      <c r="G279" s="739" t="s">
        <v>15</v>
      </c>
      <c r="H279" s="790" t="s">
        <v>2200</v>
      </c>
      <c r="I279" s="676" t="s">
        <v>782</v>
      </c>
      <c r="J279" s="573" t="s">
        <v>870</v>
      </c>
      <c r="K279" s="573" t="s">
        <v>871</v>
      </c>
      <c r="L279" s="702" t="s">
        <v>2038</v>
      </c>
      <c r="M279" s="571" t="s">
        <v>2017</v>
      </c>
      <c r="N279" s="571">
        <v>0</v>
      </c>
      <c r="O279" s="570">
        <f t="shared" ref="O279:O288" si="260">+N279+P279</f>
        <v>1</v>
      </c>
      <c r="P279" s="569">
        <v>1</v>
      </c>
      <c r="Q279" s="628">
        <v>0.16500000000000001</v>
      </c>
      <c r="R279" s="580">
        <f t="shared" si="234"/>
        <v>1.6500000000000001E-2</v>
      </c>
      <c r="S279" s="627">
        <v>0.1</v>
      </c>
      <c r="T279" s="625">
        <f t="shared" si="220"/>
        <v>0.1</v>
      </c>
      <c r="U279" s="992">
        <v>0</v>
      </c>
      <c r="V279" s="626">
        <f t="shared" si="221"/>
        <v>0</v>
      </c>
      <c r="W279" s="594">
        <f t="shared" si="222"/>
        <v>0</v>
      </c>
      <c r="X279" s="594">
        <f t="shared" si="235"/>
        <v>0</v>
      </c>
      <c r="Y279" s="594">
        <f t="shared" si="259"/>
        <v>0</v>
      </c>
      <c r="Z279" s="594">
        <f t="shared" si="236"/>
        <v>0</v>
      </c>
      <c r="AA279" s="593">
        <v>0</v>
      </c>
      <c r="AB279" s="593">
        <v>0</v>
      </c>
      <c r="AC279" s="593">
        <v>0</v>
      </c>
      <c r="AD279" s="593">
        <v>0</v>
      </c>
      <c r="AE279" s="593">
        <v>0</v>
      </c>
      <c r="AF279" s="593">
        <v>0</v>
      </c>
      <c r="AG279" s="593">
        <v>0</v>
      </c>
      <c r="AH279" s="593">
        <v>0</v>
      </c>
      <c r="AI279" s="593">
        <v>421000000</v>
      </c>
      <c r="AJ279" s="593">
        <v>421000000</v>
      </c>
      <c r="AK279" s="593">
        <v>0</v>
      </c>
      <c r="AL279" s="593">
        <v>0</v>
      </c>
      <c r="AM279" s="593">
        <v>0</v>
      </c>
      <c r="AN279" s="593">
        <v>0</v>
      </c>
      <c r="AO279" s="593">
        <v>0</v>
      </c>
      <c r="AP279" s="593">
        <v>0</v>
      </c>
      <c r="AQ279" s="593">
        <v>0</v>
      </c>
      <c r="AR279" s="593">
        <v>0</v>
      </c>
      <c r="AS279" s="593">
        <v>0</v>
      </c>
      <c r="AT279" s="570">
        <f t="shared" si="237"/>
        <v>4.9500000000000002E-2</v>
      </c>
      <c r="AU279" s="571">
        <v>0.3</v>
      </c>
      <c r="AV279" s="625">
        <f t="shared" si="223"/>
        <v>0.3</v>
      </c>
      <c r="AW279" s="1003">
        <v>0.66</v>
      </c>
      <c r="AX279" s="604">
        <f t="shared" si="224"/>
        <v>0.66</v>
      </c>
      <c r="AY279" s="604">
        <f t="shared" si="225"/>
        <v>220</v>
      </c>
      <c r="AZ279" s="604">
        <f t="shared" si="238"/>
        <v>100</v>
      </c>
      <c r="BA279" s="592">
        <f t="shared" si="239"/>
        <v>4.9500000000000002E-2</v>
      </c>
      <c r="BB279" s="592">
        <f t="shared" si="240"/>
        <v>100</v>
      </c>
      <c r="BC279" s="591">
        <v>815000000</v>
      </c>
      <c r="BD279" s="591">
        <v>0</v>
      </c>
      <c r="BE279" s="591">
        <v>65000000</v>
      </c>
      <c r="BF279" s="591">
        <v>0</v>
      </c>
      <c r="BG279" s="591">
        <v>0</v>
      </c>
      <c r="BH279" s="591">
        <v>0</v>
      </c>
      <c r="BI279" s="591">
        <v>0</v>
      </c>
      <c r="BJ279" s="591">
        <v>750000000</v>
      </c>
      <c r="BK279" s="700">
        <v>1397842063</v>
      </c>
      <c r="BL279" s="589">
        <v>398758342</v>
      </c>
      <c r="BM279" s="589">
        <v>0</v>
      </c>
      <c r="BN279" s="589">
        <v>0</v>
      </c>
      <c r="BO279" s="589">
        <v>0</v>
      </c>
      <c r="BP279" s="589">
        <v>0</v>
      </c>
      <c r="BQ279" s="589">
        <v>0</v>
      </c>
      <c r="BR279" s="589">
        <v>999083721</v>
      </c>
      <c r="BS279" s="589">
        <v>0</v>
      </c>
      <c r="BT279" s="589">
        <v>0</v>
      </c>
      <c r="BU279" s="589">
        <v>0</v>
      </c>
      <c r="BV279" s="588">
        <f t="shared" si="241"/>
        <v>0</v>
      </c>
      <c r="BW279" s="588">
        <v>0</v>
      </c>
      <c r="BX279" s="623">
        <f t="shared" si="226"/>
        <v>0</v>
      </c>
      <c r="BY279" s="633">
        <v>0</v>
      </c>
      <c r="BZ279" s="641">
        <v>0</v>
      </c>
      <c r="CA279" s="1019">
        <v>0.1</v>
      </c>
      <c r="CB279" s="557">
        <f t="shared" si="227"/>
        <v>0.1</v>
      </c>
      <c r="CC279" s="557">
        <f t="shared" si="228"/>
        <v>0</v>
      </c>
      <c r="CD279" s="622">
        <f t="shared" si="242"/>
        <v>0</v>
      </c>
      <c r="CE279" s="621">
        <f t="shared" si="243"/>
        <v>0</v>
      </c>
      <c r="CF279" s="605">
        <f t="shared" si="244"/>
        <v>0</v>
      </c>
      <c r="CG279" s="621">
        <f t="shared" si="245"/>
        <v>0</v>
      </c>
      <c r="CH279" s="553">
        <f t="shared" si="246"/>
        <v>9.9000000000000005E-2</v>
      </c>
      <c r="CI279" s="703">
        <v>0.6</v>
      </c>
      <c r="CJ279" s="551">
        <f t="shared" si="229"/>
        <v>0.6</v>
      </c>
      <c r="CK279" s="871">
        <v>0</v>
      </c>
      <c r="CL279" s="533">
        <f t="shared" si="230"/>
        <v>0.6</v>
      </c>
      <c r="CM279" s="619">
        <f t="shared" si="231"/>
        <v>0</v>
      </c>
      <c r="CN279" s="619">
        <f t="shared" si="232"/>
        <v>0</v>
      </c>
      <c r="CO279" s="549">
        <f t="shared" si="247"/>
        <v>0</v>
      </c>
      <c r="CP279" s="619">
        <f t="shared" si="248"/>
        <v>0</v>
      </c>
      <c r="CQ279" s="619">
        <f t="shared" si="249"/>
        <v>0</v>
      </c>
      <c r="CR279" s="546">
        <v>900000000</v>
      </c>
      <c r="CS279" s="546">
        <v>150000000</v>
      </c>
      <c r="CT279" s="546">
        <v>0</v>
      </c>
      <c r="CU279" s="546">
        <v>0</v>
      </c>
      <c r="CV279" s="546">
        <v>0</v>
      </c>
      <c r="CW279" s="546">
        <v>0</v>
      </c>
      <c r="CX279" s="546">
        <v>0</v>
      </c>
      <c r="CY279" s="546">
        <v>750000000</v>
      </c>
      <c r="CZ279" s="618">
        <v>0</v>
      </c>
      <c r="DA279" s="618">
        <v>0</v>
      </c>
      <c r="DB279" s="618">
        <v>0</v>
      </c>
      <c r="DC279" s="618">
        <v>0</v>
      </c>
      <c r="DD279" s="618">
        <v>0</v>
      </c>
      <c r="DE279" s="618">
        <v>0</v>
      </c>
      <c r="DF279" s="618">
        <v>0</v>
      </c>
      <c r="DG279" s="618">
        <v>0</v>
      </c>
      <c r="DH279" s="618">
        <v>0</v>
      </c>
      <c r="DI279" s="618">
        <v>0</v>
      </c>
      <c r="DJ279" s="618">
        <v>0</v>
      </c>
      <c r="DK279" s="1034">
        <f t="shared" si="233"/>
        <v>0.76</v>
      </c>
      <c r="DL279" s="543">
        <f t="shared" si="250"/>
        <v>0.16500000000000001</v>
      </c>
      <c r="DM279" s="542">
        <f t="shared" si="251"/>
        <v>76</v>
      </c>
      <c r="DN279" s="594">
        <f t="shared" si="252"/>
        <v>76</v>
      </c>
      <c r="DO279" s="540">
        <f t="shared" si="253"/>
        <v>0.12540000000000001</v>
      </c>
      <c r="DP279" s="597">
        <f t="shared" ref="DP279:DP288" si="261">+IF(((DN279*Q279)/100)&lt;Q279, ((DN279*Q279)/100),Q279)</f>
        <v>0.12540000000000001</v>
      </c>
      <c r="DQ279" s="538">
        <f t="shared" si="254"/>
        <v>0.12540000000000001</v>
      </c>
      <c r="DR279" s="617">
        <f t="shared" si="255"/>
        <v>1</v>
      </c>
      <c r="DS279" s="616">
        <f t="shared" si="256"/>
        <v>0</v>
      </c>
      <c r="DT279" s="259">
        <v>257</v>
      </c>
      <c r="DU279" s="260" t="s">
        <v>276</v>
      </c>
      <c r="DV279" s="259"/>
      <c r="DW279" s="260" t="s">
        <v>242</v>
      </c>
      <c r="DX279" s="259"/>
      <c r="DY279" s="259"/>
      <c r="DZ279" s="259"/>
      <c r="EA279" s="987"/>
      <c r="EB279" s="1041" t="s">
        <v>2610</v>
      </c>
      <c r="EC279" s="802">
        <v>900000000</v>
      </c>
      <c r="EE279" s="1047"/>
    </row>
    <row r="280" spans="4:135" s="534" customFormat="1" ht="102" hidden="1" x14ac:dyDescent="0.3">
      <c r="D280" s="783">
        <v>277</v>
      </c>
      <c r="E280" s="799">
        <v>325</v>
      </c>
      <c r="F280" s="574" t="s">
        <v>200</v>
      </c>
      <c r="G280" s="574" t="s">
        <v>9</v>
      </c>
      <c r="H280" s="574" t="s">
        <v>2200</v>
      </c>
      <c r="I280" s="574" t="s">
        <v>782</v>
      </c>
      <c r="J280" s="573" t="s">
        <v>1445</v>
      </c>
      <c r="K280" s="573" t="s">
        <v>872</v>
      </c>
      <c r="L280" s="702" t="s">
        <v>2038</v>
      </c>
      <c r="M280" s="571" t="s">
        <v>2017</v>
      </c>
      <c r="N280" s="571">
        <v>0</v>
      </c>
      <c r="O280" s="570">
        <f t="shared" si="260"/>
        <v>3</v>
      </c>
      <c r="P280" s="569">
        <v>3</v>
      </c>
      <c r="Q280" s="631">
        <v>0.16500000000000001</v>
      </c>
      <c r="R280" s="580">
        <f t="shared" si="234"/>
        <v>0</v>
      </c>
      <c r="S280" s="627">
        <v>0</v>
      </c>
      <c r="T280" s="625">
        <f t="shared" si="220"/>
        <v>0</v>
      </c>
      <c r="U280" s="992">
        <v>0</v>
      </c>
      <c r="V280" s="626">
        <f t="shared" si="221"/>
        <v>0</v>
      </c>
      <c r="W280" s="594">
        <f t="shared" si="222"/>
        <v>0</v>
      </c>
      <c r="X280" s="594">
        <f t="shared" si="235"/>
        <v>0</v>
      </c>
      <c r="Y280" s="594">
        <f t="shared" si="259"/>
        <v>0</v>
      </c>
      <c r="Z280" s="594">
        <f t="shared" si="236"/>
        <v>0</v>
      </c>
      <c r="AA280" s="593">
        <v>0</v>
      </c>
      <c r="AB280" s="593">
        <v>0</v>
      </c>
      <c r="AC280" s="593">
        <v>0</v>
      </c>
      <c r="AD280" s="593">
        <v>0</v>
      </c>
      <c r="AE280" s="593">
        <v>0</v>
      </c>
      <c r="AF280" s="593">
        <v>0</v>
      </c>
      <c r="AG280" s="593">
        <v>0</v>
      </c>
      <c r="AH280" s="593">
        <v>0</v>
      </c>
      <c r="AI280" s="593">
        <v>0</v>
      </c>
      <c r="AJ280" s="593">
        <v>0</v>
      </c>
      <c r="AK280" s="593">
        <v>0</v>
      </c>
      <c r="AL280" s="593">
        <v>0</v>
      </c>
      <c r="AM280" s="593">
        <v>0</v>
      </c>
      <c r="AN280" s="593">
        <v>0</v>
      </c>
      <c r="AO280" s="593">
        <v>0</v>
      </c>
      <c r="AP280" s="593">
        <v>0</v>
      </c>
      <c r="AQ280" s="593">
        <v>0</v>
      </c>
      <c r="AR280" s="593">
        <v>0</v>
      </c>
      <c r="AS280" s="593">
        <v>0</v>
      </c>
      <c r="AT280" s="630">
        <f t="shared" si="237"/>
        <v>5.5E-2</v>
      </c>
      <c r="AU280" s="571">
        <v>1</v>
      </c>
      <c r="AV280" s="625">
        <f t="shared" si="223"/>
        <v>0.33333333333333331</v>
      </c>
      <c r="AW280" s="1003">
        <v>1</v>
      </c>
      <c r="AX280" s="604">
        <f t="shared" si="224"/>
        <v>1</v>
      </c>
      <c r="AY280" s="604">
        <f t="shared" si="225"/>
        <v>100</v>
      </c>
      <c r="AZ280" s="604">
        <f t="shared" si="238"/>
        <v>100</v>
      </c>
      <c r="BA280" s="592">
        <f t="shared" si="239"/>
        <v>5.5E-2</v>
      </c>
      <c r="BB280" s="592">
        <f t="shared" si="240"/>
        <v>100</v>
      </c>
      <c r="BC280" s="591">
        <v>0</v>
      </c>
      <c r="BD280" s="591">
        <v>0</v>
      </c>
      <c r="BE280" s="591">
        <v>0</v>
      </c>
      <c r="BF280" s="591">
        <v>0</v>
      </c>
      <c r="BG280" s="591">
        <v>0</v>
      </c>
      <c r="BH280" s="591">
        <v>0</v>
      </c>
      <c r="BI280" s="591">
        <v>0</v>
      </c>
      <c r="BJ280" s="591">
        <v>0</v>
      </c>
      <c r="BK280" s="700">
        <v>0</v>
      </c>
      <c r="BL280" s="589">
        <v>0</v>
      </c>
      <c r="BM280" s="589">
        <v>0</v>
      </c>
      <c r="BN280" s="589">
        <v>0</v>
      </c>
      <c r="BO280" s="589">
        <v>0</v>
      </c>
      <c r="BP280" s="589">
        <v>0</v>
      </c>
      <c r="BQ280" s="589">
        <v>0</v>
      </c>
      <c r="BR280" s="589">
        <v>0</v>
      </c>
      <c r="BS280" s="589">
        <v>0</v>
      </c>
      <c r="BT280" s="589">
        <v>0</v>
      </c>
      <c r="BU280" s="589">
        <v>0</v>
      </c>
      <c r="BV280" s="588">
        <f t="shared" si="241"/>
        <v>5.5E-2</v>
      </c>
      <c r="BW280" s="588">
        <v>1</v>
      </c>
      <c r="BX280" s="623">
        <f t="shared" si="226"/>
        <v>0.33333333333333331</v>
      </c>
      <c r="BY280" s="607">
        <v>3</v>
      </c>
      <c r="BZ280" s="629">
        <v>1</v>
      </c>
      <c r="CA280" s="1017">
        <v>2</v>
      </c>
      <c r="CB280" s="557">
        <f t="shared" si="227"/>
        <v>2</v>
      </c>
      <c r="CC280" s="557">
        <f t="shared" si="228"/>
        <v>200</v>
      </c>
      <c r="CD280" s="622">
        <f t="shared" si="242"/>
        <v>100</v>
      </c>
      <c r="CE280" s="621">
        <f t="shared" si="243"/>
        <v>5.5E-2</v>
      </c>
      <c r="CF280" s="605">
        <f t="shared" si="244"/>
        <v>100</v>
      </c>
      <c r="CG280" s="621">
        <f t="shared" si="245"/>
        <v>0.11</v>
      </c>
      <c r="CH280" s="553">
        <f t="shared" si="246"/>
        <v>5.5E-2</v>
      </c>
      <c r="CI280" s="552">
        <v>1</v>
      </c>
      <c r="CJ280" s="551">
        <f t="shared" si="229"/>
        <v>0.33333333333333331</v>
      </c>
      <c r="CK280" s="874">
        <v>1</v>
      </c>
      <c r="CL280" s="533">
        <f t="shared" si="230"/>
        <v>0</v>
      </c>
      <c r="CM280" s="619">
        <f t="shared" si="231"/>
        <v>1</v>
      </c>
      <c r="CN280" s="619">
        <f t="shared" si="232"/>
        <v>100</v>
      </c>
      <c r="CO280" s="549">
        <f t="shared" si="247"/>
        <v>100</v>
      </c>
      <c r="CP280" s="619">
        <f t="shared" si="248"/>
        <v>5.5E-2</v>
      </c>
      <c r="CQ280" s="619">
        <f t="shared" si="249"/>
        <v>5.5E-2</v>
      </c>
      <c r="CR280" s="546">
        <v>0</v>
      </c>
      <c r="CS280" s="546">
        <v>0</v>
      </c>
      <c r="CT280" s="546">
        <v>0</v>
      </c>
      <c r="CU280" s="546">
        <v>0</v>
      </c>
      <c r="CV280" s="546">
        <v>0</v>
      </c>
      <c r="CW280" s="546">
        <v>0</v>
      </c>
      <c r="CX280" s="546">
        <v>0</v>
      </c>
      <c r="CY280" s="546">
        <v>0</v>
      </c>
      <c r="CZ280" s="618">
        <v>0</v>
      </c>
      <c r="DA280" s="618">
        <v>0</v>
      </c>
      <c r="DB280" s="618">
        <v>0</v>
      </c>
      <c r="DC280" s="618">
        <v>0</v>
      </c>
      <c r="DD280" s="618">
        <v>0</v>
      </c>
      <c r="DE280" s="618">
        <v>0</v>
      </c>
      <c r="DF280" s="618">
        <v>0</v>
      </c>
      <c r="DG280" s="618">
        <v>0</v>
      </c>
      <c r="DH280" s="618">
        <v>0</v>
      </c>
      <c r="DI280" s="618">
        <v>0</v>
      </c>
      <c r="DJ280" s="618">
        <v>0</v>
      </c>
      <c r="DK280" s="1034">
        <f t="shared" si="233"/>
        <v>4</v>
      </c>
      <c r="DL280" s="543">
        <f t="shared" si="250"/>
        <v>0.16500000000000001</v>
      </c>
      <c r="DM280" s="542">
        <f t="shared" si="251"/>
        <v>133.33333333333334</v>
      </c>
      <c r="DN280" s="594">
        <f t="shared" si="252"/>
        <v>100</v>
      </c>
      <c r="DO280" s="540">
        <f t="shared" si="253"/>
        <v>0.16500000000000001</v>
      </c>
      <c r="DP280" s="597">
        <f t="shared" si="261"/>
        <v>0.16500000000000001</v>
      </c>
      <c r="DQ280" s="538">
        <f t="shared" si="254"/>
        <v>0.16500000000000001</v>
      </c>
      <c r="DR280" s="617">
        <f t="shared" si="255"/>
        <v>1</v>
      </c>
      <c r="DS280" s="616">
        <f t="shared" si="256"/>
        <v>0</v>
      </c>
      <c r="DT280" s="259">
        <v>269</v>
      </c>
      <c r="DU280" s="260" t="s">
        <v>275</v>
      </c>
      <c r="DV280" s="259"/>
      <c r="DW280" s="260" t="s">
        <v>242</v>
      </c>
      <c r="DX280" s="259"/>
      <c r="DY280" s="259"/>
      <c r="DZ280" s="259"/>
      <c r="EA280" s="987"/>
      <c r="EB280" s="1041" t="s">
        <v>2611</v>
      </c>
      <c r="EC280" s="802">
        <v>0</v>
      </c>
      <c r="EE280" s="1047"/>
    </row>
    <row r="281" spans="4:135" s="534" customFormat="1" ht="38.25" hidden="1" x14ac:dyDescent="0.3">
      <c r="D281" s="783">
        <v>278</v>
      </c>
      <c r="E281" s="799">
        <v>326</v>
      </c>
      <c r="F281" s="787" t="s">
        <v>200</v>
      </c>
      <c r="G281" s="739" t="s">
        <v>9</v>
      </c>
      <c r="H281" s="790" t="s">
        <v>2200</v>
      </c>
      <c r="I281" s="712" t="s">
        <v>782</v>
      </c>
      <c r="J281" s="573" t="s">
        <v>873</v>
      </c>
      <c r="K281" s="573" t="s">
        <v>874</v>
      </c>
      <c r="L281" s="701" t="s">
        <v>2199</v>
      </c>
      <c r="M281" s="571" t="s">
        <v>2017</v>
      </c>
      <c r="N281" s="571">
        <v>0</v>
      </c>
      <c r="O281" s="570">
        <f t="shared" si="260"/>
        <v>4</v>
      </c>
      <c r="P281" s="569">
        <v>4</v>
      </c>
      <c r="Q281" s="628">
        <v>8.8999999999999996E-2</v>
      </c>
      <c r="R281" s="580">
        <f t="shared" si="234"/>
        <v>2.2249999999999999E-2</v>
      </c>
      <c r="S281" s="627">
        <v>1</v>
      </c>
      <c r="T281" s="625">
        <f t="shared" si="220"/>
        <v>0.25</v>
      </c>
      <c r="U281" s="992">
        <v>0</v>
      </c>
      <c r="V281" s="626">
        <f t="shared" si="221"/>
        <v>0</v>
      </c>
      <c r="W281" s="594">
        <f t="shared" si="222"/>
        <v>0</v>
      </c>
      <c r="X281" s="594">
        <f t="shared" si="235"/>
        <v>0</v>
      </c>
      <c r="Y281" s="594">
        <f t="shared" si="259"/>
        <v>0</v>
      </c>
      <c r="Z281" s="594">
        <f t="shared" si="236"/>
        <v>0</v>
      </c>
      <c r="AA281" s="593">
        <v>0</v>
      </c>
      <c r="AB281" s="593">
        <v>0</v>
      </c>
      <c r="AC281" s="593">
        <v>0</v>
      </c>
      <c r="AD281" s="593">
        <v>0</v>
      </c>
      <c r="AE281" s="593">
        <v>0</v>
      </c>
      <c r="AF281" s="593">
        <v>0</v>
      </c>
      <c r="AG281" s="593">
        <v>0</v>
      </c>
      <c r="AH281" s="593">
        <v>0</v>
      </c>
      <c r="AI281" s="593">
        <v>0</v>
      </c>
      <c r="AJ281" s="593">
        <v>0</v>
      </c>
      <c r="AK281" s="593">
        <v>0</v>
      </c>
      <c r="AL281" s="593">
        <v>0</v>
      </c>
      <c r="AM281" s="593">
        <v>0</v>
      </c>
      <c r="AN281" s="593">
        <v>0</v>
      </c>
      <c r="AO281" s="593">
        <v>0</v>
      </c>
      <c r="AP281" s="593">
        <v>0</v>
      </c>
      <c r="AQ281" s="593">
        <v>0</v>
      </c>
      <c r="AR281" s="593">
        <v>0</v>
      </c>
      <c r="AS281" s="593">
        <v>0</v>
      </c>
      <c r="AT281" s="570">
        <f t="shared" si="237"/>
        <v>2.2249999999999999E-2</v>
      </c>
      <c r="AU281" s="571">
        <v>1</v>
      </c>
      <c r="AV281" s="625">
        <f t="shared" si="223"/>
        <v>0.25</v>
      </c>
      <c r="AW281" s="1003">
        <v>1</v>
      </c>
      <c r="AX281" s="604">
        <f t="shared" si="224"/>
        <v>1</v>
      </c>
      <c r="AY281" s="604">
        <f t="shared" si="225"/>
        <v>100</v>
      </c>
      <c r="AZ281" s="604">
        <f t="shared" si="238"/>
        <v>100</v>
      </c>
      <c r="BA281" s="592">
        <f t="shared" si="239"/>
        <v>2.2250000000000002E-2</v>
      </c>
      <c r="BB281" s="592">
        <f t="shared" si="240"/>
        <v>100</v>
      </c>
      <c r="BC281" s="591">
        <v>0</v>
      </c>
      <c r="BD281" s="591">
        <v>0</v>
      </c>
      <c r="BE281" s="591">
        <v>0</v>
      </c>
      <c r="BF281" s="591">
        <v>0</v>
      </c>
      <c r="BG281" s="591">
        <v>0</v>
      </c>
      <c r="BH281" s="591">
        <v>0</v>
      </c>
      <c r="BI281" s="591">
        <v>0</v>
      </c>
      <c r="BJ281" s="591">
        <v>0</v>
      </c>
      <c r="BK281" s="700">
        <v>0</v>
      </c>
      <c r="BL281" s="589">
        <v>0</v>
      </c>
      <c r="BM281" s="589">
        <v>0</v>
      </c>
      <c r="BN281" s="589">
        <v>0</v>
      </c>
      <c r="BO281" s="589">
        <v>0</v>
      </c>
      <c r="BP281" s="589">
        <v>0</v>
      </c>
      <c r="BQ281" s="589">
        <v>0</v>
      </c>
      <c r="BR281" s="589">
        <v>0</v>
      </c>
      <c r="BS281" s="589">
        <v>0</v>
      </c>
      <c r="BT281" s="589">
        <v>0</v>
      </c>
      <c r="BU281" s="589">
        <v>0</v>
      </c>
      <c r="BV281" s="588">
        <f t="shared" si="241"/>
        <v>2.2249999999999999E-2</v>
      </c>
      <c r="BW281" s="588">
        <v>1</v>
      </c>
      <c r="BX281" s="623">
        <f t="shared" si="226"/>
        <v>0.25</v>
      </c>
      <c r="BY281" s="607">
        <v>1</v>
      </c>
      <c r="BZ281" s="629">
        <v>1</v>
      </c>
      <c r="CA281" s="1017">
        <v>1</v>
      </c>
      <c r="CB281" s="557">
        <f t="shared" si="227"/>
        <v>1</v>
      </c>
      <c r="CC281" s="557">
        <f t="shared" si="228"/>
        <v>100</v>
      </c>
      <c r="CD281" s="622">
        <f t="shared" si="242"/>
        <v>100</v>
      </c>
      <c r="CE281" s="621">
        <f t="shared" si="243"/>
        <v>2.2250000000000002E-2</v>
      </c>
      <c r="CF281" s="605">
        <f t="shared" si="244"/>
        <v>100</v>
      </c>
      <c r="CG281" s="621">
        <f t="shared" si="245"/>
        <v>2.2250000000000002E-2</v>
      </c>
      <c r="CH281" s="553">
        <f t="shared" si="246"/>
        <v>2.2249999999999999E-2</v>
      </c>
      <c r="CI281" s="552">
        <v>1</v>
      </c>
      <c r="CJ281" s="551">
        <f t="shared" si="229"/>
        <v>0.25</v>
      </c>
      <c r="CK281" s="874">
        <v>1</v>
      </c>
      <c r="CL281" s="533">
        <f t="shared" si="230"/>
        <v>0</v>
      </c>
      <c r="CM281" s="619">
        <f t="shared" si="231"/>
        <v>1</v>
      </c>
      <c r="CN281" s="619">
        <f t="shared" si="232"/>
        <v>100</v>
      </c>
      <c r="CO281" s="549">
        <f t="shared" si="247"/>
        <v>100</v>
      </c>
      <c r="CP281" s="619">
        <f t="shared" si="248"/>
        <v>2.2250000000000002E-2</v>
      </c>
      <c r="CQ281" s="619">
        <f t="shared" si="249"/>
        <v>2.2250000000000002E-2</v>
      </c>
      <c r="CR281" s="546">
        <v>0</v>
      </c>
      <c r="CS281" s="546">
        <v>0</v>
      </c>
      <c r="CT281" s="546">
        <v>0</v>
      </c>
      <c r="CU281" s="546">
        <v>0</v>
      </c>
      <c r="CV281" s="546">
        <v>0</v>
      </c>
      <c r="CW281" s="546">
        <v>0</v>
      </c>
      <c r="CX281" s="546">
        <v>0</v>
      </c>
      <c r="CY281" s="546">
        <v>0</v>
      </c>
      <c r="CZ281" s="618">
        <v>0</v>
      </c>
      <c r="DA281" s="618">
        <v>0</v>
      </c>
      <c r="DB281" s="618">
        <v>0</v>
      </c>
      <c r="DC281" s="618">
        <v>0</v>
      </c>
      <c r="DD281" s="618">
        <v>0</v>
      </c>
      <c r="DE281" s="618">
        <v>0</v>
      </c>
      <c r="DF281" s="618">
        <v>0</v>
      </c>
      <c r="DG281" s="618">
        <v>0</v>
      </c>
      <c r="DH281" s="618">
        <v>0</v>
      </c>
      <c r="DI281" s="618">
        <v>0</v>
      </c>
      <c r="DJ281" s="618">
        <v>0</v>
      </c>
      <c r="DK281" s="1034">
        <f t="shared" si="233"/>
        <v>3</v>
      </c>
      <c r="DL281" s="543">
        <f t="shared" si="250"/>
        <v>8.8999999999999996E-2</v>
      </c>
      <c r="DM281" s="542">
        <f t="shared" si="251"/>
        <v>75</v>
      </c>
      <c r="DN281" s="594">
        <f t="shared" si="252"/>
        <v>75</v>
      </c>
      <c r="DO281" s="540">
        <f t="shared" si="253"/>
        <v>6.6750000000000004E-2</v>
      </c>
      <c r="DP281" s="597">
        <f t="shared" si="261"/>
        <v>6.6750000000000004E-2</v>
      </c>
      <c r="DQ281" s="538">
        <f t="shared" si="254"/>
        <v>6.6750000000000004E-2</v>
      </c>
      <c r="DR281" s="617">
        <f t="shared" si="255"/>
        <v>1</v>
      </c>
      <c r="DS281" s="616">
        <f t="shared" si="256"/>
        <v>0</v>
      </c>
      <c r="DT281" s="259">
        <v>269</v>
      </c>
      <c r="DU281" s="260" t="s">
        <v>275</v>
      </c>
      <c r="DV281" s="259"/>
      <c r="DW281" s="260" t="s">
        <v>242</v>
      </c>
      <c r="DX281" s="259"/>
      <c r="DY281" s="259"/>
      <c r="DZ281" s="259"/>
      <c r="EA281" s="987"/>
      <c r="EB281" s="1041" t="s">
        <v>2612</v>
      </c>
      <c r="EC281" s="802">
        <v>0</v>
      </c>
      <c r="EE281" s="1047"/>
    </row>
    <row r="282" spans="4:135" s="534" customFormat="1" ht="114.75" hidden="1" x14ac:dyDescent="0.3">
      <c r="D282" s="783">
        <v>279</v>
      </c>
      <c r="E282" s="799">
        <v>328</v>
      </c>
      <c r="F282" s="739" t="s">
        <v>201</v>
      </c>
      <c r="G282" s="739" t="s">
        <v>19</v>
      </c>
      <c r="H282" s="739" t="s">
        <v>141</v>
      </c>
      <c r="I282" s="676" t="s">
        <v>875</v>
      </c>
      <c r="J282" s="573" t="s">
        <v>876</v>
      </c>
      <c r="K282" s="573" t="s">
        <v>877</v>
      </c>
      <c r="L282" s="687" t="s">
        <v>2013</v>
      </c>
      <c r="M282" s="571" t="s">
        <v>2017</v>
      </c>
      <c r="N282" s="571">
        <v>16</v>
      </c>
      <c r="O282" s="570">
        <f t="shared" si="260"/>
        <v>41</v>
      </c>
      <c r="P282" s="569">
        <v>25</v>
      </c>
      <c r="Q282" s="628">
        <v>0.25</v>
      </c>
      <c r="R282" s="580">
        <f t="shared" si="234"/>
        <v>0</v>
      </c>
      <c r="S282" s="627">
        <v>0</v>
      </c>
      <c r="T282" s="625">
        <f t="shared" si="220"/>
        <v>0</v>
      </c>
      <c r="U282" s="992">
        <v>0</v>
      </c>
      <c r="V282" s="626">
        <f t="shared" si="221"/>
        <v>0</v>
      </c>
      <c r="W282" s="594">
        <f t="shared" si="222"/>
        <v>0</v>
      </c>
      <c r="X282" s="594">
        <f t="shared" si="235"/>
        <v>0</v>
      </c>
      <c r="Y282" s="594">
        <f t="shared" si="259"/>
        <v>0</v>
      </c>
      <c r="Z282" s="594">
        <f t="shared" si="236"/>
        <v>0</v>
      </c>
      <c r="AA282" s="593">
        <v>0</v>
      </c>
      <c r="AB282" s="593">
        <v>0</v>
      </c>
      <c r="AC282" s="593">
        <v>0</v>
      </c>
      <c r="AD282" s="593">
        <v>0</v>
      </c>
      <c r="AE282" s="593">
        <v>0</v>
      </c>
      <c r="AF282" s="593">
        <v>0</v>
      </c>
      <c r="AG282" s="593">
        <v>0</v>
      </c>
      <c r="AH282" s="593">
        <v>0</v>
      </c>
      <c r="AI282" s="593">
        <v>0</v>
      </c>
      <c r="AJ282" s="593">
        <v>0</v>
      </c>
      <c r="AK282" s="593">
        <v>0</v>
      </c>
      <c r="AL282" s="593">
        <v>0</v>
      </c>
      <c r="AM282" s="593">
        <v>0</v>
      </c>
      <c r="AN282" s="593">
        <v>0</v>
      </c>
      <c r="AO282" s="593">
        <v>0</v>
      </c>
      <c r="AP282" s="593">
        <v>0</v>
      </c>
      <c r="AQ282" s="593">
        <v>0</v>
      </c>
      <c r="AR282" s="593">
        <v>0</v>
      </c>
      <c r="AS282" s="593">
        <v>0</v>
      </c>
      <c r="AT282" s="570">
        <f t="shared" si="237"/>
        <v>0.05</v>
      </c>
      <c r="AU282" s="571">
        <v>5</v>
      </c>
      <c r="AV282" s="625">
        <f t="shared" si="223"/>
        <v>0.2</v>
      </c>
      <c r="AW282" s="1003">
        <v>7</v>
      </c>
      <c r="AX282" s="604">
        <f t="shared" si="224"/>
        <v>7</v>
      </c>
      <c r="AY282" s="604">
        <f t="shared" si="225"/>
        <v>140</v>
      </c>
      <c r="AZ282" s="604">
        <f t="shared" si="238"/>
        <v>100</v>
      </c>
      <c r="BA282" s="592">
        <f t="shared" si="239"/>
        <v>0.05</v>
      </c>
      <c r="BB282" s="592">
        <f t="shared" si="240"/>
        <v>100</v>
      </c>
      <c r="BC282" s="591">
        <v>749000000</v>
      </c>
      <c r="BD282" s="591">
        <v>0</v>
      </c>
      <c r="BE282" s="591">
        <v>618000000</v>
      </c>
      <c r="BF282" s="591">
        <v>0</v>
      </c>
      <c r="BG282" s="591">
        <v>0</v>
      </c>
      <c r="BH282" s="591">
        <v>0</v>
      </c>
      <c r="BI282" s="591">
        <v>0</v>
      </c>
      <c r="BJ282" s="591">
        <v>131000000</v>
      </c>
      <c r="BK282" s="624">
        <v>2869940500</v>
      </c>
      <c r="BL282" s="589">
        <v>2869940500</v>
      </c>
      <c r="BM282" s="589">
        <v>0</v>
      </c>
      <c r="BN282" s="589">
        <v>0</v>
      </c>
      <c r="BO282" s="589">
        <v>0</v>
      </c>
      <c r="BP282" s="589">
        <v>0</v>
      </c>
      <c r="BQ282" s="589">
        <v>0</v>
      </c>
      <c r="BR282" s="589">
        <v>0</v>
      </c>
      <c r="BS282" s="589">
        <v>0</v>
      </c>
      <c r="BT282" s="589">
        <v>8468844586</v>
      </c>
      <c r="BU282" s="589" t="s">
        <v>2198</v>
      </c>
      <c r="BV282" s="588">
        <f t="shared" si="241"/>
        <v>0.08</v>
      </c>
      <c r="BW282" s="588">
        <v>8</v>
      </c>
      <c r="BX282" s="623">
        <f t="shared" si="226"/>
        <v>0.32</v>
      </c>
      <c r="BY282" s="587">
        <v>11</v>
      </c>
      <c r="BZ282" s="586">
        <v>0</v>
      </c>
      <c r="CA282" s="1021">
        <v>8</v>
      </c>
      <c r="CB282" s="557">
        <f t="shared" si="227"/>
        <v>8</v>
      </c>
      <c r="CC282" s="557">
        <f t="shared" si="228"/>
        <v>100</v>
      </c>
      <c r="CD282" s="622">
        <f t="shared" si="242"/>
        <v>100</v>
      </c>
      <c r="CE282" s="621">
        <f t="shared" si="243"/>
        <v>0.08</v>
      </c>
      <c r="CF282" s="605">
        <f t="shared" si="244"/>
        <v>100</v>
      </c>
      <c r="CG282" s="621">
        <f t="shared" si="245"/>
        <v>0.08</v>
      </c>
      <c r="CH282" s="553">
        <f t="shared" si="246"/>
        <v>0.12</v>
      </c>
      <c r="CI282" s="552">
        <v>12</v>
      </c>
      <c r="CJ282" s="551">
        <f t="shared" si="229"/>
        <v>0.48</v>
      </c>
      <c r="CK282" s="874">
        <v>22</v>
      </c>
      <c r="CL282" s="533">
        <f t="shared" si="230"/>
        <v>-10</v>
      </c>
      <c r="CM282" s="619">
        <f t="shared" si="231"/>
        <v>22</v>
      </c>
      <c r="CN282" s="619">
        <f t="shared" si="232"/>
        <v>183.33333333333334</v>
      </c>
      <c r="CO282" s="549">
        <f t="shared" si="247"/>
        <v>100</v>
      </c>
      <c r="CP282" s="619">
        <f t="shared" si="248"/>
        <v>0.12</v>
      </c>
      <c r="CQ282" s="619">
        <f t="shared" si="249"/>
        <v>0.22</v>
      </c>
      <c r="CR282" s="546">
        <v>1559000000</v>
      </c>
      <c r="CS282" s="546">
        <v>1426000000</v>
      </c>
      <c r="CT282" s="546">
        <v>0</v>
      </c>
      <c r="CU282" s="546">
        <v>0</v>
      </c>
      <c r="CV282" s="546">
        <v>0</v>
      </c>
      <c r="CW282" s="546">
        <v>0</v>
      </c>
      <c r="CX282" s="546">
        <v>0</v>
      </c>
      <c r="CY282" s="546">
        <v>133000000</v>
      </c>
      <c r="CZ282" s="618">
        <v>0</v>
      </c>
      <c r="DA282" s="618">
        <v>0</v>
      </c>
      <c r="DB282" s="618">
        <v>0</v>
      </c>
      <c r="DC282" s="618">
        <v>0</v>
      </c>
      <c r="DD282" s="618">
        <v>0</v>
      </c>
      <c r="DE282" s="618">
        <v>0</v>
      </c>
      <c r="DF282" s="618">
        <v>0</v>
      </c>
      <c r="DG282" s="618">
        <v>0</v>
      </c>
      <c r="DH282" s="618">
        <v>0</v>
      </c>
      <c r="DI282" s="618">
        <v>0</v>
      </c>
      <c r="DJ282" s="618">
        <v>0</v>
      </c>
      <c r="DK282" s="1034">
        <f t="shared" si="233"/>
        <v>37</v>
      </c>
      <c r="DL282" s="543">
        <f t="shared" si="250"/>
        <v>0.25</v>
      </c>
      <c r="DM282" s="542">
        <f t="shared" si="251"/>
        <v>148</v>
      </c>
      <c r="DN282" s="594">
        <f t="shared" si="252"/>
        <v>100</v>
      </c>
      <c r="DO282" s="540">
        <f t="shared" si="253"/>
        <v>0.25</v>
      </c>
      <c r="DP282" s="597">
        <f t="shared" si="261"/>
        <v>0.25</v>
      </c>
      <c r="DQ282" s="538">
        <f t="shared" si="254"/>
        <v>0.25</v>
      </c>
      <c r="DR282" s="617">
        <f t="shared" si="255"/>
        <v>1</v>
      </c>
      <c r="DS282" s="616">
        <f t="shared" si="256"/>
        <v>0</v>
      </c>
      <c r="DT282" s="259">
        <v>327</v>
      </c>
      <c r="DU282" s="260" t="s">
        <v>274</v>
      </c>
      <c r="DV282" s="259"/>
      <c r="DW282" s="260" t="s">
        <v>242</v>
      </c>
      <c r="DX282" s="259"/>
      <c r="DY282" s="259"/>
      <c r="DZ282" s="259"/>
      <c r="EA282" s="987"/>
      <c r="EB282" s="1041" t="s">
        <v>2613</v>
      </c>
      <c r="EC282" s="802">
        <v>1557000000</v>
      </c>
      <c r="EE282" s="1047"/>
    </row>
    <row r="283" spans="4:135" s="534" customFormat="1" ht="102" hidden="1" x14ac:dyDescent="0.3">
      <c r="D283" s="783">
        <v>280</v>
      </c>
      <c r="E283" s="799">
        <v>329</v>
      </c>
      <c r="F283" s="739" t="s">
        <v>201</v>
      </c>
      <c r="G283" s="739" t="s">
        <v>19</v>
      </c>
      <c r="H283" s="739" t="s">
        <v>141</v>
      </c>
      <c r="I283" s="676" t="s">
        <v>875</v>
      </c>
      <c r="J283" s="573" t="s">
        <v>878</v>
      </c>
      <c r="K283" s="573" t="s">
        <v>879</v>
      </c>
      <c r="L283" s="687" t="s">
        <v>1707</v>
      </c>
      <c r="M283" s="571" t="s">
        <v>2017</v>
      </c>
      <c r="N283" s="571">
        <v>0</v>
      </c>
      <c r="O283" s="570">
        <f t="shared" si="260"/>
        <v>50</v>
      </c>
      <c r="P283" s="569">
        <v>50</v>
      </c>
      <c r="Q283" s="628">
        <v>0.16500000000000001</v>
      </c>
      <c r="R283" s="580">
        <f t="shared" si="234"/>
        <v>0.1353</v>
      </c>
      <c r="S283" s="627">
        <v>41</v>
      </c>
      <c r="T283" s="625">
        <f t="shared" si="220"/>
        <v>0.82</v>
      </c>
      <c r="U283" s="992">
        <v>41</v>
      </c>
      <c r="V283" s="626">
        <f t="shared" si="221"/>
        <v>41</v>
      </c>
      <c r="W283" s="594">
        <f t="shared" si="222"/>
        <v>100</v>
      </c>
      <c r="X283" s="594">
        <f t="shared" si="235"/>
        <v>100</v>
      </c>
      <c r="Y283" s="594">
        <f t="shared" si="259"/>
        <v>0.1353</v>
      </c>
      <c r="Z283" s="594">
        <f t="shared" si="236"/>
        <v>100</v>
      </c>
      <c r="AA283" s="593">
        <v>0</v>
      </c>
      <c r="AB283" s="593">
        <v>0</v>
      </c>
      <c r="AC283" s="593">
        <v>0</v>
      </c>
      <c r="AD283" s="593">
        <v>0</v>
      </c>
      <c r="AE283" s="593">
        <v>0</v>
      </c>
      <c r="AF283" s="593">
        <v>0</v>
      </c>
      <c r="AG283" s="593">
        <v>0</v>
      </c>
      <c r="AH283" s="593">
        <v>0</v>
      </c>
      <c r="AI283" s="593">
        <v>0</v>
      </c>
      <c r="AJ283" s="593">
        <v>0</v>
      </c>
      <c r="AK283" s="593">
        <v>0</v>
      </c>
      <c r="AL283" s="593">
        <v>0</v>
      </c>
      <c r="AM283" s="593">
        <v>0</v>
      </c>
      <c r="AN283" s="593">
        <v>0</v>
      </c>
      <c r="AO283" s="593">
        <v>0</v>
      </c>
      <c r="AP283" s="593">
        <v>0</v>
      </c>
      <c r="AQ283" s="593">
        <v>0</v>
      </c>
      <c r="AR283" s="593">
        <v>0</v>
      </c>
      <c r="AS283" s="593">
        <v>0</v>
      </c>
      <c r="AT283" s="570">
        <f t="shared" si="237"/>
        <v>2.9700000000000001E-2</v>
      </c>
      <c r="AU283" s="571">
        <v>9</v>
      </c>
      <c r="AV283" s="625">
        <f t="shared" si="223"/>
        <v>0.18</v>
      </c>
      <c r="AW283" s="1003">
        <v>9</v>
      </c>
      <c r="AX283" s="604">
        <f t="shared" si="224"/>
        <v>9</v>
      </c>
      <c r="AY283" s="604">
        <f t="shared" si="225"/>
        <v>100</v>
      </c>
      <c r="AZ283" s="604">
        <f t="shared" si="238"/>
        <v>100</v>
      </c>
      <c r="BA283" s="592">
        <f t="shared" si="239"/>
        <v>2.9700000000000001E-2</v>
      </c>
      <c r="BB283" s="592">
        <f t="shared" si="240"/>
        <v>100</v>
      </c>
      <c r="BC283" s="591">
        <v>0</v>
      </c>
      <c r="BD283" s="591">
        <v>0</v>
      </c>
      <c r="BE283" s="591">
        <v>0</v>
      </c>
      <c r="BF283" s="591">
        <v>0</v>
      </c>
      <c r="BG283" s="591">
        <v>0</v>
      </c>
      <c r="BH283" s="591">
        <v>0</v>
      </c>
      <c r="BI283" s="591">
        <v>0</v>
      </c>
      <c r="BJ283" s="591">
        <v>0</v>
      </c>
      <c r="BK283" s="624">
        <v>0</v>
      </c>
      <c r="BL283" s="589">
        <v>0</v>
      </c>
      <c r="BM283" s="589">
        <v>0</v>
      </c>
      <c r="BN283" s="589">
        <v>0</v>
      </c>
      <c r="BO283" s="589">
        <v>0</v>
      </c>
      <c r="BP283" s="589">
        <v>0</v>
      </c>
      <c r="BQ283" s="589">
        <v>0</v>
      </c>
      <c r="BR283" s="589">
        <v>0</v>
      </c>
      <c r="BS283" s="589">
        <v>0</v>
      </c>
      <c r="BT283" s="589">
        <v>0</v>
      </c>
      <c r="BU283" s="589">
        <v>0</v>
      </c>
      <c r="BV283" s="588">
        <f t="shared" si="241"/>
        <v>0</v>
      </c>
      <c r="BW283" s="588">
        <v>0</v>
      </c>
      <c r="BX283" s="623">
        <f t="shared" si="226"/>
        <v>0</v>
      </c>
      <c r="BY283" s="633">
        <v>0</v>
      </c>
      <c r="BZ283" s="632">
        <v>0</v>
      </c>
      <c r="CA283" s="1022">
        <v>0</v>
      </c>
      <c r="CB283" s="557">
        <f t="shared" si="227"/>
        <v>0</v>
      </c>
      <c r="CC283" s="557">
        <f t="shared" si="228"/>
        <v>0</v>
      </c>
      <c r="CD283" s="622">
        <f t="shared" si="242"/>
        <v>0</v>
      </c>
      <c r="CE283" s="621">
        <f t="shared" si="243"/>
        <v>0</v>
      </c>
      <c r="CF283" s="605">
        <f t="shared" si="244"/>
        <v>0</v>
      </c>
      <c r="CG283" s="621">
        <f t="shared" si="245"/>
        <v>0</v>
      </c>
      <c r="CH283" s="553">
        <f t="shared" si="246"/>
        <v>0</v>
      </c>
      <c r="CI283" s="552">
        <v>0</v>
      </c>
      <c r="CJ283" s="551">
        <f t="shared" si="229"/>
        <v>0</v>
      </c>
      <c r="CK283" s="871">
        <v>0</v>
      </c>
      <c r="CL283" s="533">
        <f t="shared" si="230"/>
        <v>0</v>
      </c>
      <c r="CM283" s="619">
        <f t="shared" si="231"/>
        <v>0</v>
      </c>
      <c r="CN283" s="619">
        <f t="shared" si="232"/>
        <v>0</v>
      </c>
      <c r="CO283" s="549">
        <f t="shared" si="247"/>
        <v>0</v>
      </c>
      <c r="CP283" s="619">
        <f t="shared" si="248"/>
        <v>0</v>
      </c>
      <c r="CQ283" s="619">
        <f t="shared" si="249"/>
        <v>0</v>
      </c>
      <c r="CR283" s="546">
        <v>0</v>
      </c>
      <c r="CS283" s="546">
        <v>0</v>
      </c>
      <c r="CT283" s="546">
        <v>0</v>
      </c>
      <c r="CU283" s="546">
        <v>0</v>
      </c>
      <c r="CV283" s="546">
        <v>0</v>
      </c>
      <c r="CW283" s="546">
        <v>0</v>
      </c>
      <c r="CX283" s="546">
        <v>0</v>
      </c>
      <c r="CY283" s="546">
        <v>0</v>
      </c>
      <c r="CZ283" s="618">
        <v>0</v>
      </c>
      <c r="DA283" s="618">
        <v>0</v>
      </c>
      <c r="DB283" s="618">
        <v>0</v>
      </c>
      <c r="DC283" s="618">
        <v>0</v>
      </c>
      <c r="DD283" s="618">
        <v>0</v>
      </c>
      <c r="DE283" s="618">
        <v>0</v>
      </c>
      <c r="DF283" s="618">
        <v>0</v>
      </c>
      <c r="DG283" s="618">
        <v>0</v>
      </c>
      <c r="DH283" s="618">
        <v>0</v>
      </c>
      <c r="DI283" s="618">
        <v>0</v>
      </c>
      <c r="DJ283" s="618">
        <v>0</v>
      </c>
      <c r="DK283" s="1034">
        <f t="shared" si="233"/>
        <v>50</v>
      </c>
      <c r="DL283" s="543">
        <f t="shared" si="250"/>
        <v>0.16500000000000001</v>
      </c>
      <c r="DM283" s="542">
        <f t="shared" si="251"/>
        <v>100</v>
      </c>
      <c r="DN283" s="594">
        <f t="shared" si="252"/>
        <v>100</v>
      </c>
      <c r="DO283" s="540">
        <f t="shared" si="253"/>
        <v>0.16500000000000001</v>
      </c>
      <c r="DP283" s="597">
        <f t="shared" si="261"/>
        <v>0.16500000000000001</v>
      </c>
      <c r="DQ283" s="538">
        <f t="shared" si="254"/>
        <v>0.16500000000000001</v>
      </c>
      <c r="DR283" s="617">
        <f t="shared" si="255"/>
        <v>1</v>
      </c>
      <c r="DS283" s="616">
        <f t="shared" si="256"/>
        <v>3.4694469519536142E-18</v>
      </c>
      <c r="DT283" s="259">
        <v>622</v>
      </c>
      <c r="DU283" s="260" t="s">
        <v>246</v>
      </c>
      <c r="DV283" s="259"/>
      <c r="DW283" s="260" t="s">
        <v>242</v>
      </c>
      <c r="DX283" s="259"/>
      <c r="DY283" s="259"/>
      <c r="DZ283" s="259"/>
      <c r="EA283" s="987"/>
      <c r="EB283" s="1041" t="s">
        <v>2614</v>
      </c>
      <c r="EC283" s="802">
        <v>0</v>
      </c>
      <c r="EE283" s="1047"/>
    </row>
    <row r="284" spans="4:135" s="534" customFormat="1" ht="102" hidden="1" x14ac:dyDescent="0.3">
      <c r="D284" s="783">
        <v>281</v>
      </c>
      <c r="E284" s="799">
        <v>330</v>
      </c>
      <c r="F284" s="739" t="s">
        <v>201</v>
      </c>
      <c r="G284" s="739" t="s">
        <v>18</v>
      </c>
      <c r="H284" s="739" t="s">
        <v>141</v>
      </c>
      <c r="I284" s="676" t="s">
        <v>875</v>
      </c>
      <c r="J284" s="573" t="s">
        <v>880</v>
      </c>
      <c r="K284" s="573" t="s">
        <v>881</v>
      </c>
      <c r="L284" s="687" t="s">
        <v>2138</v>
      </c>
      <c r="M284" s="571" t="s">
        <v>2017</v>
      </c>
      <c r="N284" s="571">
        <v>0</v>
      </c>
      <c r="O284" s="570">
        <f t="shared" si="260"/>
        <v>1</v>
      </c>
      <c r="P284" s="569">
        <v>1</v>
      </c>
      <c r="Q284" s="628">
        <v>0.25</v>
      </c>
      <c r="R284" s="580">
        <f t="shared" si="234"/>
        <v>0</v>
      </c>
      <c r="S284" s="627">
        <v>0</v>
      </c>
      <c r="T284" s="625">
        <f t="shared" si="220"/>
        <v>0</v>
      </c>
      <c r="U284" s="992">
        <v>0</v>
      </c>
      <c r="V284" s="626">
        <f t="shared" si="221"/>
        <v>0</v>
      </c>
      <c r="W284" s="594">
        <f t="shared" si="222"/>
        <v>0</v>
      </c>
      <c r="X284" s="594">
        <f t="shared" si="235"/>
        <v>0</v>
      </c>
      <c r="Y284" s="594">
        <f t="shared" si="259"/>
        <v>0</v>
      </c>
      <c r="Z284" s="594">
        <f t="shared" si="236"/>
        <v>0</v>
      </c>
      <c r="AA284" s="593">
        <v>0</v>
      </c>
      <c r="AB284" s="593">
        <v>0</v>
      </c>
      <c r="AC284" s="593">
        <v>0</v>
      </c>
      <c r="AD284" s="593">
        <v>0</v>
      </c>
      <c r="AE284" s="593">
        <v>0</v>
      </c>
      <c r="AF284" s="593">
        <v>0</v>
      </c>
      <c r="AG284" s="593">
        <v>0</v>
      </c>
      <c r="AH284" s="593">
        <v>0</v>
      </c>
      <c r="AI284" s="593">
        <v>0</v>
      </c>
      <c r="AJ284" s="593">
        <v>0</v>
      </c>
      <c r="AK284" s="593">
        <v>0</v>
      </c>
      <c r="AL284" s="593">
        <v>0</v>
      </c>
      <c r="AM284" s="593">
        <v>0</v>
      </c>
      <c r="AN284" s="593">
        <v>0</v>
      </c>
      <c r="AO284" s="593">
        <v>0</v>
      </c>
      <c r="AP284" s="593">
        <v>0</v>
      </c>
      <c r="AQ284" s="593">
        <v>0</v>
      </c>
      <c r="AR284" s="593">
        <v>0</v>
      </c>
      <c r="AS284" s="593">
        <v>0</v>
      </c>
      <c r="AT284" s="570">
        <f t="shared" si="237"/>
        <v>7.4999999999999997E-2</v>
      </c>
      <c r="AU284" s="571">
        <v>0.3</v>
      </c>
      <c r="AV284" s="625">
        <f t="shared" si="223"/>
        <v>0.3</v>
      </c>
      <c r="AW284" s="1003">
        <v>0.3</v>
      </c>
      <c r="AX284" s="604">
        <f t="shared" si="224"/>
        <v>0.3</v>
      </c>
      <c r="AY284" s="604">
        <f t="shared" si="225"/>
        <v>100</v>
      </c>
      <c r="AZ284" s="604">
        <f t="shared" si="238"/>
        <v>100</v>
      </c>
      <c r="BA284" s="592">
        <f t="shared" si="239"/>
        <v>7.4999999999999997E-2</v>
      </c>
      <c r="BB284" s="592">
        <f t="shared" si="240"/>
        <v>100</v>
      </c>
      <c r="BC284" s="591">
        <v>397000000</v>
      </c>
      <c r="BD284" s="591">
        <v>0</v>
      </c>
      <c r="BE284" s="591">
        <v>327000000</v>
      </c>
      <c r="BF284" s="591">
        <v>0</v>
      </c>
      <c r="BG284" s="591">
        <v>0</v>
      </c>
      <c r="BH284" s="591">
        <v>0</v>
      </c>
      <c r="BI284" s="591">
        <v>0</v>
      </c>
      <c r="BJ284" s="591">
        <v>70000000</v>
      </c>
      <c r="BK284" s="624">
        <v>62000000</v>
      </c>
      <c r="BL284" s="589">
        <v>62000000</v>
      </c>
      <c r="BM284" s="589">
        <v>0</v>
      </c>
      <c r="BN284" s="589">
        <v>0</v>
      </c>
      <c r="BO284" s="589">
        <v>0</v>
      </c>
      <c r="BP284" s="589">
        <v>0</v>
      </c>
      <c r="BQ284" s="589">
        <v>0</v>
      </c>
      <c r="BR284" s="589">
        <v>0</v>
      </c>
      <c r="BS284" s="589">
        <v>0</v>
      </c>
      <c r="BT284" s="589">
        <v>150000000</v>
      </c>
      <c r="BU284" s="589" t="s">
        <v>2197</v>
      </c>
      <c r="BV284" s="588">
        <f t="shared" si="241"/>
        <v>0.15</v>
      </c>
      <c r="BW284" s="588">
        <v>0.6</v>
      </c>
      <c r="BX284" s="623">
        <f t="shared" si="226"/>
        <v>0.6</v>
      </c>
      <c r="BY284" s="607">
        <v>0</v>
      </c>
      <c r="BZ284" s="629">
        <v>0.30000001192092896</v>
      </c>
      <c r="CA284" s="1017">
        <v>0.69999998807907104</v>
      </c>
      <c r="CB284" s="557">
        <f t="shared" si="227"/>
        <v>0.69999998807907104</v>
      </c>
      <c r="CC284" s="557">
        <f t="shared" si="228"/>
        <v>116.66666467984518</v>
      </c>
      <c r="CD284" s="622">
        <f t="shared" si="242"/>
        <v>100</v>
      </c>
      <c r="CE284" s="621">
        <f t="shared" si="243"/>
        <v>0.15</v>
      </c>
      <c r="CF284" s="605">
        <f t="shared" si="244"/>
        <v>100</v>
      </c>
      <c r="CG284" s="621">
        <f t="shared" si="245"/>
        <v>0.17499999701976776</v>
      </c>
      <c r="CH284" s="553">
        <f t="shared" si="246"/>
        <v>2.5000000000000001E-2</v>
      </c>
      <c r="CI284" s="552">
        <v>0.1</v>
      </c>
      <c r="CJ284" s="551">
        <f t="shared" si="229"/>
        <v>0.1</v>
      </c>
      <c r="CK284" s="874">
        <v>0.20000000298023224</v>
      </c>
      <c r="CL284" s="533">
        <f t="shared" si="230"/>
        <v>-0.10000000298023223</v>
      </c>
      <c r="CM284" s="619">
        <f t="shared" si="231"/>
        <v>0.20000000298023224</v>
      </c>
      <c r="CN284" s="619">
        <f t="shared" si="232"/>
        <v>200.00000298023224</v>
      </c>
      <c r="CO284" s="549">
        <f t="shared" si="247"/>
        <v>100</v>
      </c>
      <c r="CP284" s="619">
        <f t="shared" si="248"/>
        <v>2.5000000000000001E-2</v>
      </c>
      <c r="CQ284" s="619">
        <f t="shared" si="249"/>
        <v>5.000000074505806E-2</v>
      </c>
      <c r="CR284" s="546">
        <v>824000000</v>
      </c>
      <c r="CS284" s="546">
        <v>754000000</v>
      </c>
      <c r="CT284" s="546">
        <v>0</v>
      </c>
      <c r="CU284" s="546">
        <v>0</v>
      </c>
      <c r="CV284" s="546">
        <v>0</v>
      </c>
      <c r="CW284" s="546">
        <v>0</v>
      </c>
      <c r="CX284" s="546">
        <v>0</v>
      </c>
      <c r="CY284" s="546">
        <v>70000000</v>
      </c>
      <c r="CZ284" s="618">
        <v>0</v>
      </c>
      <c r="DA284" s="618">
        <v>0</v>
      </c>
      <c r="DB284" s="618">
        <v>0</v>
      </c>
      <c r="DC284" s="618">
        <v>0</v>
      </c>
      <c r="DD284" s="618">
        <v>0</v>
      </c>
      <c r="DE284" s="618">
        <v>0</v>
      </c>
      <c r="DF284" s="618">
        <v>0</v>
      </c>
      <c r="DG284" s="618">
        <v>0</v>
      </c>
      <c r="DH284" s="618">
        <v>0</v>
      </c>
      <c r="DI284" s="618">
        <v>0</v>
      </c>
      <c r="DJ284" s="618">
        <v>0</v>
      </c>
      <c r="DK284" s="1034">
        <f t="shared" si="233"/>
        <v>1.1999999910593033</v>
      </c>
      <c r="DL284" s="543">
        <f t="shared" si="250"/>
        <v>0.24999999999999997</v>
      </c>
      <c r="DM284" s="542">
        <f t="shared" si="251"/>
        <v>119.99999910593033</v>
      </c>
      <c r="DN284" s="594">
        <f t="shared" si="252"/>
        <v>100</v>
      </c>
      <c r="DO284" s="540">
        <f t="shared" si="253"/>
        <v>0.25</v>
      </c>
      <c r="DP284" s="597">
        <f t="shared" si="261"/>
        <v>0.25</v>
      </c>
      <c r="DQ284" s="538">
        <f t="shared" si="254"/>
        <v>0.25</v>
      </c>
      <c r="DR284" s="617">
        <f t="shared" si="255"/>
        <v>0.99999999999999989</v>
      </c>
      <c r="DS284" s="616">
        <f t="shared" si="256"/>
        <v>0</v>
      </c>
      <c r="DT284" s="259">
        <v>327</v>
      </c>
      <c r="DU284" s="260" t="s">
        <v>274</v>
      </c>
      <c r="DV284" s="259"/>
      <c r="DW284" s="260" t="s">
        <v>242</v>
      </c>
      <c r="DX284" s="259"/>
      <c r="DY284" s="259"/>
      <c r="DZ284" s="259"/>
      <c r="EA284" s="987"/>
      <c r="EB284" s="1041" t="s">
        <v>2615</v>
      </c>
      <c r="EC284" s="802">
        <v>1076000000</v>
      </c>
      <c r="EE284" s="1047"/>
    </row>
    <row r="285" spans="4:135" s="534" customFormat="1" ht="96" hidden="1" x14ac:dyDescent="0.3">
      <c r="D285" s="783">
        <v>282</v>
      </c>
      <c r="E285" s="799">
        <v>331</v>
      </c>
      <c r="F285" s="574" t="s">
        <v>201</v>
      </c>
      <c r="G285" s="574" t="s">
        <v>19</v>
      </c>
      <c r="H285" s="574" t="s">
        <v>141</v>
      </c>
      <c r="I285" s="574" t="s">
        <v>875</v>
      </c>
      <c r="J285" s="573" t="s">
        <v>1446</v>
      </c>
      <c r="K285" s="573" t="s">
        <v>882</v>
      </c>
      <c r="L285" s="687" t="s">
        <v>2171</v>
      </c>
      <c r="M285" s="571" t="s">
        <v>2017</v>
      </c>
      <c r="N285" s="571">
        <v>3</v>
      </c>
      <c r="O285" s="570">
        <f t="shared" si="260"/>
        <v>7</v>
      </c>
      <c r="P285" s="569">
        <v>4</v>
      </c>
      <c r="Q285" s="631">
        <v>0.16500000000000001</v>
      </c>
      <c r="R285" s="580">
        <f t="shared" si="234"/>
        <v>0</v>
      </c>
      <c r="S285" s="627">
        <v>0</v>
      </c>
      <c r="T285" s="625">
        <f t="shared" si="220"/>
        <v>0</v>
      </c>
      <c r="U285" s="992">
        <v>0</v>
      </c>
      <c r="V285" s="626">
        <f t="shared" si="221"/>
        <v>0</v>
      </c>
      <c r="W285" s="594">
        <f t="shared" si="222"/>
        <v>0</v>
      </c>
      <c r="X285" s="594">
        <f t="shared" si="235"/>
        <v>0</v>
      </c>
      <c r="Y285" s="594">
        <f t="shared" si="259"/>
        <v>0</v>
      </c>
      <c r="Z285" s="594">
        <f t="shared" si="236"/>
        <v>0</v>
      </c>
      <c r="AA285" s="593">
        <v>0</v>
      </c>
      <c r="AB285" s="593">
        <v>0</v>
      </c>
      <c r="AC285" s="593">
        <v>0</v>
      </c>
      <c r="AD285" s="593">
        <v>0</v>
      </c>
      <c r="AE285" s="593">
        <v>0</v>
      </c>
      <c r="AF285" s="593">
        <v>0</v>
      </c>
      <c r="AG285" s="593">
        <v>0</v>
      </c>
      <c r="AH285" s="593">
        <v>0</v>
      </c>
      <c r="AI285" s="593">
        <v>0</v>
      </c>
      <c r="AJ285" s="593">
        <v>0</v>
      </c>
      <c r="AK285" s="593">
        <v>0</v>
      </c>
      <c r="AL285" s="593">
        <v>0</v>
      </c>
      <c r="AM285" s="593">
        <v>0</v>
      </c>
      <c r="AN285" s="593">
        <v>0</v>
      </c>
      <c r="AO285" s="593">
        <v>0</v>
      </c>
      <c r="AP285" s="593">
        <v>0</v>
      </c>
      <c r="AQ285" s="593">
        <v>0</v>
      </c>
      <c r="AR285" s="593">
        <v>0</v>
      </c>
      <c r="AS285" s="593">
        <v>0</v>
      </c>
      <c r="AT285" s="630">
        <f t="shared" si="237"/>
        <v>0</v>
      </c>
      <c r="AU285" s="571">
        <v>0</v>
      </c>
      <c r="AV285" s="625">
        <f t="shared" si="223"/>
        <v>0</v>
      </c>
      <c r="AW285" s="1003">
        <v>0</v>
      </c>
      <c r="AX285" s="604">
        <f t="shared" si="224"/>
        <v>0</v>
      </c>
      <c r="AY285" s="604">
        <f t="shared" si="225"/>
        <v>0</v>
      </c>
      <c r="AZ285" s="604">
        <f t="shared" si="238"/>
        <v>0</v>
      </c>
      <c r="BA285" s="592">
        <f t="shared" si="239"/>
        <v>0</v>
      </c>
      <c r="BB285" s="592">
        <f t="shared" si="240"/>
        <v>0</v>
      </c>
      <c r="BC285" s="591">
        <v>190000000</v>
      </c>
      <c r="BD285" s="591">
        <v>0</v>
      </c>
      <c r="BE285" s="591">
        <v>65000000</v>
      </c>
      <c r="BF285" s="591">
        <v>0</v>
      </c>
      <c r="BG285" s="591">
        <v>0</v>
      </c>
      <c r="BH285" s="591">
        <v>0</v>
      </c>
      <c r="BI285" s="591">
        <v>0</v>
      </c>
      <c r="BJ285" s="591">
        <v>125000000</v>
      </c>
      <c r="BK285" s="624">
        <v>0</v>
      </c>
      <c r="BL285" s="589">
        <v>0</v>
      </c>
      <c r="BM285" s="589">
        <v>0</v>
      </c>
      <c r="BN285" s="589">
        <v>0</v>
      </c>
      <c r="BO285" s="589">
        <v>0</v>
      </c>
      <c r="BP285" s="589">
        <v>0</v>
      </c>
      <c r="BQ285" s="589">
        <v>0</v>
      </c>
      <c r="BR285" s="589">
        <v>0</v>
      </c>
      <c r="BS285" s="589">
        <v>0</v>
      </c>
      <c r="BT285" s="589">
        <v>0</v>
      </c>
      <c r="BU285" s="589">
        <v>0</v>
      </c>
      <c r="BV285" s="588">
        <f t="shared" si="241"/>
        <v>0</v>
      </c>
      <c r="BW285" s="588">
        <v>0</v>
      </c>
      <c r="BX285" s="623">
        <f t="shared" si="226"/>
        <v>0</v>
      </c>
      <c r="BY285" s="607">
        <v>0</v>
      </c>
      <c r="BZ285" s="606">
        <v>0</v>
      </c>
      <c r="CA285" s="1021">
        <v>0</v>
      </c>
      <c r="CB285" s="557">
        <f t="shared" si="227"/>
        <v>0</v>
      </c>
      <c r="CC285" s="557">
        <f t="shared" si="228"/>
        <v>0</v>
      </c>
      <c r="CD285" s="622">
        <f t="shared" si="242"/>
        <v>0</v>
      </c>
      <c r="CE285" s="621">
        <f t="shared" si="243"/>
        <v>0</v>
      </c>
      <c r="CF285" s="605">
        <f t="shared" si="244"/>
        <v>0</v>
      </c>
      <c r="CG285" s="621">
        <f t="shared" si="245"/>
        <v>0</v>
      </c>
      <c r="CH285" s="553">
        <f t="shared" si="246"/>
        <v>0.16500000000000001</v>
      </c>
      <c r="CI285" s="552">
        <v>4</v>
      </c>
      <c r="CJ285" s="551">
        <f t="shared" si="229"/>
        <v>1</v>
      </c>
      <c r="CK285" s="875">
        <v>0</v>
      </c>
      <c r="CL285" s="533">
        <f t="shared" si="230"/>
        <v>4</v>
      </c>
      <c r="CM285" s="619">
        <f t="shared" si="231"/>
        <v>0</v>
      </c>
      <c r="CN285" s="619">
        <f t="shared" si="232"/>
        <v>0</v>
      </c>
      <c r="CO285" s="549">
        <f t="shared" si="247"/>
        <v>0</v>
      </c>
      <c r="CP285" s="619">
        <f t="shared" si="248"/>
        <v>0</v>
      </c>
      <c r="CQ285" s="619">
        <f t="shared" si="249"/>
        <v>0</v>
      </c>
      <c r="CR285" s="546">
        <v>275000000</v>
      </c>
      <c r="CS285" s="546">
        <v>150000000</v>
      </c>
      <c r="CT285" s="546">
        <v>0</v>
      </c>
      <c r="CU285" s="546">
        <v>0</v>
      </c>
      <c r="CV285" s="546">
        <v>0</v>
      </c>
      <c r="CW285" s="546">
        <v>0</v>
      </c>
      <c r="CX285" s="546">
        <v>0</v>
      </c>
      <c r="CY285" s="546">
        <v>125000000</v>
      </c>
      <c r="CZ285" s="618">
        <v>0</v>
      </c>
      <c r="DA285" s="618">
        <v>0</v>
      </c>
      <c r="DB285" s="618">
        <v>0</v>
      </c>
      <c r="DC285" s="618">
        <v>0</v>
      </c>
      <c r="DD285" s="618">
        <v>0</v>
      </c>
      <c r="DE285" s="618">
        <v>0</v>
      </c>
      <c r="DF285" s="618">
        <v>0</v>
      </c>
      <c r="DG285" s="618">
        <v>0</v>
      </c>
      <c r="DH285" s="618">
        <v>0</v>
      </c>
      <c r="DI285" s="618">
        <v>0</v>
      </c>
      <c r="DJ285" s="618">
        <v>0</v>
      </c>
      <c r="DK285" s="1034">
        <f t="shared" si="233"/>
        <v>0</v>
      </c>
      <c r="DL285" s="543">
        <f t="shared" si="250"/>
        <v>0.16500000000000001</v>
      </c>
      <c r="DM285" s="542">
        <f t="shared" si="251"/>
        <v>0</v>
      </c>
      <c r="DN285" s="594">
        <f t="shared" si="252"/>
        <v>0</v>
      </c>
      <c r="DO285" s="540">
        <f t="shared" si="253"/>
        <v>0</v>
      </c>
      <c r="DP285" s="597">
        <f t="shared" si="261"/>
        <v>0</v>
      </c>
      <c r="DQ285" s="538">
        <f t="shared" si="254"/>
        <v>0</v>
      </c>
      <c r="DR285" s="617">
        <f t="shared" si="255"/>
        <v>1</v>
      </c>
      <c r="DS285" s="616">
        <f t="shared" si="256"/>
        <v>0</v>
      </c>
      <c r="DT285" s="259">
        <v>327</v>
      </c>
      <c r="DU285" s="260" t="s">
        <v>274</v>
      </c>
      <c r="DV285" s="259"/>
      <c r="DW285" s="260" t="s">
        <v>242</v>
      </c>
      <c r="DX285" s="259"/>
      <c r="DY285" s="259"/>
      <c r="DZ285" s="259"/>
      <c r="EA285" s="987"/>
      <c r="EB285" s="1041" t="s">
        <v>2616</v>
      </c>
      <c r="EC285" s="802">
        <v>275000000</v>
      </c>
      <c r="EE285" s="1047"/>
    </row>
    <row r="286" spans="4:135" s="534" customFormat="1" ht="96" hidden="1" x14ac:dyDescent="0.3">
      <c r="D286" s="783">
        <v>283</v>
      </c>
      <c r="E286" s="799">
        <v>332</v>
      </c>
      <c r="F286" s="574" t="s">
        <v>201</v>
      </c>
      <c r="G286" s="574" t="s">
        <v>19</v>
      </c>
      <c r="H286" s="574" t="s">
        <v>141</v>
      </c>
      <c r="I286" s="574" t="s">
        <v>883</v>
      </c>
      <c r="J286" s="573" t="s">
        <v>1447</v>
      </c>
      <c r="K286" s="573" t="s">
        <v>1487</v>
      </c>
      <c r="L286" s="687" t="s">
        <v>2196</v>
      </c>
      <c r="M286" s="571" t="s">
        <v>2017</v>
      </c>
      <c r="N286" s="571">
        <v>0</v>
      </c>
      <c r="O286" s="570">
        <f t="shared" si="260"/>
        <v>1</v>
      </c>
      <c r="P286" s="569">
        <v>1</v>
      </c>
      <c r="Q286" s="631">
        <v>0.33</v>
      </c>
      <c r="R286" s="580">
        <f t="shared" si="234"/>
        <v>0</v>
      </c>
      <c r="S286" s="627">
        <v>0</v>
      </c>
      <c r="T286" s="625">
        <f t="shared" si="220"/>
        <v>0</v>
      </c>
      <c r="U286" s="992">
        <v>0</v>
      </c>
      <c r="V286" s="626">
        <f t="shared" si="221"/>
        <v>0</v>
      </c>
      <c r="W286" s="594">
        <f t="shared" si="222"/>
        <v>0</v>
      </c>
      <c r="X286" s="594">
        <f t="shared" si="235"/>
        <v>0</v>
      </c>
      <c r="Y286" s="594">
        <f t="shared" si="259"/>
        <v>0</v>
      </c>
      <c r="Z286" s="594">
        <f t="shared" si="236"/>
        <v>0</v>
      </c>
      <c r="AA286" s="593">
        <v>0</v>
      </c>
      <c r="AB286" s="593">
        <v>0</v>
      </c>
      <c r="AC286" s="593">
        <v>0</v>
      </c>
      <c r="AD286" s="593">
        <v>0</v>
      </c>
      <c r="AE286" s="593">
        <v>0</v>
      </c>
      <c r="AF286" s="593">
        <v>0</v>
      </c>
      <c r="AG286" s="593">
        <v>0</v>
      </c>
      <c r="AH286" s="593">
        <v>0</v>
      </c>
      <c r="AI286" s="593">
        <v>0</v>
      </c>
      <c r="AJ286" s="593">
        <v>0</v>
      </c>
      <c r="AK286" s="593">
        <v>0</v>
      </c>
      <c r="AL286" s="593">
        <v>0</v>
      </c>
      <c r="AM286" s="593">
        <v>0</v>
      </c>
      <c r="AN286" s="593">
        <v>0</v>
      </c>
      <c r="AO286" s="593">
        <v>0</v>
      </c>
      <c r="AP286" s="593">
        <v>0</v>
      </c>
      <c r="AQ286" s="593">
        <v>0</v>
      </c>
      <c r="AR286" s="593">
        <v>0</v>
      </c>
      <c r="AS286" s="593">
        <v>0</v>
      </c>
      <c r="AT286" s="630">
        <f t="shared" si="237"/>
        <v>0</v>
      </c>
      <c r="AU286" s="571">
        <v>0</v>
      </c>
      <c r="AV286" s="625">
        <f t="shared" si="223"/>
        <v>0</v>
      </c>
      <c r="AW286" s="1003">
        <v>0</v>
      </c>
      <c r="AX286" s="604">
        <f t="shared" si="224"/>
        <v>0</v>
      </c>
      <c r="AY286" s="604">
        <f t="shared" si="225"/>
        <v>0</v>
      </c>
      <c r="AZ286" s="604">
        <f t="shared" si="238"/>
        <v>0</v>
      </c>
      <c r="BA286" s="592">
        <f t="shared" si="239"/>
        <v>0</v>
      </c>
      <c r="BB286" s="592">
        <f t="shared" si="240"/>
        <v>0</v>
      </c>
      <c r="BC286" s="591">
        <v>0</v>
      </c>
      <c r="BD286" s="591">
        <v>0</v>
      </c>
      <c r="BE286" s="591">
        <v>0</v>
      </c>
      <c r="BF286" s="591">
        <v>0</v>
      </c>
      <c r="BG286" s="591">
        <v>0</v>
      </c>
      <c r="BH286" s="591">
        <v>0</v>
      </c>
      <c r="BI286" s="591">
        <v>0</v>
      </c>
      <c r="BJ286" s="591">
        <v>0</v>
      </c>
      <c r="BK286" s="624">
        <v>16000000</v>
      </c>
      <c r="BL286" s="589">
        <v>16000000</v>
      </c>
      <c r="BM286" s="589">
        <v>0</v>
      </c>
      <c r="BN286" s="589">
        <v>0</v>
      </c>
      <c r="BO286" s="589">
        <v>0</v>
      </c>
      <c r="BP286" s="589">
        <v>0</v>
      </c>
      <c r="BQ286" s="589">
        <v>0</v>
      </c>
      <c r="BR286" s="589">
        <v>0</v>
      </c>
      <c r="BS286" s="589">
        <v>0</v>
      </c>
      <c r="BT286" s="589">
        <v>0</v>
      </c>
      <c r="BU286" s="589">
        <v>0</v>
      </c>
      <c r="BV286" s="588">
        <f t="shared" si="241"/>
        <v>3.3000000000000002E-2</v>
      </c>
      <c r="BW286" s="588">
        <v>0.1</v>
      </c>
      <c r="BX286" s="623">
        <f t="shared" si="226"/>
        <v>0.1</v>
      </c>
      <c r="BY286" s="637">
        <v>0</v>
      </c>
      <c r="BZ286" s="699">
        <v>0</v>
      </c>
      <c r="CA286" s="1023">
        <v>0</v>
      </c>
      <c r="CB286" s="557">
        <f t="shared" si="227"/>
        <v>0</v>
      </c>
      <c r="CC286" s="557">
        <f t="shared" si="228"/>
        <v>0</v>
      </c>
      <c r="CD286" s="622">
        <f t="shared" si="242"/>
        <v>0</v>
      </c>
      <c r="CE286" s="621">
        <f t="shared" si="243"/>
        <v>0</v>
      </c>
      <c r="CF286" s="605">
        <f t="shared" si="244"/>
        <v>0</v>
      </c>
      <c r="CG286" s="621">
        <f t="shared" si="245"/>
        <v>0</v>
      </c>
      <c r="CH286" s="553">
        <f t="shared" si="246"/>
        <v>0.29700000000000004</v>
      </c>
      <c r="CI286" s="658">
        <v>0.9</v>
      </c>
      <c r="CJ286" s="551">
        <f t="shared" si="229"/>
        <v>0.9</v>
      </c>
      <c r="CK286" s="874">
        <v>0</v>
      </c>
      <c r="CL286" s="533">
        <f t="shared" si="230"/>
        <v>0.9</v>
      </c>
      <c r="CM286" s="619">
        <f t="shared" si="231"/>
        <v>0</v>
      </c>
      <c r="CN286" s="619">
        <f t="shared" si="232"/>
        <v>0</v>
      </c>
      <c r="CO286" s="549">
        <f t="shared" si="247"/>
        <v>0</v>
      </c>
      <c r="CP286" s="619">
        <f t="shared" si="248"/>
        <v>0</v>
      </c>
      <c r="CQ286" s="619">
        <f t="shared" si="249"/>
        <v>0</v>
      </c>
      <c r="CR286" s="546">
        <v>0</v>
      </c>
      <c r="CS286" s="546">
        <v>0</v>
      </c>
      <c r="CT286" s="546">
        <v>0</v>
      </c>
      <c r="CU286" s="546">
        <v>0</v>
      </c>
      <c r="CV286" s="546">
        <v>0</v>
      </c>
      <c r="CW286" s="546">
        <v>0</v>
      </c>
      <c r="CX286" s="546">
        <v>0</v>
      </c>
      <c r="CY286" s="546">
        <v>0</v>
      </c>
      <c r="CZ286" s="618">
        <v>0</v>
      </c>
      <c r="DA286" s="618">
        <v>0</v>
      </c>
      <c r="DB286" s="618">
        <v>0</v>
      </c>
      <c r="DC286" s="618">
        <v>0</v>
      </c>
      <c r="DD286" s="618">
        <v>0</v>
      </c>
      <c r="DE286" s="618">
        <v>0</v>
      </c>
      <c r="DF286" s="618">
        <v>0</v>
      </c>
      <c r="DG286" s="618">
        <v>0</v>
      </c>
      <c r="DH286" s="618">
        <v>0</v>
      </c>
      <c r="DI286" s="618">
        <v>0</v>
      </c>
      <c r="DJ286" s="618">
        <v>0</v>
      </c>
      <c r="DK286" s="1034">
        <f t="shared" si="233"/>
        <v>0</v>
      </c>
      <c r="DL286" s="543">
        <f t="shared" si="250"/>
        <v>0.33000000000000007</v>
      </c>
      <c r="DM286" s="542">
        <f t="shared" si="251"/>
        <v>0</v>
      </c>
      <c r="DN286" s="594">
        <f t="shared" si="252"/>
        <v>0</v>
      </c>
      <c r="DO286" s="540">
        <f t="shared" si="253"/>
        <v>0</v>
      </c>
      <c r="DP286" s="597">
        <f t="shared" si="261"/>
        <v>0</v>
      </c>
      <c r="DQ286" s="538">
        <f t="shared" si="254"/>
        <v>0</v>
      </c>
      <c r="DR286" s="617">
        <f t="shared" si="255"/>
        <v>1</v>
      </c>
      <c r="DS286" s="616">
        <f t="shared" si="256"/>
        <v>0</v>
      </c>
      <c r="DT286" s="259">
        <v>327</v>
      </c>
      <c r="DU286" s="260" t="s">
        <v>274</v>
      </c>
      <c r="DV286" s="259"/>
      <c r="DW286" s="260" t="s">
        <v>242</v>
      </c>
      <c r="DX286" s="259"/>
      <c r="DY286" s="259"/>
      <c r="DZ286" s="259"/>
      <c r="EA286" s="987"/>
      <c r="EB286" s="1041" t="s">
        <v>2617</v>
      </c>
      <c r="EC286" s="802">
        <v>0</v>
      </c>
      <c r="EE286" s="1047"/>
    </row>
    <row r="287" spans="4:135" s="534" customFormat="1" ht="89.25" hidden="1" x14ac:dyDescent="0.3">
      <c r="D287" s="783">
        <v>284</v>
      </c>
      <c r="E287" s="799">
        <v>336</v>
      </c>
      <c r="F287" s="739" t="s">
        <v>201</v>
      </c>
      <c r="G287" s="739" t="s">
        <v>13</v>
      </c>
      <c r="H287" s="739" t="s">
        <v>142</v>
      </c>
      <c r="I287" s="676" t="s">
        <v>884</v>
      </c>
      <c r="J287" s="573" t="s">
        <v>885</v>
      </c>
      <c r="K287" s="573" t="s">
        <v>886</v>
      </c>
      <c r="L287" s="687" t="s">
        <v>1659</v>
      </c>
      <c r="M287" s="571" t="s">
        <v>2017</v>
      </c>
      <c r="N287" s="571">
        <v>27000</v>
      </c>
      <c r="O287" s="570">
        <f t="shared" si="260"/>
        <v>31000</v>
      </c>
      <c r="P287" s="569">
        <v>4000</v>
      </c>
      <c r="Q287" s="628">
        <v>0.25</v>
      </c>
      <c r="R287" s="580">
        <f t="shared" si="234"/>
        <v>4.6875E-2</v>
      </c>
      <c r="S287" s="627">
        <v>750</v>
      </c>
      <c r="T287" s="625">
        <f t="shared" si="220"/>
        <v>0.1875</v>
      </c>
      <c r="U287" s="992">
        <v>555</v>
      </c>
      <c r="V287" s="626">
        <f t="shared" si="221"/>
        <v>555</v>
      </c>
      <c r="W287" s="594">
        <f t="shared" si="222"/>
        <v>74</v>
      </c>
      <c r="X287" s="594">
        <f t="shared" si="235"/>
        <v>74</v>
      </c>
      <c r="Y287" s="594">
        <f t="shared" si="259"/>
        <v>3.4687500000000003E-2</v>
      </c>
      <c r="Z287" s="594">
        <f t="shared" si="236"/>
        <v>74</v>
      </c>
      <c r="AA287" s="593">
        <v>6000000000</v>
      </c>
      <c r="AB287" s="593">
        <v>6000000000</v>
      </c>
      <c r="AC287" s="593">
        <v>0</v>
      </c>
      <c r="AD287" s="593">
        <v>0</v>
      </c>
      <c r="AE287" s="593">
        <v>0</v>
      </c>
      <c r="AF287" s="593">
        <v>0</v>
      </c>
      <c r="AG287" s="593">
        <v>0</v>
      </c>
      <c r="AH287" s="593">
        <v>0</v>
      </c>
      <c r="AI287" s="593">
        <v>6600000000</v>
      </c>
      <c r="AJ287" s="593">
        <v>6600000000</v>
      </c>
      <c r="AK287" s="593">
        <v>0</v>
      </c>
      <c r="AL287" s="593">
        <v>0</v>
      </c>
      <c r="AM287" s="593">
        <v>0</v>
      </c>
      <c r="AN287" s="593">
        <v>0</v>
      </c>
      <c r="AO287" s="593">
        <v>0</v>
      </c>
      <c r="AP287" s="593">
        <v>0</v>
      </c>
      <c r="AQ287" s="593">
        <v>0</v>
      </c>
      <c r="AR287" s="593">
        <v>0</v>
      </c>
      <c r="AS287" s="593">
        <v>0</v>
      </c>
      <c r="AT287" s="570">
        <f t="shared" si="237"/>
        <v>7.8125E-2</v>
      </c>
      <c r="AU287" s="571">
        <v>1250</v>
      </c>
      <c r="AV287" s="625">
        <f t="shared" si="223"/>
        <v>0.3125</v>
      </c>
      <c r="AW287" s="1003">
        <v>3905.37</v>
      </c>
      <c r="AX287" s="604">
        <f t="shared" si="224"/>
        <v>3905.37</v>
      </c>
      <c r="AY287" s="604">
        <f t="shared" si="225"/>
        <v>312.42959999999999</v>
      </c>
      <c r="AZ287" s="604">
        <f t="shared" si="238"/>
        <v>100</v>
      </c>
      <c r="BA287" s="592">
        <f t="shared" si="239"/>
        <v>7.8125E-2</v>
      </c>
      <c r="BB287" s="592">
        <f t="shared" si="240"/>
        <v>100</v>
      </c>
      <c r="BC287" s="591">
        <v>1487000000</v>
      </c>
      <c r="BD287" s="591">
        <v>0</v>
      </c>
      <c r="BE287" s="591">
        <v>1487000000</v>
      </c>
      <c r="BF287" s="591">
        <v>0</v>
      </c>
      <c r="BG287" s="591">
        <v>0</v>
      </c>
      <c r="BH287" s="591">
        <v>0</v>
      </c>
      <c r="BI287" s="591">
        <v>0</v>
      </c>
      <c r="BJ287" s="591">
        <v>0</v>
      </c>
      <c r="BK287" s="624">
        <v>12085204077</v>
      </c>
      <c r="BL287" s="589">
        <v>12085204077</v>
      </c>
      <c r="BM287" s="589">
        <v>0</v>
      </c>
      <c r="BN287" s="589">
        <v>0</v>
      </c>
      <c r="BO287" s="589">
        <v>0</v>
      </c>
      <c r="BP287" s="589">
        <v>0</v>
      </c>
      <c r="BQ287" s="589">
        <v>0</v>
      </c>
      <c r="BR287" s="589">
        <v>0</v>
      </c>
      <c r="BS287" s="589">
        <v>0</v>
      </c>
      <c r="BT287" s="589">
        <v>201600000</v>
      </c>
      <c r="BU287" s="589" t="s">
        <v>2195</v>
      </c>
      <c r="BV287" s="588">
        <f t="shared" si="241"/>
        <v>6.25E-2</v>
      </c>
      <c r="BW287" s="588">
        <v>1000</v>
      </c>
      <c r="BX287" s="623">
        <f t="shared" si="226"/>
        <v>0.25</v>
      </c>
      <c r="BY287" s="698">
        <v>1574</v>
      </c>
      <c r="BZ287" s="697">
        <v>1592.4200439453125</v>
      </c>
      <c r="CA287" s="1024">
        <v>2092.52001953125</v>
      </c>
      <c r="CB287" s="557">
        <f t="shared" si="227"/>
        <v>2092.52001953125</v>
      </c>
      <c r="CC287" s="557">
        <f t="shared" si="228"/>
        <v>209.25200195312499</v>
      </c>
      <c r="CD287" s="622">
        <f t="shared" si="242"/>
        <v>100</v>
      </c>
      <c r="CE287" s="621">
        <f t="shared" si="243"/>
        <v>6.25E-2</v>
      </c>
      <c r="CF287" s="605">
        <f t="shared" si="244"/>
        <v>100</v>
      </c>
      <c r="CG287" s="621">
        <f t="shared" si="245"/>
        <v>0.13078250122070312</v>
      </c>
      <c r="CH287" s="553">
        <f t="shared" si="246"/>
        <v>6.25E-2</v>
      </c>
      <c r="CI287" s="552">
        <v>1000</v>
      </c>
      <c r="CJ287" s="551">
        <f t="shared" si="229"/>
        <v>0.25</v>
      </c>
      <c r="CK287" s="874">
        <v>1823.3599853515625</v>
      </c>
      <c r="CL287" s="533">
        <f t="shared" si="230"/>
        <v>-823.3599853515625</v>
      </c>
      <c r="CM287" s="619">
        <f t="shared" si="231"/>
        <v>1823.3599853515625</v>
      </c>
      <c r="CN287" s="619">
        <f t="shared" si="232"/>
        <v>182.33599853515625</v>
      </c>
      <c r="CO287" s="549">
        <f t="shared" si="247"/>
        <v>100</v>
      </c>
      <c r="CP287" s="619">
        <f t="shared" si="248"/>
        <v>6.25E-2</v>
      </c>
      <c r="CQ287" s="619">
        <f t="shared" si="249"/>
        <v>0.11395999908447266</v>
      </c>
      <c r="CR287" s="546">
        <v>6309000000</v>
      </c>
      <c r="CS287" s="546">
        <v>6309000000</v>
      </c>
      <c r="CT287" s="546">
        <v>0</v>
      </c>
      <c r="CU287" s="546">
        <v>0</v>
      </c>
      <c r="CV287" s="546">
        <v>0</v>
      </c>
      <c r="CW287" s="546">
        <v>0</v>
      </c>
      <c r="CX287" s="546">
        <v>0</v>
      </c>
      <c r="CY287" s="546">
        <v>0</v>
      </c>
      <c r="CZ287" s="618">
        <v>0</v>
      </c>
      <c r="DA287" s="618">
        <v>0</v>
      </c>
      <c r="DB287" s="618">
        <v>0</v>
      </c>
      <c r="DC287" s="618">
        <v>0</v>
      </c>
      <c r="DD287" s="618">
        <v>0</v>
      </c>
      <c r="DE287" s="618">
        <v>0</v>
      </c>
      <c r="DF287" s="618">
        <v>0</v>
      </c>
      <c r="DG287" s="618">
        <v>0</v>
      </c>
      <c r="DH287" s="618">
        <v>0</v>
      </c>
      <c r="DI287" s="618">
        <v>0</v>
      </c>
      <c r="DJ287" s="618">
        <v>0</v>
      </c>
      <c r="DK287" s="1034">
        <f t="shared" si="233"/>
        <v>8376.2500048828115</v>
      </c>
      <c r="DL287" s="543">
        <f t="shared" si="250"/>
        <v>0.25</v>
      </c>
      <c r="DM287" s="542">
        <f t="shared" si="251"/>
        <v>209.40625012207028</v>
      </c>
      <c r="DN287" s="594">
        <f t="shared" si="252"/>
        <v>100</v>
      </c>
      <c r="DO287" s="540">
        <f t="shared" si="253"/>
        <v>0.25</v>
      </c>
      <c r="DP287" s="597">
        <f t="shared" si="261"/>
        <v>0.25</v>
      </c>
      <c r="DQ287" s="538">
        <f t="shared" si="254"/>
        <v>0.25</v>
      </c>
      <c r="DR287" s="617">
        <f t="shared" si="255"/>
        <v>1</v>
      </c>
      <c r="DS287" s="616">
        <f t="shared" si="256"/>
        <v>0</v>
      </c>
      <c r="DT287" s="259">
        <v>334</v>
      </c>
      <c r="DU287" s="260" t="s">
        <v>273</v>
      </c>
      <c r="DV287" s="259"/>
      <c r="DW287" s="260" t="s">
        <v>242</v>
      </c>
      <c r="DX287" s="259"/>
      <c r="DY287" s="259"/>
      <c r="DZ287" s="259"/>
      <c r="EA287" s="987"/>
      <c r="EB287" s="1041" t="s">
        <v>2618</v>
      </c>
      <c r="EC287" s="802">
        <v>6126000000</v>
      </c>
      <c r="EE287" s="1047"/>
    </row>
    <row r="288" spans="4:135" s="534" customFormat="1" ht="102" hidden="1" x14ac:dyDescent="0.3">
      <c r="D288" s="783">
        <v>285</v>
      </c>
      <c r="E288" s="799">
        <v>337</v>
      </c>
      <c r="F288" s="739" t="s">
        <v>201</v>
      </c>
      <c r="G288" s="739" t="s">
        <v>13</v>
      </c>
      <c r="H288" s="739" t="s">
        <v>142</v>
      </c>
      <c r="I288" s="676" t="s">
        <v>884</v>
      </c>
      <c r="J288" s="573" t="s">
        <v>887</v>
      </c>
      <c r="K288" s="573" t="s">
        <v>888</v>
      </c>
      <c r="L288" s="687" t="s">
        <v>1659</v>
      </c>
      <c r="M288" s="571" t="s">
        <v>2017</v>
      </c>
      <c r="N288" s="571">
        <v>92</v>
      </c>
      <c r="O288" s="570">
        <f t="shared" si="260"/>
        <v>592</v>
      </c>
      <c r="P288" s="569">
        <v>500</v>
      </c>
      <c r="Q288" s="628">
        <v>0.33</v>
      </c>
      <c r="R288" s="580">
        <f t="shared" si="234"/>
        <v>1.9800000000000002E-2</v>
      </c>
      <c r="S288" s="627">
        <v>30</v>
      </c>
      <c r="T288" s="625">
        <f t="shared" si="220"/>
        <v>0.06</v>
      </c>
      <c r="U288" s="992">
        <v>48</v>
      </c>
      <c r="V288" s="626">
        <f t="shared" si="221"/>
        <v>48</v>
      </c>
      <c r="W288" s="594">
        <f t="shared" si="222"/>
        <v>160</v>
      </c>
      <c r="X288" s="594">
        <f t="shared" si="235"/>
        <v>100</v>
      </c>
      <c r="Y288" s="594">
        <f t="shared" si="259"/>
        <v>1.9800000000000002E-2</v>
      </c>
      <c r="Z288" s="594">
        <f t="shared" si="236"/>
        <v>100</v>
      </c>
      <c r="AA288" s="593">
        <v>1125000000</v>
      </c>
      <c r="AB288" s="593">
        <v>1125000000</v>
      </c>
      <c r="AC288" s="593">
        <v>0</v>
      </c>
      <c r="AD288" s="593">
        <v>0</v>
      </c>
      <c r="AE288" s="593">
        <v>0</v>
      </c>
      <c r="AF288" s="593">
        <v>0</v>
      </c>
      <c r="AG288" s="593">
        <v>0</v>
      </c>
      <c r="AH288" s="593">
        <v>0</v>
      </c>
      <c r="AI288" s="593">
        <v>0</v>
      </c>
      <c r="AJ288" s="593">
        <v>0</v>
      </c>
      <c r="AK288" s="593">
        <v>0</v>
      </c>
      <c r="AL288" s="593">
        <v>0</v>
      </c>
      <c r="AM288" s="593">
        <v>0</v>
      </c>
      <c r="AN288" s="593">
        <v>0</v>
      </c>
      <c r="AO288" s="593">
        <v>0</v>
      </c>
      <c r="AP288" s="593">
        <v>0</v>
      </c>
      <c r="AQ288" s="593">
        <v>0</v>
      </c>
      <c r="AR288" s="593">
        <v>0</v>
      </c>
      <c r="AS288" s="593">
        <v>0</v>
      </c>
      <c r="AT288" s="570">
        <f t="shared" si="237"/>
        <v>0.11220000000000001</v>
      </c>
      <c r="AU288" s="571">
        <v>170</v>
      </c>
      <c r="AV288" s="625">
        <f t="shared" si="223"/>
        <v>0.34</v>
      </c>
      <c r="AW288" s="1003">
        <v>138</v>
      </c>
      <c r="AX288" s="604">
        <f t="shared" si="224"/>
        <v>138</v>
      </c>
      <c r="AY288" s="604">
        <f t="shared" si="225"/>
        <v>81.17647058823529</v>
      </c>
      <c r="AZ288" s="604">
        <f t="shared" si="238"/>
        <v>81.17647058823529</v>
      </c>
      <c r="BA288" s="592">
        <f t="shared" si="239"/>
        <v>9.1080000000000008E-2</v>
      </c>
      <c r="BB288" s="592">
        <f t="shared" si="240"/>
        <v>81.17647058823529</v>
      </c>
      <c r="BC288" s="591">
        <v>5947000000</v>
      </c>
      <c r="BD288" s="591">
        <v>0</v>
      </c>
      <c r="BE288" s="591">
        <v>5947000000</v>
      </c>
      <c r="BF288" s="591">
        <v>0</v>
      </c>
      <c r="BG288" s="591">
        <v>0</v>
      </c>
      <c r="BH288" s="591">
        <v>0</v>
      </c>
      <c r="BI288" s="591">
        <v>0</v>
      </c>
      <c r="BJ288" s="591">
        <v>0</v>
      </c>
      <c r="BK288" s="624">
        <v>0</v>
      </c>
      <c r="BL288" s="589">
        <v>0</v>
      </c>
      <c r="BM288" s="589">
        <v>0</v>
      </c>
      <c r="BN288" s="589">
        <v>0</v>
      </c>
      <c r="BO288" s="589">
        <v>0</v>
      </c>
      <c r="BP288" s="589">
        <v>0</v>
      </c>
      <c r="BQ288" s="589">
        <v>0</v>
      </c>
      <c r="BR288" s="589">
        <v>0</v>
      </c>
      <c r="BS288" s="589">
        <v>0</v>
      </c>
      <c r="BT288" s="589">
        <v>0</v>
      </c>
      <c r="BU288" s="589">
        <v>0</v>
      </c>
      <c r="BV288" s="588">
        <f t="shared" si="241"/>
        <v>0.13200000000000001</v>
      </c>
      <c r="BW288" s="588">
        <v>200</v>
      </c>
      <c r="BX288" s="623">
        <f t="shared" si="226"/>
        <v>0.4</v>
      </c>
      <c r="BY288" s="607">
        <v>20</v>
      </c>
      <c r="BZ288" s="629">
        <v>20</v>
      </c>
      <c r="CA288" s="1017">
        <v>20</v>
      </c>
      <c r="CB288" s="557">
        <f t="shared" si="227"/>
        <v>20</v>
      </c>
      <c r="CC288" s="557">
        <f t="shared" si="228"/>
        <v>10</v>
      </c>
      <c r="CD288" s="622">
        <f t="shared" si="242"/>
        <v>10</v>
      </c>
      <c r="CE288" s="621">
        <f t="shared" si="243"/>
        <v>1.32E-2</v>
      </c>
      <c r="CF288" s="605">
        <f t="shared" si="244"/>
        <v>10</v>
      </c>
      <c r="CG288" s="621">
        <f t="shared" si="245"/>
        <v>1.32E-2</v>
      </c>
      <c r="CH288" s="553">
        <f t="shared" si="246"/>
        <v>6.6000000000000003E-2</v>
      </c>
      <c r="CI288" s="552">
        <v>100</v>
      </c>
      <c r="CJ288" s="551">
        <f t="shared" si="229"/>
        <v>0.2</v>
      </c>
      <c r="CK288" s="874">
        <v>200</v>
      </c>
      <c r="CL288" s="533">
        <f t="shared" si="230"/>
        <v>-100</v>
      </c>
      <c r="CM288" s="619">
        <f t="shared" si="231"/>
        <v>200</v>
      </c>
      <c r="CN288" s="619">
        <f t="shared" si="232"/>
        <v>200</v>
      </c>
      <c r="CO288" s="549">
        <f t="shared" si="247"/>
        <v>100</v>
      </c>
      <c r="CP288" s="619">
        <f t="shared" si="248"/>
        <v>6.6000000000000003E-2</v>
      </c>
      <c r="CQ288" s="619">
        <f t="shared" si="249"/>
        <v>0.13200000000000001</v>
      </c>
      <c r="CR288" s="546">
        <v>1577000000</v>
      </c>
      <c r="CS288" s="546">
        <v>1577000000</v>
      </c>
      <c r="CT288" s="546">
        <v>0</v>
      </c>
      <c r="CU288" s="546">
        <v>0</v>
      </c>
      <c r="CV288" s="546">
        <v>0</v>
      </c>
      <c r="CW288" s="546">
        <v>0</v>
      </c>
      <c r="CX288" s="546">
        <v>0</v>
      </c>
      <c r="CY288" s="546">
        <v>0</v>
      </c>
      <c r="CZ288" s="618">
        <v>0</v>
      </c>
      <c r="DA288" s="618">
        <v>0</v>
      </c>
      <c r="DB288" s="618">
        <v>0</v>
      </c>
      <c r="DC288" s="618">
        <v>0</v>
      </c>
      <c r="DD288" s="618">
        <v>0</v>
      </c>
      <c r="DE288" s="618">
        <v>0</v>
      </c>
      <c r="DF288" s="618">
        <v>0</v>
      </c>
      <c r="DG288" s="618">
        <v>0</v>
      </c>
      <c r="DH288" s="618">
        <v>0</v>
      </c>
      <c r="DI288" s="618">
        <v>0</v>
      </c>
      <c r="DJ288" s="618">
        <v>0</v>
      </c>
      <c r="DK288" s="1034">
        <f t="shared" si="233"/>
        <v>406</v>
      </c>
      <c r="DL288" s="543">
        <f t="shared" si="250"/>
        <v>0.33</v>
      </c>
      <c r="DM288" s="542">
        <f t="shared" si="251"/>
        <v>81.2</v>
      </c>
      <c r="DN288" s="594">
        <f t="shared" si="252"/>
        <v>81.2</v>
      </c>
      <c r="DO288" s="540">
        <f t="shared" si="253"/>
        <v>0.26796000000000003</v>
      </c>
      <c r="DP288" s="597">
        <f t="shared" si="261"/>
        <v>0.26796000000000003</v>
      </c>
      <c r="DQ288" s="538">
        <f t="shared" si="254"/>
        <v>0.26796000000000003</v>
      </c>
      <c r="DR288" s="617">
        <f t="shared" si="255"/>
        <v>1</v>
      </c>
      <c r="DS288" s="616">
        <f t="shared" si="256"/>
        <v>0</v>
      </c>
      <c r="DT288" s="259">
        <v>335</v>
      </c>
      <c r="DU288" s="260" t="s">
        <v>272</v>
      </c>
      <c r="DV288" s="259"/>
      <c r="DW288" s="260" t="s">
        <v>242</v>
      </c>
      <c r="DX288" s="259"/>
      <c r="DY288" s="259"/>
      <c r="DZ288" s="259"/>
      <c r="EA288" s="987"/>
      <c r="EB288" s="1041" t="s">
        <v>2619</v>
      </c>
      <c r="EC288" s="802">
        <v>1531000000</v>
      </c>
      <c r="EE288" s="1047"/>
    </row>
    <row r="289" spans="4:135" s="534" customFormat="1" ht="127.5" hidden="1" x14ac:dyDescent="0.3">
      <c r="D289" s="783">
        <v>286</v>
      </c>
      <c r="E289" s="799">
        <v>338</v>
      </c>
      <c r="F289" s="574" t="s">
        <v>201</v>
      </c>
      <c r="G289" s="574" t="s">
        <v>13</v>
      </c>
      <c r="H289" s="574" t="s">
        <v>142</v>
      </c>
      <c r="I289" s="574" t="s">
        <v>884</v>
      </c>
      <c r="J289" s="573" t="s">
        <v>1448</v>
      </c>
      <c r="K289" s="573" t="s">
        <v>1488</v>
      </c>
      <c r="L289" s="687" t="s">
        <v>2153</v>
      </c>
      <c r="M289" s="571" t="s">
        <v>2032</v>
      </c>
      <c r="N289" s="571">
        <v>0</v>
      </c>
      <c r="O289" s="570">
        <f>+P289</f>
        <v>100</v>
      </c>
      <c r="P289" s="569">
        <v>100</v>
      </c>
      <c r="Q289" s="631">
        <v>0.16500000000000001</v>
      </c>
      <c r="R289" s="580">
        <f t="shared" si="234"/>
        <v>4.1250000000000002E-2</v>
      </c>
      <c r="S289" s="627">
        <v>100</v>
      </c>
      <c r="T289" s="625">
        <f t="shared" si="220"/>
        <v>0.25</v>
      </c>
      <c r="U289" s="992">
        <v>100</v>
      </c>
      <c r="V289" s="626">
        <f t="shared" si="221"/>
        <v>25</v>
      </c>
      <c r="W289" s="594">
        <f t="shared" si="222"/>
        <v>100</v>
      </c>
      <c r="X289" s="594">
        <f t="shared" si="235"/>
        <v>100</v>
      </c>
      <c r="Y289" s="594">
        <f t="shared" si="259"/>
        <v>4.1250000000000002E-2</v>
      </c>
      <c r="Z289" s="594">
        <f t="shared" si="236"/>
        <v>100</v>
      </c>
      <c r="AA289" s="593">
        <v>0</v>
      </c>
      <c r="AB289" s="593">
        <v>0</v>
      </c>
      <c r="AC289" s="593">
        <v>0</v>
      </c>
      <c r="AD289" s="593">
        <v>0</v>
      </c>
      <c r="AE289" s="593">
        <v>0</v>
      </c>
      <c r="AF289" s="593">
        <v>0</v>
      </c>
      <c r="AG289" s="593">
        <v>0</v>
      </c>
      <c r="AH289" s="593">
        <v>0</v>
      </c>
      <c r="AI289" s="593">
        <v>0</v>
      </c>
      <c r="AJ289" s="593">
        <v>0</v>
      </c>
      <c r="AK289" s="593">
        <v>0</v>
      </c>
      <c r="AL289" s="593">
        <v>0</v>
      </c>
      <c r="AM289" s="593">
        <v>0</v>
      </c>
      <c r="AN289" s="593">
        <v>0</v>
      </c>
      <c r="AO289" s="593">
        <v>0</v>
      </c>
      <c r="AP289" s="593">
        <v>0</v>
      </c>
      <c r="AQ289" s="593">
        <v>0</v>
      </c>
      <c r="AR289" s="593">
        <v>0</v>
      </c>
      <c r="AS289" s="593">
        <v>0</v>
      </c>
      <c r="AT289" s="630">
        <f t="shared" si="237"/>
        <v>4.1250000000000002E-2</v>
      </c>
      <c r="AU289" s="571">
        <v>100</v>
      </c>
      <c r="AV289" s="625">
        <f t="shared" si="223"/>
        <v>0.25</v>
      </c>
      <c r="AW289" s="1003">
        <v>100</v>
      </c>
      <c r="AX289" s="604">
        <f t="shared" si="224"/>
        <v>25</v>
      </c>
      <c r="AY289" s="604">
        <f t="shared" si="225"/>
        <v>100</v>
      </c>
      <c r="AZ289" s="604">
        <f t="shared" si="238"/>
        <v>100</v>
      </c>
      <c r="BA289" s="592">
        <f t="shared" si="239"/>
        <v>4.1250000000000002E-2</v>
      </c>
      <c r="BB289" s="592">
        <f t="shared" si="240"/>
        <v>100</v>
      </c>
      <c r="BC289" s="591">
        <v>0</v>
      </c>
      <c r="BD289" s="591">
        <v>0</v>
      </c>
      <c r="BE289" s="591">
        <v>0</v>
      </c>
      <c r="BF289" s="591">
        <v>0</v>
      </c>
      <c r="BG289" s="591">
        <v>0</v>
      </c>
      <c r="BH289" s="591">
        <v>0</v>
      </c>
      <c r="BI289" s="591">
        <v>0</v>
      </c>
      <c r="BJ289" s="591">
        <v>0</v>
      </c>
      <c r="BK289" s="624">
        <v>372011025</v>
      </c>
      <c r="BL289" s="589">
        <v>0</v>
      </c>
      <c r="BM289" s="589">
        <v>0</v>
      </c>
      <c r="BN289" s="589">
        <v>0</v>
      </c>
      <c r="BO289" s="589">
        <v>0</v>
      </c>
      <c r="BP289" s="589">
        <v>0</v>
      </c>
      <c r="BQ289" s="589">
        <v>0</v>
      </c>
      <c r="BR289" s="589">
        <v>372011025</v>
      </c>
      <c r="BS289" s="589">
        <v>0</v>
      </c>
      <c r="BT289" s="589">
        <v>0</v>
      </c>
      <c r="BU289" s="589">
        <v>0</v>
      </c>
      <c r="BV289" s="588">
        <f t="shared" si="241"/>
        <v>4.1250000000000002E-2</v>
      </c>
      <c r="BW289" s="588">
        <v>100</v>
      </c>
      <c r="BX289" s="623">
        <f t="shared" si="226"/>
        <v>0.25</v>
      </c>
      <c r="BY289" s="587">
        <v>100</v>
      </c>
      <c r="BZ289" s="696">
        <v>116</v>
      </c>
      <c r="CA289" s="1025">
        <v>116</v>
      </c>
      <c r="CB289" s="557">
        <f t="shared" si="227"/>
        <v>29</v>
      </c>
      <c r="CC289" s="557">
        <f t="shared" si="228"/>
        <v>116</v>
      </c>
      <c r="CD289" s="622">
        <f t="shared" si="242"/>
        <v>100</v>
      </c>
      <c r="CE289" s="621">
        <f t="shared" si="243"/>
        <v>4.1250000000000002E-2</v>
      </c>
      <c r="CF289" s="605">
        <f t="shared" si="244"/>
        <v>100</v>
      </c>
      <c r="CG289" s="621">
        <f t="shared" si="245"/>
        <v>4.7850000000000004E-2</v>
      </c>
      <c r="CH289" s="553">
        <f t="shared" si="246"/>
        <v>4.1250000000000002E-2</v>
      </c>
      <c r="CI289" s="552">
        <v>100</v>
      </c>
      <c r="CJ289" s="551">
        <f t="shared" si="229"/>
        <v>0.25</v>
      </c>
      <c r="CK289" s="874">
        <v>100</v>
      </c>
      <c r="CL289" s="533">
        <f t="shared" si="230"/>
        <v>0</v>
      </c>
      <c r="CM289" s="619">
        <f t="shared" si="231"/>
        <v>25</v>
      </c>
      <c r="CN289" s="619">
        <f t="shared" si="232"/>
        <v>100</v>
      </c>
      <c r="CO289" s="619">
        <f t="shared" si="247"/>
        <v>100</v>
      </c>
      <c r="CP289" s="619">
        <f t="shared" si="248"/>
        <v>4.1250000000000002E-2</v>
      </c>
      <c r="CQ289" s="619">
        <f t="shared" si="249"/>
        <v>4.1250000000000002E-2</v>
      </c>
      <c r="CR289" s="546">
        <v>0</v>
      </c>
      <c r="CS289" s="546">
        <v>0</v>
      </c>
      <c r="CT289" s="546">
        <v>0</v>
      </c>
      <c r="CU289" s="546">
        <v>0</v>
      </c>
      <c r="CV289" s="546">
        <v>0</v>
      </c>
      <c r="CW289" s="546">
        <v>0</v>
      </c>
      <c r="CX289" s="546">
        <v>0</v>
      </c>
      <c r="CY289" s="546">
        <v>0</v>
      </c>
      <c r="CZ289" s="618">
        <v>0</v>
      </c>
      <c r="DA289" s="618">
        <v>0</v>
      </c>
      <c r="DB289" s="618">
        <v>0</v>
      </c>
      <c r="DC289" s="618">
        <v>0</v>
      </c>
      <c r="DD289" s="618">
        <v>0</v>
      </c>
      <c r="DE289" s="618">
        <v>0</v>
      </c>
      <c r="DF289" s="618">
        <v>0</v>
      </c>
      <c r="DG289" s="618">
        <v>0</v>
      </c>
      <c r="DH289" s="618">
        <v>0</v>
      </c>
      <c r="DI289" s="618">
        <v>0</v>
      </c>
      <c r="DJ289" s="618">
        <v>0</v>
      </c>
      <c r="DK289" s="1034">
        <f t="shared" si="233"/>
        <v>104</v>
      </c>
      <c r="DL289" s="543">
        <f t="shared" si="250"/>
        <v>0.16500000000000001</v>
      </c>
      <c r="DM289" s="542">
        <f t="shared" si="251"/>
        <v>104</v>
      </c>
      <c r="DN289" s="594">
        <f t="shared" si="252"/>
        <v>100</v>
      </c>
      <c r="DO289" s="540">
        <f t="shared" si="253"/>
        <v>0.16500000000000001</v>
      </c>
      <c r="DP289" s="597">
        <f>+IF(M289="M",DO289,0)</f>
        <v>0.16500000000000001</v>
      </c>
      <c r="DQ289" s="538">
        <f t="shared" si="254"/>
        <v>0.16500000000000001</v>
      </c>
      <c r="DR289" s="617">
        <f t="shared" si="255"/>
        <v>1</v>
      </c>
      <c r="DS289" s="616">
        <f t="shared" si="256"/>
        <v>0</v>
      </c>
      <c r="DT289" s="259">
        <v>334</v>
      </c>
      <c r="DU289" s="260" t="s">
        <v>273</v>
      </c>
      <c r="DV289" s="259"/>
      <c r="DW289" s="260" t="s">
        <v>242</v>
      </c>
      <c r="DX289" s="259"/>
      <c r="DY289" s="259"/>
      <c r="DZ289" s="259"/>
      <c r="EA289" s="987"/>
      <c r="EB289" s="1041" t="s">
        <v>2620</v>
      </c>
      <c r="EC289" s="802">
        <v>0</v>
      </c>
      <c r="EE289" s="1047"/>
    </row>
    <row r="290" spans="4:135" s="534" customFormat="1" ht="72" hidden="1" x14ac:dyDescent="0.3">
      <c r="D290" s="783">
        <v>287</v>
      </c>
      <c r="E290" s="799">
        <v>339</v>
      </c>
      <c r="F290" s="739" t="s">
        <v>201</v>
      </c>
      <c r="G290" s="739" t="s">
        <v>13</v>
      </c>
      <c r="H290" s="739" t="s">
        <v>142</v>
      </c>
      <c r="I290" s="676" t="s">
        <v>889</v>
      </c>
      <c r="J290" s="573" t="s">
        <v>890</v>
      </c>
      <c r="K290" s="573" t="s">
        <v>1489</v>
      </c>
      <c r="L290" s="687" t="s">
        <v>1659</v>
      </c>
      <c r="M290" s="571" t="s">
        <v>2017</v>
      </c>
      <c r="N290" s="571">
        <v>0</v>
      </c>
      <c r="O290" s="570">
        <f t="shared" ref="O290:O309" si="262">+N290+P290</f>
        <v>400</v>
      </c>
      <c r="P290" s="569">
        <v>400</v>
      </c>
      <c r="Q290" s="628">
        <v>0.25</v>
      </c>
      <c r="R290" s="580">
        <f t="shared" si="234"/>
        <v>1.8749999999999999E-2</v>
      </c>
      <c r="S290" s="627">
        <v>30</v>
      </c>
      <c r="T290" s="625">
        <f t="shared" si="220"/>
        <v>7.4999999999999997E-2</v>
      </c>
      <c r="U290" s="992">
        <v>48</v>
      </c>
      <c r="V290" s="626">
        <f t="shared" si="221"/>
        <v>48</v>
      </c>
      <c r="W290" s="594">
        <f t="shared" si="222"/>
        <v>160</v>
      </c>
      <c r="X290" s="594">
        <f t="shared" si="235"/>
        <v>100</v>
      </c>
      <c r="Y290" s="594">
        <f t="shared" si="259"/>
        <v>1.8749999999999999E-2</v>
      </c>
      <c r="Z290" s="594">
        <f t="shared" si="236"/>
        <v>100</v>
      </c>
      <c r="AA290" s="593">
        <v>0</v>
      </c>
      <c r="AB290" s="593">
        <v>0</v>
      </c>
      <c r="AC290" s="593">
        <v>0</v>
      </c>
      <c r="AD290" s="593">
        <v>0</v>
      </c>
      <c r="AE290" s="593">
        <v>0</v>
      </c>
      <c r="AF290" s="593">
        <v>0</v>
      </c>
      <c r="AG290" s="593">
        <v>0</v>
      </c>
      <c r="AH290" s="593">
        <v>0</v>
      </c>
      <c r="AI290" s="593">
        <v>0</v>
      </c>
      <c r="AJ290" s="593">
        <v>0</v>
      </c>
      <c r="AK290" s="593">
        <v>0</v>
      </c>
      <c r="AL290" s="593">
        <v>0</v>
      </c>
      <c r="AM290" s="593">
        <v>0</v>
      </c>
      <c r="AN290" s="593">
        <v>0</v>
      </c>
      <c r="AO290" s="593">
        <v>0</v>
      </c>
      <c r="AP290" s="593">
        <v>0</v>
      </c>
      <c r="AQ290" s="593">
        <v>0</v>
      </c>
      <c r="AR290" s="593">
        <v>0</v>
      </c>
      <c r="AS290" s="593">
        <v>0</v>
      </c>
      <c r="AT290" s="570">
        <f t="shared" si="237"/>
        <v>9.375E-2</v>
      </c>
      <c r="AU290" s="571">
        <v>150</v>
      </c>
      <c r="AV290" s="625">
        <f t="shared" si="223"/>
        <v>0.375</v>
      </c>
      <c r="AW290" s="1003">
        <v>80</v>
      </c>
      <c r="AX290" s="604">
        <f t="shared" si="224"/>
        <v>80</v>
      </c>
      <c r="AY290" s="604">
        <f t="shared" si="225"/>
        <v>53.333333333333336</v>
      </c>
      <c r="AZ290" s="604">
        <f t="shared" si="238"/>
        <v>53.333333333333336</v>
      </c>
      <c r="BA290" s="592">
        <f t="shared" si="239"/>
        <v>0.05</v>
      </c>
      <c r="BB290" s="592">
        <f t="shared" si="240"/>
        <v>53.333333333333336</v>
      </c>
      <c r="BC290" s="591">
        <v>0</v>
      </c>
      <c r="BD290" s="591">
        <v>0</v>
      </c>
      <c r="BE290" s="591">
        <v>0</v>
      </c>
      <c r="BF290" s="591">
        <v>0</v>
      </c>
      <c r="BG290" s="591">
        <v>0</v>
      </c>
      <c r="BH290" s="591">
        <v>0</v>
      </c>
      <c r="BI290" s="591">
        <v>0</v>
      </c>
      <c r="BJ290" s="591">
        <v>0</v>
      </c>
      <c r="BK290" s="624">
        <v>0</v>
      </c>
      <c r="BL290" s="589">
        <v>0</v>
      </c>
      <c r="BM290" s="589">
        <v>0</v>
      </c>
      <c r="BN290" s="589">
        <v>0</v>
      </c>
      <c r="BO290" s="589">
        <v>0</v>
      </c>
      <c r="BP290" s="589">
        <v>0</v>
      </c>
      <c r="BQ290" s="589">
        <v>0</v>
      </c>
      <c r="BR290" s="589">
        <v>0</v>
      </c>
      <c r="BS290" s="589">
        <v>0</v>
      </c>
      <c r="BT290" s="589">
        <v>0</v>
      </c>
      <c r="BU290" s="589">
        <v>0</v>
      </c>
      <c r="BV290" s="588">
        <f t="shared" si="241"/>
        <v>6.25E-2</v>
      </c>
      <c r="BW290" s="588">
        <v>100</v>
      </c>
      <c r="BX290" s="623">
        <f t="shared" si="226"/>
        <v>0.25</v>
      </c>
      <c r="BY290" s="633">
        <v>21</v>
      </c>
      <c r="BZ290" s="641">
        <v>21</v>
      </c>
      <c r="CA290" s="1019">
        <v>21</v>
      </c>
      <c r="CB290" s="557">
        <f t="shared" si="227"/>
        <v>21</v>
      </c>
      <c r="CC290" s="557">
        <f t="shared" si="228"/>
        <v>21</v>
      </c>
      <c r="CD290" s="622">
        <f t="shared" si="242"/>
        <v>21</v>
      </c>
      <c r="CE290" s="621">
        <f t="shared" si="243"/>
        <v>1.3125E-2</v>
      </c>
      <c r="CF290" s="605">
        <f t="shared" si="244"/>
        <v>21</v>
      </c>
      <c r="CG290" s="621">
        <f t="shared" si="245"/>
        <v>1.3125E-2</v>
      </c>
      <c r="CH290" s="553">
        <f t="shared" si="246"/>
        <v>7.4999999999999997E-2</v>
      </c>
      <c r="CI290" s="552">
        <v>120</v>
      </c>
      <c r="CJ290" s="551">
        <f t="shared" si="229"/>
        <v>0.3</v>
      </c>
      <c r="CK290" s="874">
        <v>251</v>
      </c>
      <c r="CL290" s="533">
        <f t="shared" si="230"/>
        <v>-131</v>
      </c>
      <c r="CM290" s="619">
        <f t="shared" si="231"/>
        <v>251</v>
      </c>
      <c r="CN290" s="619">
        <f t="shared" si="232"/>
        <v>209.16666666666666</v>
      </c>
      <c r="CO290" s="549">
        <f t="shared" si="247"/>
        <v>100</v>
      </c>
      <c r="CP290" s="619">
        <f t="shared" si="248"/>
        <v>7.4999999999999997E-2</v>
      </c>
      <c r="CQ290" s="619">
        <f t="shared" si="249"/>
        <v>0.15687499999999999</v>
      </c>
      <c r="CR290" s="546">
        <v>0</v>
      </c>
      <c r="CS290" s="546">
        <v>0</v>
      </c>
      <c r="CT290" s="546">
        <v>0</v>
      </c>
      <c r="CU290" s="546">
        <v>0</v>
      </c>
      <c r="CV290" s="546">
        <v>0</v>
      </c>
      <c r="CW290" s="546">
        <v>0</v>
      </c>
      <c r="CX290" s="546">
        <v>0</v>
      </c>
      <c r="CY290" s="546">
        <v>0</v>
      </c>
      <c r="CZ290" s="618">
        <v>0</v>
      </c>
      <c r="DA290" s="618">
        <v>0</v>
      </c>
      <c r="DB290" s="618">
        <v>0</v>
      </c>
      <c r="DC290" s="618">
        <v>0</v>
      </c>
      <c r="DD290" s="618">
        <v>0</v>
      </c>
      <c r="DE290" s="618">
        <v>0</v>
      </c>
      <c r="DF290" s="618">
        <v>0</v>
      </c>
      <c r="DG290" s="618">
        <v>0</v>
      </c>
      <c r="DH290" s="618">
        <v>0</v>
      </c>
      <c r="DI290" s="618">
        <v>0</v>
      </c>
      <c r="DJ290" s="618">
        <v>0</v>
      </c>
      <c r="DK290" s="1034">
        <f t="shared" si="233"/>
        <v>400</v>
      </c>
      <c r="DL290" s="543">
        <f t="shared" si="250"/>
        <v>0.25</v>
      </c>
      <c r="DM290" s="542">
        <f t="shared" si="251"/>
        <v>100</v>
      </c>
      <c r="DN290" s="594">
        <f t="shared" si="252"/>
        <v>100</v>
      </c>
      <c r="DO290" s="540">
        <f t="shared" si="253"/>
        <v>0.25</v>
      </c>
      <c r="DP290" s="597">
        <f t="shared" ref="DP290:DP309" si="263">+IF(((DN290*Q290)/100)&lt;Q290, ((DN290*Q290)/100),Q290)</f>
        <v>0.25</v>
      </c>
      <c r="DQ290" s="538">
        <f t="shared" si="254"/>
        <v>0.25</v>
      </c>
      <c r="DR290" s="617">
        <f t="shared" si="255"/>
        <v>1</v>
      </c>
      <c r="DS290" s="616">
        <f t="shared" si="256"/>
        <v>0</v>
      </c>
      <c r="DT290" s="259">
        <v>335</v>
      </c>
      <c r="DU290" s="260" t="s">
        <v>272</v>
      </c>
      <c r="DV290" s="259"/>
      <c r="DW290" s="260" t="s">
        <v>242</v>
      </c>
      <c r="DX290" s="259"/>
      <c r="DY290" s="259"/>
      <c r="DZ290" s="259"/>
      <c r="EA290" s="987"/>
      <c r="EB290" s="1041" t="s">
        <v>2621</v>
      </c>
      <c r="EC290" s="802">
        <v>0</v>
      </c>
      <c r="EE290" s="1047"/>
    </row>
    <row r="291" spans="4:135" s="534" customFormat="1" ht="102" hidden="1" x14ac:dyDescent="0.3">
      <c r="D291" s="783">
        <v>288</v>
      </c>
      <c r="E291" s="799">
        <v>340</v>
      </c>
      <c r="F291" s="739" t="s">
        <v>201</v>
      </c>
      <c r="G291" s="739" t="s">
        <v>13</v>
      </c>
      <c r="H291" s="739" t="s">
        <v>142</v>
      </c>
      <c r="I291" s="676" t="s">
        <v>889</v>
      </c>
      <c r="J291" s="573" t="s">
        <v>891</v>
      </c>
      <c r="K291" s="573" t="s">
        <v>892</v>
      </c>
      <c r="L291" s="687" t="s">
        <v>2194</v>
      </c>
      <c r="M291" s="571" t="s">
        <v>2017</v>
      </c>
      <c r="N291" s="571">
        <v>6</v>
      </c>
      <c r="O291" s="570">
        <f t="shared" si="262"/>
        <v>10</v>
      </c>
      <c r="P291" s="569">
        <v>4</v>
      </c>
      <c r="Q291" s="628">
        <v>0.16500000000000001</v>
      </c>
      <c r="R291" s="580">
        <f t="shared" si="234"/>
        <v>4.1250000000000002E-2</v>
      </c>
      <c r="S291" s="627">
        <v>1</v>
      </c>
      <c r="T291" s="625">
        <f t="shared" si="220"/>
        <v>0.25</v>
      </c>
      <c r="U291" s="992">
        <v>1</v>
      </c>
      <c r="V291" s="626">
        <f t="shared" si="221"/>
        <v>1</v>
      </c>
      <c r="W291" s="594">
        <f t="shared" si="222"/>
        <v>100</v>
      </c>
      <c r="X291" s="594">
        <f t="shared" si="235"/>
        <v>100</v>
      </c>
      <c r="Y291" s="594">
        <f t="shared" si="259"/>
        <v>4.1250000000000002E-2</v>
      </c>
      <c r="Z291" s="594">
        <f t="shared" si="236"/>
        <v>100</v>
      </c>
      <c r="AA291" s="593">
        <v>256000000</v>
      </c>
      <c r="AB291" s="593">
        <v>256000000</v>
      </c>
      <c r="AC291" s="593">
        <v>0</v>
      </c>
      <c r="AD291" s="593">
        <v>0</v>
      </c>
      <c r="AE291" s="593">
        <v>0</v>
      </c>
      <c r="AF291" s="593">
        <v>0</v>
      </c>
      <c r="AG291" s="593">
        <v>0</v>
      </c>
      <c r="AH291" s="593">
        <v>0</v>
      </c>
      <c r="AI291" s="593">
        <v>256844000</v>
      </c>
      <c r="AJ291" s="593">
        <v>256844000</v>
      </c>
      <c r="AK291" s="593">
        <v>0</v>
      </c>
      <c r="AL291" s="593">
        <v>0</v>
      </c>
      <c r="AM291" s="593">
        <v>0</v>
      </c>
      <c r="AN291" s="593">
        <v>0</v>
      </c>
      <c r="AO291" s="593">
        <v>0</v>
      </c>
      <c r="AP291" s="593">
        <v>0</v>
      </c>
      <c r="AQ291" s="593">
        <v>0</v>
      </c>
      <c r="AR291" s="593">
        <v>0</v>
      </c>
      <c r="AS291" s="593">
        <v>0</v>
      </c>
      <c r="AT291" s="570">
        <f t="shared" si="237"/>
        <v>4.1250000000000002E-2</v>
      </c>
      <c r="AU291" s="571">
        <v>1</v>
      </c>
      <c r="AV291" s="625">
        <f t="shared" si="223"/>
        <v>0.25</v>
      </c>
      <c r="AW291" s="1003">
        <v>1</v>
      </c>
      <c r="AX291" s="604">
        <f t="shared" si="224"/>
        <v>1</v>
      </c>
      <c r="AY291" s="604">
        <f t="shared" si="225"/>
        <v>100</v>
      </c>
      <c r="AZ291" s="604">
        <f t="shared" si="238"/>
        <v>100</v>
      </c>
      <c r="BA291" s="592">
        <f t="shared" si="239"/>
        <v>4.1250000000000002E-2</v>
      </c>
      <c r="BB291" s="592">
        <f t="shared" si="240"/>
        <v>100</v>
      </c>
      <c r="BC291" s="591">
        <v>130000000</v>
      </c>
      <c r="BD291" s="591">
        <v>0</v>
      </c>
      <c r="BE291" s="591">
        <v>130000000</v>
      </c>
      <c r="BF291" s="591">
        <v>0</v>
      </c>
      <c r="BG291" s="591">
        <v>0</v>
      </c>
      <c r="BH291" s="591">
        <v>0</v>
      </c>
      <c r="BI291" s="591">
        <v>0</v>
      </c>
      <c r="BJ291" s="591">
        <v>0</v>
      </c>
      <c r="BK291" s="624">
        <v>130000000</v>
      </c>
      <c r="BL291" s="589">
        <v>130000000</v>
      </c>
      <c r="BM291" s="589">
        <v>0</v>
      </c>
      <c r="BN291" s="589">
        <v>0</v>
      </c>
      <c r="BO291" s="589">
        <v>0</v>
      </c>
      <c r="BP291" s="589">
        <v>0</v>
      </c>
      <c r="BQ291" s="589">
        <v>0</v>
      </c>
      <c r="BR291" s="589">
        <v>0</v>
      </c>
      <c r="BS291" s="589">
        <v>0</v>
      </c>
      <c r="BT291" s="589">
        <v>762900000</v>
      </c>
      <c r="BU291" s="589" t="s">
        <v>2193</v>
      </c>
      <c r="BV291" s="588">
        <f t="shared" si="241"/>
        <v>4.1250000000000002E-2</v>
      </c>
      <c r="BW291" s="588">
        <v>1</v>
      </c>
      <c r="BX291" s="623">
        <f t="shared" si="226"/>
        <v>0.25</v>
      </c>
      <c r="BY291" s="587">
        <v>1</v>
      </c>
      <c r="BZ291" s="645">
        <v>1</v>
      </c>
      <c r="CA291" s="1017">
        <v>1</v>
      </c>
      <c r="CB291" s="557">
        <f t="shared" si="227"/>
        <v>1</v>
      </c>
      <c r="CC291" s="557">
        <f t="shared" si="228"/>
        <v>100</v>
      </c>
      <c r="CD291" s="622">
        <f t="shared" si="242"/>
        <v>100</v>
      </c>
      <c r="CE291" s="621">
        <f t="shared" si="243"/>
        <v>4.1250000000000002E-2</v>
      </c>
      <c r="CF291" s="605">
        <f t="shared" si="244"/>
        <v>100</v>
      </c>
      <c r="CG291" s="621">
        <f t="shared" si="245"/>
        <v>4.1250000000000002E-2</v>
      </c>
      <c r="CH291" s="553">
        <f t="shared" si="246"/>
        <v>4.1250000000000002E-2</v>
      </c>
      <c r="CI291" s="552">
        <v>1</v>
      </c>
      <c r="CJ291" s="551">
        <f t="shared" si="229"/>
        <v>0.25</v>
      </c>
      <c r="CK291" s="874">
        <v>2</v>
      </c>
      <c r="CL291" s="533">
        <f t="shared" si="230"/>
        <v>-1</v>
      </c>
      <c r="CM291" s="619">
        <f t="shared" si="231"/>
        <v>2</v>
      </c>
      <c r="CN291" s="619">
        <f t="shared" si="232"/>
        <v>200</v>
      </c>
      <c r="CO291" s="549">
        <f t="shared" si="247"/>
        <v>100</v>
      </c>
      <c r="CP291" s="619">
        <f t="shared" si="248"/>
        <v>4.1250000000000002E-2</v>
      </c>
      <c r="CQ291" s="619">
        <f t="shared" si="249"/>
        <v>8.2500000000000004E-2</v>
      </c>
      <c r="CR291" s="546">
        <v>290000000</v>
      </c>
      <c r="CS291" s="546">
        <v>290000000</v>
      </c>
      <c r="CT291" s="546">
        <v>0</v>
      </c>
      <c r="CU291" s="546">
        <v>0</v>
      </c>
      <c r="CV291" s="546">
        <v>0</v>
      </c>
      <c r="CW291" s="546">
        <v>0</v>
      </c>
      <c r="CX291" s="546">
        <v>0</v>
      </c>
      <c r="CY291" s="546">
        <v>0</v>
      </c>
      <c r="CZ291" s="618">
        <v>0</v>
      </c>
      <c r="DA291" s="618">
        <v>0</v>
      </c>
      <c r="DB291" s="618">
        <v>0</v>
      </c>
      <c r="DC291" s="618">
        <v>0</v>
      </c>
      <c r="DD291" s="618">
        <v>0</v>
      </c>
      <c r="DE291" s="618">
        <v>0</v>
      </c>
      <c r="DF291" s="618">
        <v>0</v>
      </c>
      <c r="DG291" s="618">
        <v>0</v>
      </c>
      <c r="DH291" s="618">
        <v>0</v>
      </c>
      <c r="DI291" s="618">
        <v>0</v>
      </c>
      <c r="DJ291" s="618">
        <v>0</v>
      </c>
      <c r="DK291" s="1034">
        <f t="shared" si="233"/>
        <v>5</v>
      </c>
      <c r="DL291" s="543">
        <f t="shared" si="250"/>
        <v>0.16500000000000001</v>
      </c>
      <c r="DM291" s="542">
        <f t="shared" si="251"/>
        <v>125</v>
      </c>
      <c r="DN291" s="594">
        <f t="shared" si="252"/>
        <v>100</v>
      </c>
      <c r="DO291" s="540">
        <f t="shared" si="253"/>
        <v>0.16500000000000001</v>
      </c>
      <c r="DP291" s="597">
        <f t="shared" si="263"/>
        <v>0.16500000000000001</v>
      </c>
      <c r="DQ291" s="538">
        <f t="shared" si="254"/>
        <v>0.16500000000000001</v>
      </c>
      <c r="DR291" s="617">
        <f t="shared" si="255"/>
        <v>1</v>
      </c>
      <c r="DS291" s="616">
        <f t="shared" si="256"/>
        <v>0</v>
      </c>
      <c r="DT291" s="259">
        <v>334</v>
      </c>
      <c r="DU291" s="260" t="s">
        <v>273</v>
      </c>
      <c r="DV291" s="259"/>
      <c r="DW291" s="260" t="s">
        <v>242</v>
      </c>
      <c r="DX291" s="259"/>
      <c r="DY291" s="259"/>
      <c r="DZ291" s="259"/>
      <c r="EA291" s="987"/>
      <c r="EB291" s="1041" t="s">
        <v>2622</v>
      </c>
      <c r="EC291" s="802">
        <v>290000000</v>
      </c>
      <c r="EE291" s="1047"/>
    </row>
    <row r="292" spans="4:135" s="534" customFormat="1" ht="89.25" hidden="1" x14ac:dyDescent="0.3">
      <c r="D292" s="783">
        <v>289</v>
      </c>
      <c r="E292" s="799">
        <v>341</v>
      </c>
      <c r="F292" s="739" t="s">
        <v>201</v>
      </c>
      <c r="G292" s="739" t="s">
        <v>13</v>
      </c>
      <c r="H292" s="739" t="s">
        <v>142</v>
      </c>
      <c r="I292" s="676" t="s">
        <v>889</v>
      </c>
      <c r="J292" s="573" t="s">
        <v>893</v>
      </c>
      <c r="K292" s="573" t="s">
        <v>894</v>
      </c>
      <c r="L292" s="687" t="s">
        <v>2019</v>
      </c>
      <c r="M292" s="571" t="s">
        <v>2017</v>
      </c>
      <c r="N292" s="571">
        <v>0</v>
      </c>
      <c r="O292" s="570">
        <f t="shared" si="262"/>
        <v>2</v>
      </c>
      <c r="P292" s="569">
        <v>2</v>
      </c>
      <c r="Q292" s="628">
        <v>0.16500000000000001</v>
      </c>
      <c r="R292" s="580">
        <f t="shared" si="234"/>
        <v>0</v>
      </c>
      <c r="S292" s="627">
        <v>0</v>
      </c>
      <c r="T292" s="625">
        <f t="shared" si="220"/>
        <v>0</v>
      </c>
      <c r="U292" s="992">
        <v>0</v>
      </c>
      <c r="V292" s="626">
        <f t="shared" si="221"/>
        <v>0</v>
      </c>
      <c r="W292" s="594">
        <f t="shared" si="222"/>
        <v>0</v>
      </c>
      <c r="X292" s="594">
        <f t="shared" si="235"/>
        <v>0</v>
      </c>
      <c r="Y292" s="594">
        <f t="shared" si="259"/>
        <v>0</v>
      </c>
      <c r="Z292" s="594">
        <f t="shared" si="236"/>
        <v>0</v>
      </c>
      <c r="AA292" s="593">
        <v>0</v>
      </c>
      <c r="AB292" s="593">
        <v>0</v>
      </c>
      <c r="AC292" s="593">
        <v>0</v>
      </c>
      <c r="AD292" s="593">
        <v>0</v>
      </c>
      <c r="AE292" s="593">
        <v>0</v>
      </c>
      <c r="AF292" s="593">
        <v>0</v>
      </c>
      <c r="AG292" s="593">
        <v>0</v>
      </c>
      <c r="AH292" s="593">
        <v>0</v>
      </c>
      <c r="AI292" s="593">
        <v>0</v>
      </c>
      <c r="AJ292" s="593">
        <v>0</v>
      </c>
      <c r="AK292" s="593">
        <v>0</v>
      </c>
      <c r="AL292" s="593">
        <v>0</v>
      </c>
      <c r="AM292" s="593">
        <v>0</v>
      </c>
      <c r="AN292" s="593">
        <v>0</v>
      </c>
      <c r="AO292" s="593">
        <v>0</v>
      </c>
      <c r="AP292" s="593">
        <v>0</v>
      </c>
      <c r="AQ292" s="593">
        <v>0</v>
      </c>
      <c r="AR292" s="593">
        <v>0</v>
      </c>
      <c r="AS292" s="593">
        <v>0</v>
      </c>
      <c r="AT292" s="570">
        <f t="shared" si="237"/>
        <v>0</v>
      </c>
      <c r="AU292" s="571">
        <v>0</v>
      </c>
      <c r="AV292" s="625">
        <f t="shared" si="223"/>
        <v>0</v>
      </c>
      <c r="AW292" s="1003">
        <v>0.4</v>
      </c>
      <c r="AX292" s="604">
        <f t="shared" si="224"/>
        <v>0.4</v>
      </c>
      <c r="AY292" s="604">
        <f t="shared" si="225"/>
        <v>0</v>
      </c>
      <c r="AZ292" s="604">
        <f t="shared" si="238"/>
        <v>0</v>
      </c>
      <c r="BA292" s="592">
        <f t="shared" si="239"/>
        <v>0</v>
      </c>
      <c r="BB292" s="592">
        <f t="shared" si="240"/>
        <v>100</v>
      </c>
      <c r="BC292" s="591">
        <v>0</v>
      </c>
      <c r="BD292" s="591">
        <v>0</v>
      </c>
      <c r="BE292" s="591">
        <v>0</v>
      </c>
      <c r="BF292" s="591">
        <v>0</v>
      </c>
      <c r="BG292" s="591">
        <v>0</v>
      </c>
      <c r="BH292" s="591">
        <v>0</v>
      </c>
      <c r="BI292" s="591">
        <v>0</v>
      </c>
      <c r="BJ292" s="591">
        <v>0</v>
      </c>
      <c r="BK292" s="624">
        <v>400000000</v>
      </c>
      <c r="BL292" s="589">
        <v>400000000</v>
      </c>
      <c r="BM292" s="589">
        <v>0</v>
      </c>
      <c r="BN292" s="589">
        <v>0</v>
      </c>
      <c r="BO292" s="589">
        <v>0</v>
      </c>
      <c r="BP292" s="589">
        <v>0</v>
      </c>
      <c r="BQ292" s="589">
        <v>0</v>
      </c>
      <c r="BR292" s="589">
        <v>0</v>
      </c>
      <c r="BS292" s="589">
        <v>0</v>
      </c>
      <c r="BT292" s="589">
        <v>56000000</v>
      </c>
      <c r="BU292" s="589" t="s">
        <v>2192</v>
      </c>
      <c r="BV292" s="588">
        <f t="shared" si="241"/>
        <v>8.2500000000000004E-2</v>
      </c>
      <c r="BW292" s="588">
        <v>1</v>
      </c>
      <c r="BX292" s="623">
        <f t="shared" si="226"/>
        <v>0.5</v>
      </c>
      <c r="BY292" s="633">
        <v>1</v>
      </c>
      <c r="BZ292" s="641">
        <v>1</v>
      </c>
      <c r="CA292" s="1019">
        <v>1</v>
      </c>
      <c r="CB292" s="557">
        <f t="shared" si="227"/>
        <v>1</v>
      </c>
      <c r="CC292" s="557">
        <f t="shared" si="228"/>
        <v>100</v>
      </c>
      <c r="CD292" s="622">
        <f t="shared" si="242"/>
        <v>100</v>
      </c>
      <c r="CE292" s="621">
        <f t="shared" si="243"/>
        <v>8.2500000000000004E-2</v>
      </c>
      <c r="CF292" s="605">
        <f t="shared" si="244"/>
        <v>100</v>
      </c>
      <c r="CG292" s="621">
        <f t="shared" si="245"/>
        <v>8.2500000000000004E-2</v>
      </c>
      <c r="CH292" s="553">
        <f t="shared" si="246"/>
        <v>8.2500000000000004E-2</v>
      </c>
      <c r="CI292" s="552">
        <v>1</v>
      </c>
      <c r="CJ292" s="551">
        <f t="shared" si="229"/>
        <v>0.5</v>
      </c>
      <c r="CK292" s="874">
        <v>0.30000001192092896</v>
      </c>
      <c r="CL292" s="533">
        <f t="shared" si="230"/>
        <v>0.69999998807907104</v>
      </c>
      <c r="CM292" s="619">
        <f t="shared" si="231"/>
        <v>0.30000001192092896</v>
      </c>
      <c r="CN292" s="619">
        <f t="shared" si="232"/>
        <v>30.000001192092896</v>
      </c>
      <c r="CO292" s="549">
        <f t="shared" si="247"/>
        <v>30.000001192092896</v>
      </c>
      <c r="CP292" s="619">
        <f t="shared" si="248"/>
        <v>2.4750000983476638E-2</v>
      </c>
      <c r="CQ292" s="619">
        <f t="shared" si="249"/>
        <v>2.4750000983476638E-2</v>
      </c>
      <c r="CR292" s="546">
        <v>0</v>
      </c>
      <c r="CS292" s="546">
        <v>0</v>
      </c>
      <c r="CT292" s="546">
        <v>0</v>
      </c>
      <c r="CU292" s="546">
        <v>0</v>
      </c>
      <c r="CV292" s="546">
        <v>0</v>
      </c>
      <c r="CW292" s="546">
        <v>0</v>
      </c>
      <c r="CX292" s="546">
        <v>0</v>
      </c>
      <c r="CY292" s="546">
        <v>0</v>
      </c>
      <c r="CZ292" s="618">
        <v>0</v>
      </c>
      <c r="DA292" s="618">
        <v>0</v>
      </c>
      <c r="DB292" s="618">
        <v>0</v>
      </c>
      <c r="DC292" s="618">
        <v>0</v>
      </c>
      <c r="DD292" s="618">
        <v>0</v>
      </c>
      <c r="DE292" s="618">
        <v>0</v>
      </c>
      <c r="DF292" s="618">
        <v>0</v>
      </c>
      <c r="DG292" s="618">
        <v>0</v>
      </c>
      <c r="DH292" s="618">
        <v>0</v>
      </c>
      <c r="DI292" s="618">
        <v>0</v>
      </c>
      <c r="DJ292" s="618">
        <v>0</v>
      </c>
      <c r="DK292" s="1034">
        <f t="shared" si="233"/>
        <v>1.7000000119209289</v>
      </c>
      <c r="DL292" s="543">
        <f t="shared" si="250"/>
        <v>0.16500000000000001</v>
      </c>
      <c r="DM292" s="542">
        <f t="shared" si="251"/>
        <v>85.000000596046448</v>
      </c>
      <c r="DN292" s="594">
        <f t="shared" si="252"/>
        <v>85.000000596046448</v>
      </c>
      <c r="DO292" s="540">
        <f t="shared" si="253"/>
        <v>0.14025000098347665</v>
      </c>
      <c r="DP292" s="597">
        <f t="shared" si="263"/>
        <v>0.14025000098347665</v>
      </c>
      <c r="DQ292" s="538">
        <f t="shared" si="254"/>
        <v>0.14025000098347665</v>
      </c>
      <c r="DR292" s="617">
        <f t="shared" si="255"/>
        <v>1</v>
      </c>
      <c r="DS292" s="616">
        <f t="shared" si="256"/>
        <v>0</v>
      </c>
      <c r="DT292" s="259">
        <v>335</v>
      </c>
      <c r="DU292" s="260" t="s">
        <v>272</v>
      </c>
      <c r="DV292" s="259"/>
      <c r="DW292" s="260" t="s">
        <v>242</v>
      </c>
      <c r="DX292" s="259"/>
      <c r="DY292" s="259"/>
      <c r="DZ292" s="259"/>
      <c r="EA292" s="987"/>
      <c r="EB292" s="1041" t="s">
        <v>2623</v>
      </c>
      <c r="EC292" s="802">
        <v>0</v>
      </c>
      <c r="EE292" s="1047"/>
    </row>
    <row r="293" spans="4:135" s="534" customFormat="1" ht="165.75" hidden="1" x14ac:dyDescent="0.3">
      <c r="D293" s="783">
        <v>290</v>
      </c>
      <c r="E293" s="799">
        <v>342</v>
      </c>
      <c r="F293" s="739" t="s">
        <v>201</v>
      </c>
      <c r="G293" s="739" t="s">
        <v>13</v>
      </c>
      <c r="H293" s="739" t="s">
        <v>142</v>
      </c>
      <c r="I293" s="676" t="s">
        <v>895</v>
      </c>
      <c r="J293" s="573" t="s">
        <v>896</v>
      </c>
      <c r="K293" s="573" t="s">
        <v>897</v>
      </c>
      <c r="L293" s="687" t="s">
        <v>1669</v>
      </c>
      <c r="M293" s="571" t="s">
        <v>2017</v>
      </c>
      <c r="N293" s="571">
        <v>0</v>
      </c>
      <c r="O293" s="570">
        <f t="shared" si="262"/>
        <v>10000</v>
      </c>
      <c r="P293" s="569">
        <v>10000</v>
      </c>
      <c r="Q293" s="628">
        <v>0.33</v>
      </c>
      <c r="R293" s="580">
        <f t="shared" si="234"/>
        <v>4.9500000000000002E-2</v>
      </c>
      <c r="S293" s="627">
        <v>1500</v>
      </c>
      <c r="T293" s="625">
        <f t="shared" si="220"/>
        <v>0.15</v>
      </c>
      <c r="U293" s="992">
        <v>1500</v>
      </c>
      <c r="V293" s="626">
        <f t="shared" si="221"/>
        <v>1500</v>
      </c>
      <c r="W293" s="594">
        <f t="shared" si="222"/>
        <v>100</v>
      </c>
      <c r="X293" s="594">
        <f t="shared" si="235"/>
        <v>100</v>
      </c>
      <c r="Y293" s="594">
        <f t="shared" si="259"/>
        <v>4.9500000000000002E-2</v>
      </c>
      <c r="Z293" s="594">
        <f t="shared" si="236"/>
        <v>100</v>
      </c>
      <c r="AA293" s="593">
        <v>361000000</v>
      </c>
      <c r="AB293" s="593">
        <v>361000000</v>
      </c>
      <c r="AC293" s="593">
        <v>0</v>
      </c>
      <c r="AD293" s="593">
        <v>0</v>
      </c>
      <c r="AE293" s="593">
        <v>0</v>
      </c>
      <c r="AF293" s="593">
        <v>0</v>
      </c>
      <c r="AG293" s="593">
        <v>0</v>
      </c>
      <c r="AH293" s="593">
        <v>0</v>
      </c>
      <c r="AI293" s="593">
        <v>290092000</v>
      </c>
      <c r="AJ293" s="593">
        <v>290092000</v>
      </c>
      <c r="AK293" s="593">
        <v>0</v>
      </c>
      <c r="AL293" s="593">
        <v>0</v>
      </c>
      <c r="AM293" s="593">
        <v>0</v>
      </c>
      <c r="AN293" s="593">
        <v>0</v>
      </c>
      <c r="AO293" s="593">
        <v>0</v>
      </c>
      <c r="AP293" s="593">
        <v>0</v>
      </c>
      <c r="AQ293" s="593">
        <v>0</v>
      </c>
      <c r="AR293" s="593">
        <v>0</v>
      </c>
      <c r="AS293" s="593">
        <v>0</v>
      </c>
      <c r="AT293" s="570">
        <f t="shared" si="237"/>
        <v>9.9000000000000005E-2</v>
      </c>
      <c r="AU293" s="571">
        <v>3000</v>
      </c>
      <c r="AV293" s="625">
        <f t="shared" si="223"/>
        <v>0.3</v>
      </c>
      <c r="AW293" s="1003">
        <v>4190</v>
      </c>
      <c r="AX293" s="604">
        <f t="shared" si="224"/>
        <v>4190</v>
      </c>
      <c r="AY293" s="604">
        <f t="shared" si="225"/>
        <v>139.66666666666666</v>
      </c>
      <c r="AZ293" s="604">
        <f t="shared" si="238"/>
        <v>100</v>
      </c>
      <c r="BA293" s="592">
        <f t="shared" si="239"/>
        <v>9.9000000000000005E-2</v>
      </c>
      <c r="BB293" s="592">
        <f t="shared" si="240"/>
        <v>100</v>
      </c>
      <c r="BC293" s="591">
        <v>120000000</v>
      </c>
      <c r="BD293" s="591">
        <v>0</v>
      </c>
      <c r="BE293" s="591">
        <v>120000000</v>
      </c>
      <c r="BF293" s="591">
        <v>0</v>
      </c>
      <c r="BG293" s="591">
        <v>0</v>
      </c>
      <c r="BH293" s="591">
        <v>0</v>
      </c>
      <c r="BI293" s="591">
        <v>0</v>
      </c>
      <c r="BJ293" s="591">
        <v>0</v>
      </c>
      <c r="BK293" s="624">
        <v>119141400</v>
      </c>
      <c r="BL293" s="589">
        <v>119141400</v>
      </c>
      <c r="BM293" s="589">
        <v>0</v>
      </c>
      <c r="BN293" s="589">
        <v>0</v>
      </c>
      <c r="BO293" s="589">
        <v>0</v>
      </c>
      <c r="BP293" s="589">
        <v>0</v>
      </c>
      <c r="BQ293" s="589">
        <v>0</v>
      </c>
      <c r="BR293" s="589">
        <v>0</v>
      </c>
      <c r="BS293" s="589">
        <v>0</v>
      </c>
      <c r="BT293" s="589">
        <v>105599015</v>
      </c>
      <c r="BU293" s="589" t="s">
        <v>2191</v>
      </c>
      <c r="BV293" s="588">
        <f t="shared" si="241"/>
        <v>9.9000000000000005E-2</v>
      </c>
      <c r="BW293" s="588">
        <v>3000</v>
      </c>
      <c r="BX293" s="623">
        <f t="shared" si="226"/>
        <v>0.3</v>
      </c>
      <c r="BY293" s="587">
        <v>1000</v>
      </c>
      <c r="BZ293" s="645">
        <v>3000</v>
      </c>
      <c r="CA293" s="1017">
        <v>3000</v>
      </c>
      <c r="CB293" s="557">
        <f t="shared" si="227"/>
        <v>3000</v>
      </c>
      <c r="CC293" s="557">
        <f t="shared" si="228"/>
        <v>100</v>
      </c>
      <c r="CD293" s="622">
        <f t="shared" si="242"/>
        <v>100</v>
      </c>
      <c r="CE293" s="621">
        <f t="shared" si="243"/>
        <v>9.9000000000000005E-2</v>
      </c>
      <c r="CF293" s="605">
        <f t="shared" si="244"/>
        <v>100</v>
      </c>
      <c r="CG293" s="621">
        <f t="shared" si="245"/>
        <v>9.9000000000000005E-2</v>
      </c>
      <c r="CH293" s="553">
        <f t="shared" si="246"/>
        <v>8.2500000000000004E-2</v>
      </c>
      <c r="CI293" s="552">
        <v>2500</v>
      </c>
      <c r="CJ293" s="551">
        <f t="shared" si="229"/>
        <v>0.25</v>
      </c>
      <c r="CK293" s="874">
        <v>38235</v>
      </c>
      <c r="CL293" s="533">
        <f t="shared" si="230"/>
        <v>-35735</v>
      </c>
      <c r="CM293" s="619">
        <f t="shared" si="231"/>
        <v>38235</v>
      </c>
      <c r="CN293" s="619">
        <f t="shared" si="232"/>
        <v>1529.4</v>
      </c>
      <c r="CO293" s="549">
        <f t="shared" si="247"/>
        <v>100</v>
      </c>
      <c r="CP293" s="619">
        <f t="shared" si="248"/>
        <v>8.2500000000000004E-2</v>
      </c>
      <c r="CQ293" s="619">
        <f t="shared" si="249"/>
        <v>1.2617550000000002</v>
      </c>
      <c r="CR293" s="546">
        <v>390000000</v>
      </c>
      <c r="CS293" s="546">
        <v>390000000</v>
      </c>
      <c r="CT293" s="546">
        <v>0</v>
      </c>
      <c r="CU293" s="546">
        <v>0</v>
      </c>
      <c r="CV293" s="546">
        <v>0</v>
      </c>
      <c r="CW293" s="546">
        <v>0</v>
      </c>
      <c r="CX293" s="546">
        <v>0</v>
      </c>
      <c r="CY293" s="546">
        <v>0</v>
      </c>
      <c r="CZ293" s="618">
        <v>0</v>
      </c>
      <c r="DA293" s="618">
        <v>0</v>
      </c>
      <c r="DB293" s="618">
        <v>0</v>
      </c>
      <c r="DC293" s="618">
        <v>0</v>
      </c>
      <c r="DD293" s="618">
        <v>0</v>
      </c>
      <c r="DE293" s="618">
        <v>0</v>
      </c>
      <c r="DF293" s="618">
        <v>0</v>
      </c>
      <c r="DG293" s="618">
        <v>0</v>
      </c>
      <c r="DH293" s="618">
        <v>0</v>
      </c>
      <c r="DI293" s="618">
        <v>0</v>
      </c>
      <c r="DJ293" s="618">
        <v>0</v>
      </c>
      <c r="DK293" s="1034">
        <f t="shared" si="233"/>
        <v>46925</v>
      </c>
      <c r="DL293" s="543">
        <f t="shared" si="250"/>
        <v>0.33</v>
      </c>
      <c r="DM293" s="542">
        <f t="shared" si="251"/>
        <v>469.25</v>
      </c>
      <c r="DN293" s="594">
        <f t="shared" si="252"/>
        <v>100</v>
      </c>
      <c r="DO293" s="540">
        <f t="shared" si="253"/>
        <v>0.33</v>
      </c>
      <c r="DP293" s="597">
        <f t="shared" si="263"/>
        <v>0.33</v>
      </c>
      <c r="DQ293" s="538">
        <f t="shared" si="254"/>
        <v>0.33</v>
      </c>
      <c r="DR293" s="617">
        <f t="shared" si="255"/>
        <v>1</v>
      </c>
      <c r="DS293" s="616">
        <f t="shared" si="256"/>
        <v>0</v>
      </c>
      <c r="DT293" s="259">
        <v>335</v>
      </c>
      <c r="DU293" s="260" t="s">
        <v>272</v>
      </c>
      <c r="DV293" s="259"/>
      <c r="DW293" s="260" t="s">
        <v>242</v>
      </c>
      <c r="DX293" s="259"/>
      <c r="DY293" s="259"/>
      <c r="DZ293" s="259"/>
      <c r="EA293" s="987"/>
      <c r="EB293" s="1041" t="s">
        <v>2624</v>
      </c>
      <c r="EC293" s="802">
        <v>390000000</v>
      </c>
      <c r="EE293" s="1047"/>
    </row>
    <row r="294" spans="4:135" s="534" customFormat="1" ht="102" hidden="1" x14ac:dyDescent="0.3">
      <c r="D294" s="783">
        <v>291</v>
      </c>
      <c r="E294" s="799">
        <v>343</v>
      </c>
      <c r="F294" s="739" t="s">
        <v>201</v>
      </c>
      <c r="G294" s="739" t="s">
        <v>13</v>
      </c>
      <c r="H294" s="739" t="s">
        <v>142</v>
      </c>
      <c r="I294" s="676" t="s">
        <v>895</v>
      </c>
      <c r="J294" s="573" t="s">
        <v>898</v>
      </c>
      <c r="K294" s="573" t="s">
        <v>899</v>
      </c>
      <c r="L294" s="687" t="s">
        <v>2019</v>
      </c>
      <c r="M294" s="571" t="s">
        <v>2017</v>
      </c>
      <c r="N294" s="571">
        <v>0</v>
      </c>
      <c r="O294" s="570">
        <f t="shared" si="262"/>
        <v>8</v>
      </c>
      <c r="P294" s="569">
        <v>8</v>
      </c>
      <c r="Q294" s="628">
        <v>0.16500000000000001</v>
      </c>
      <c r="R294" s="580">
        <f t="shared" si="234"/>
        <v>4.1250000000000002E-2</v>
      </c>
      <c r="S294" s="627">
        <v>2</v>
      </c>
      <c r="T294" s="625">
        <f t="shared" si="220"/>
        <v>0.25</v>
      </c>
      <c r="U294" s="992">
        <v>2</v>
      </c>
      <c r="V294" s="626">
        <f t="shared" si="221"/>
        <v>2</v>
      </c>
      <c r="W294" s="594">
        <f t="shared" si="222"/>
        <v>100</v>
      </c>
      <c r="X294" s="594">
        <f t="shared" si="235"/>
        <v>100</v>
      </c>
      <c r="Y294" s="594">
        <f t="shared" si="259"/>
        <v>4.1250000000000002E-2</v>
      </c>
      <c r="Z294" s="594">
        <f t="shared" si="236"/>
        <v>100</v>
      </c>
      <c r="AA294" s="593">
        <v>115000000</v>
      </c>
      <c r="AB294" s="593">
        <v>115000000</v>
      </c>
      <c r="AC294" s="593">
        <v>0</v>
      </c>
      <c r="AD294" s="593">
        <v>0</v>
      </c>
      <c r="AE294" s="593">
        <v>0</v>
      </c>
      <c r="AF294" s="593">
        <v>0</v>
      </c>
      <c r="AG294" s="593">
        <v>0</v>
      </c>
      <c r="AH294" s="593">
        <v>0</v>
      </c>
      <c r="AI294" s="593">
        <v>186000000</v>
      </c>
      <c r="AJ294" s="593">
        <v>186000000</v>
      </c>
      <c r="AK294" s="593">
        <v>0</v>
      </c>
      <c r="AL294" s="593">
        <v>0</v>
      </c>
      <c r="AM294" s="593">
        <v>0</v>
      </c>
      <c r="AN294" s="593">
        <v>0</v>
      </c>
      <c r="AO294" s="593">
        <v>0</v>
      </c>
      <c r="AP294" s="593">
        <v>0</v>
      </c>
      <c r="AQ294" s="593">
        <v>0</v>
      </c>
      <c r="AR294" s="593">
        <v>0</v>
      </c>
      <c r="AS294" s="593">
        <v>0</v>
      </c>
      <c r="AT294" s="570">
        <f t="shared" si="237"/>
        <v>4.1250000000000002E-2</v>
      </c>
      <c r="AU294" s="571">
        <v>2</v>
      </c>
      <c r="AV294" s="625">
        <f t="shared" si="223"/>
        <v>0.25</v>
      </c>
      <c r="AW294" s="1003">
        <v>10</v>
      </c>
      <c r="AX294" s="604">
        <f t="shared" si="224"/>
        <v>10</v>
      </c>
      <c r="AY294" s="604">
        <f t="shared" si="225"/>
        <v>500</v>
      </c>
      <c r="AZ294" s="604">
        <f t="shared" si="238"/>
        <v>100</v>
      </c>
      <c r="BA294" s="592">
        <f t="shared" si="239"/>
        <v>4.1250000000000002E-2</v>
      </c>
      <c r="BB294" s="592">
        <f t="shared" si="240"/>
        <v>100</v>
      </c>
      <c r="BC294" s="591">
        <v>100000000</v>
      </c>
      <c r="BD294" s="591">
        <v>0</v>
      </c>
      <c r="BE294" s="591">
        <v>100000000</v>
      </c>
      <c r="BF294" s="591">
        <v>0</v>
      </c>
      <c r="BG294" s="591">
        <v>0</v>
      </c>
      <c r="BH294" s="591">
        <v>0</v>
      </c>
      <c r="BI294" s="591">
        <v>0</v>
      </c>
      <c r="BJ294" s="591">
        <v>0</v>
      </c>
      <c r="BK294" s="624">
        <v>100000000</v>
      </c>
      <c r="BL294" s="589">
        <v>100000000</v>
      </c>
      <c r="BM294" s="589">
        <v>0</v>
      </c>
      <c r="BN294" s="589">
        <v>0</v>
      </c>
      <c r="BO294" s="589">
        <v>0</v>
      </c>
      <c r="BP294" s="589">
        <v>0</v>
      </c>
      <c r="BQ294" s="589">
        <v>0</v>
      </c>
      <c r="BR294" s="589">
        <v>0</v>
      </c>
      <c r="BS294" s="589">
        <v>0</v>
      </c>
      <c r="BT294" s="589">
        <v>0</v>
      </c>
      <c r="BU294" s="589">
        <v>0</v>
      </c>
      <c r="BV294" s="588">
        <f t="shared" si="241"/>
        <v>0</v>
      </c>
      <c r="BW294" s="588">
        <v>0</v>
      </c>
      <c r="BX294" s="623">
        <f t="shared" si="226"/>
        <v>0</v>
      </c>
      <c r="BY294" s="640">
        <v>0</v>
      </c>
      <c r="BZ294" s="656">
        <v>0</v>
      </c>
      <c r="CA294" s="1019">
        <v>0</v>
      </c>
      <c r="CB294" s="557">
        <f t="shared" si="227"/>
        <v>0</v>
      </c>
      <c r="CC294" s="557">
        <f t="shared" si="228"/>
        <v>0</v>
      </c>
      <c r="CD294" s="622">
        <f t="shared" si="242"/>
        <v>0</v>
      </c>
      <c r="CE294" s="621">
        <f t="shared" si="243"/>
        <v>0</v>
      </c>
      <c r="CF294" s="605">
        <f t="shared" si="244"/>
        <v>0</v>
      </c>
      <c r="CG294" s="621">
        <f t="shared" si="245"/>
        <v>0</v>
      </c>
      <c r="CH294" s="553">
        <f t="shared" si="246"/>
        <v>8.2500000000000004E-2</v>
      </c>
      <c r="CI294" s="552">
        <v>4</v>
      </c>
      <c r="CJ294" s="551">
        <f t="shared" si="229"/>
        <v>0.5</v>
      </c>
      <c r="CK294" s="871">
        <v>0</v>
      </c>
      <c r="CL294" s="533">
        <f t="shared" si="230"/>
        <v>4</v>
      </c>
      <c r="CM294" s="619">
        <f t="shared" si="231"/>
        <v>0</v>
      </c>
      <c r="CN294" s="619">
        <f t="shared" si="232"/>
        <v>0</v>
      </c>
      <c r="CO294" s="549">
        <f t="shared" si="247"/>
        <v>0</v>
      </c>
      <c r="CP294" s="619">
        <f t="shared" si="248"/>
        <v>0</v>
      </c>
      <c r="CQ294" s="619">
        <f t="shared" si="249"/>
        <v>0</v>
      </c>
      <c r="CR294" s="546">
        <v>100000000</v>
      </c>
      <c r="CS294" s="546">
        <v>100000000</v>
      </c>
      <c r="CT294" s="546">
        <v>0</v>
      </c>
      <c r="CU294" s="546">
        <v>0</v>
      </c>
      <c r="CV294" s="546">
        <v>0</v>
      </c>
      <c r="CW294" s="546">
        <v>0</v>
      </c>
      <c r="CX294" s="546">
        <v>0</v>
      </c>
      <c r="CY294" s="546">
        <v>0</v>
      </c>
      <c r="CZ294" s="618">
        <v>0</v>
      </c>
      <c r="DA294" s="618">
        <v>0</v>
      </c>
      <c r="DB294" s="618">
        <v>0</v>
      </c>
      <c r="DC294" s="618">
        <v>0</v>
      </c>
      <c r="DD294" s="618">
        <v>0</v>
      </c>
      <c r="DE294" s="618">
        <v>0</v>
      </c>
      <c r="DF294" s="618">
        <v>0</v>
      </c>
      <c r="DG294" s="618">
        <v>0</v>
      </c>
      <c r="DH294" s="618">
        <v>0</v>
      </c>
      <c r="DI294" s="618">
        <v>0</v>
      </c>
      <c r="DJ294" s="618">
        <v>0</v>
      </c>
      <c r="DK294" s="1034">
        <f t="shared" si="233"/>
        <v>12</v>
      </c>
      <c r="DL294" s="543">
        <f t="shared" si="250"/>
        <v>0.16500000000000001</v>
      </c>
      <c r="DM294" s="542">
        <f t="shared" si="251"/>
        <v>150</v>
      </c>
      <c r="DN294" s="594">
        <f t="shared" si="252"/>
        <v>100</v>
      </c>
      <c r="DO294" s="540">
        <f t="shared" si="253"/>
        <v>0.16500000000000001</v>
      </c>
      <c r="DP294" s="597">
        <f t="shared" si="263"/>
        <v>0.16500000000000001</v>
      </c>
      <c r="DQ294" s="538">
        <f t="shared" si="254"/>
        <v>0.16500000000000001</v>
      </c>
      <c r="DR294" s="617">
        <f t="shared" si="255"/>
        <v>1</v>
      </c>
      <c r="DS294" s="616">
        <f t="shared" si="256"/>
        <v>0</v>
      </c>
      <c r="DT294" s="259">
        <v>335</v>
      </c>
      <c r="DU294" s="260" t="s">
        <v>272</v>
      </c>
      <c r="DV294" s="259"/>
      <c r="DW294" s="260" t="s">
        <v>242</v>
      </c>
      <c r="DX294" s="259"/>
      <c r="DY294" s="259"/>
      <c r="DZ294" s="259"/>
      <c r="EA294" s="987"/>
      <c r="EB294" s="1041" t="s">
        <v>2625</v>
      </c>
      <c r="EC294" s="802">
        <v>100000000</v>
      </c>
      <c r="EE294" s="1047"/>
    </row>
    <row r="295" spans="4:135" s="534" customFormat="1" ht="102" hidden="1" x14ac:dyDescent="0.3">
      <c r="D295" s="783">
        <v>292</v>
      </c>
      <c r="E295" s="799">
        <v>344</v>
      </c>
      <c r="F295" s="739" t="s">
        <v>201</v>
      </c>
      <c r="G295" s="739" t="s">
        <v>13</v>
      </c>
      <c r="H295" s="739" t="s">
        <v>142</v>
      </c>
      <c r="I295" s="676" t="s">
        <v>895</v>
      </c>
      <c r="J295" s="573" t="s">
        <v>900</v>
      </c>
      <c r="K295" s="573" t="s">
        <v>901</v>
      </c>
      <c r="L295" s="687" t="s">
        <v>2019</v>
      </c>
      <c r="M295" s="571" t="s">
        <v>2017</v>
      </c>
      <c r="N295" s="571">
        <v>0</v>
      </c>
      <c r="O295" s="570">
        <f t="shared" si="262"/>
        <v>2</v>
      </c>
      <c r="P295" s="569">
        <v>2</v>
      </c>
      <c r="Q295" s="628">
        <v>0.16500000000000001</v>
      </c>
      <c r="R295" s="580">
        <f t="shared" si="234"/>
        <v>0</v>
      </c>
      <c r="S295" s="627">
        <v>0</v>
      </c>
      <c r="T295" s="625">
        <f t="shared" si="220"/>
        <v>0</v>
      </c>
      <c r="U295" s="992">
        <v>0</v>
      </c>
      <c r="V295" s="626">
        <f t="shared" si="221"/>
        <v>0</v>
      </c>
      <c r="W295" s="594">
        <f t="shared" si="222"/>
        <v>0</v>
      </c>
      <c r="X295" s="594">
        <f t="shared" si="235"/>
        <v>0</v>
      </c>
      <c r="Y295" s="594">
        <f t="shared" si="259"/>
        <v>0</v>
      </c>
      <c r="Z295" s="594">
        <f t="shared" si="236"/>
        <v>0</v>
      </c>
      <c r="AA295" s="593">
        <v>0</v>
      </c>
      <c r="AB295" s="593">
        <v>0</v>
      </c>
      <c r="AC295" s="593">
        <v>0</v>
      </c>
      <c r="AD295" s="593">
        <v>0</v>
      </c>
      <c r="AE295" s="593">
        <v>0</v>
      </c>
      <c r="AF295" s="593">
        <v>0</v>
      </c>
      <c r="AG295" s="593">
        <v>0</v>
      </c>
      <c r="AH295" s="593">
        <v>0</v>
      </c>
      <c r="AI295" s="593">
        <v>0</v>
      </c>
      <c r="AJ295" s="593">
        <v>0</v>
      </c>
      <c r="AK295" s="593">
        <v>0</v>
      </c>
      <c r="AL295" s="593">
        <v>0</v>
      </c>
      <c r="AM295" s="593">
        <v>0</v>
      </c>
      <c r="AN295" s="593">
        <v>0</v>
      </c>
      <c r="AO295" s="593">
        <v>0</v>
      </c>
      <c r="AP295" s="593">
        <v>0</v>
      </c>
      <c r="AQ295" s="593">
        <v>0</v>
      </c>
      <c r="AR295" s="593">
        <v>0</v>
      </c>
      <c r="AS295" s="593">
        <v>0</v>
      </c>
      <c r="AT295" s="570">
        <f t="shared" si="237"/>
        <v>8.2500000000000004E-2</v>
      </c>
      <c r="AU295" s="571">
        <v>1</v>
      </c>
      <c r="AV295" s="625">
        <f t="shared" si="223"/>
        <v>0.5</v>
      </c>
      <c r="AW295" s="1003">
        <v>1</v>
      </c>
      <c r="AX295" s="604">
        <f t="shared" si="224"/>
        <v>1</v>
      </c>
      <c r="AY295" s="604">
        <f t="shared" si="225"/>
        <v>100</v>
      </c>
      <c r="AZ295" s="604">
        <f t="shared" si="238"/>
        <v>100</v>
      </c>
      <c r="BA295" s="592">
        <f t="shared" si="239"/>
        <v>8.2500000000000004E-2</v>
      </c>
      <c r="BB295" s="592">
        <f t="shared" si="240"/>
        <v>100</v>
      </c>
      <c r="BC295" s="591">
        <v>168000000</v>
      </c>
      <c r="BD295" s="591">
        <v>0</v>
      </c>
      <c r="BE295" s="591">
        <v>0</v>
      </c>
      <c r="BF295" s="591">
        <v>0</v>
      </c>
      <c r="BG295" s="591">
        <v>0</v>
      </c>
      <c r="BH295" s="591">
        <v>0</v>
      </c>
      <c r="BI295" s="591">
        <v>0</v>
      </c>
      <c r="BJ295" s="591">
        <v>168000000</v>
      </c>
      <c r="BK295" s="624">
        <v>0</v>
      </c>
      <c r="BL295" s="589">
        <v>0</v>
      </c>
      <c r="BM295" s="589">
        <v>0</v>
      </c>
      <c r="BN295" s="589">
        <v>0</v>
      </c>
      <c r="BO295" s="589">
        <v>0</v>
      </c>
      <c r="BP295" s="589">
        <v>0</v>
      </c>
      <c r="BQ295" s="589">
        <v>0</v>
      </c>
      <c r="BR295" s="589">
        <v>0</v>
      </c>
      <c r="BS295" s="589">
        <v>0</v>
      </c>
      <c r="BT295" s="589">
        <v>3500000</v>
      </c>
      <c r="BU295" s="589" t="s">
        <v>2190</v>
      </c>
      <c r="BV295" s="588">
        <f t="shared" si="241"/>
        <v>8.2500000000000004E-2</v>
      </c>
      <c r="BW295" s="588">
        <v>1</v>
      </c>
      <c r="BX295" s="623">
        <f t="shared" si="226"/>
        <v>0.5</v>
      </c>
      <c r="BY295" s="640">
        <v>2</v>
      </c>
      <c r="BZ295" s="656">
        <v>1</v>
      </c>
      <c r="CA295" s="1019">
        <v>2</v>
      </c>
      <c r="CB295" s="557">
        <f t="shared" si="227"/>
        <v>2</v>
      </c>
      <c r="CC295" s="557">
        <f t="shared" si="228"/>
        <v>200</v>
      </c>
      <c r="CD295" s="622">
        <f t="shared" si="242"/>
        <v>100</v>
      </c>
      <c r="CE295" s="621">
        <f t="shared" si="243"/>
        <v>8.2500000000000004E-2</v>
      </c>
      <c r="CF295" s="605">
        <f t="shared" si="244"/>
        <v>100</v>
      </c>
      <c r="CG295" s="621">
        <f t="shared" si="245"/>
        <v>0.16500000000000001</v>
      </c>
      <c r="CH295" s="553">
        <f t="shared" si="246"/>
        <v>0</v>
      </c>
      <c r="CI295" s="552">
        <v>0</v>
      </c>
      <c r="CJ295" s="551">
        <f t="shared" si="229"/>
        <v>0</v>
      </c>
      <c r="CK295" s="871">
        <v>0</v>
      </c>
      <c r="CL295" s="533">
        <f t="shared" si="230"/>
        <v>0</v>
      </c>
      <c r="CM295" s="619">
        <f t="shared" si="231"/>
        <v>0</v>
      </c>
      <c r="CN295" s="619">
        <f t="shared" si="232"/>
        <v>0</v>
      </c>
      <c r="CO295" s="549">
        <f t="shared" si="247"/>
        <v>0</v>
      </c>
      <c r="CP295" s="619">
        <f t="shared" si="248"/>
        <v>0</v>
      </c>
      <c r="CQ295" s="619">
        <f t="shared" si="249"/>
        <v>0</v>
      </c>
      <c r="CR295" s="546">
        <v>169000000</v>
      </c>
      <c r="CS295" s="546">
        <v>0</v>
      </c>
      <c r="CT295" s="546">
        <v>0</v>
      </c>
      <c r="CU295" s="546">
        <v>0</v>
      </c>
      <c r="CV295" s="546">
        <v>0</v>
      </c>
      <c r="CW295" s="546">
        <v>0</v>
      </c>
      <c r="CX295" s="546">
        <v>0</v>
      </c>
      <c r="CY295" s="546">
        <v>169000000</v>
      </c>
      <c r="CZ295" s="618">
        <v>0</v>
      </c>
      <c r="DA295" s="618">
        <v>0</v>
      </c>
      <c r="DB295" s="618">
        <v>0</v>
      </c>
      <c r="DC295" s="618">
        <v>0</v>
      </c>
      <c r="DD295" s="618">
        <v>0</v>
      </c>
      <c r="DE295" s="618">
        <v>0</v>
      </c>
      <c r="DF295" s="618">
        <v>0</v>
      </c>
      <c r="DG295" s="618">
        <v>0</v>
      </c>
      <c r="DH295" s="618">
        <v>0</v>
      </c>
      <c r="DI295" s="618">
        <v>0</v>
      </c>
      <c r="DJ295" s="618">
        <v>0</v>
      </c>
      <c r="DK295" s="1034">
        <f t="shared" si="233"/>
        <v>3</v>
      </c>
      <c r="DL295" s="543">
        <f t="shared" si="250"/>
        <v>0.16500000000000001</v>
      </c>
      <c r="DM295" s="542">
        <f t="shared" si="251"/>
        <v>150</v>
      </c>
      <c r="DN295" s="594">
        <f t="shared" si="252"/>
        <v>100</v>
      </c>
      <c r="DO295" s="540">
        <f t="shared" si="253"/>
        <v>0.16500000000000001</v>
      </c>
      <c r="DP295" s="597">
        <f t="shared" si="263"/>
        <v>0.16500000000000001</v>
      </c>
      <c r="DQ295" s="538">
        <f t="shared" si="254"/>
        <v>0.16500000000000001</v>
      </c>
      <c r="DR295" s="617">
        <f t="shared" si="255"/>
        <v>1</v>
      </c>
      <c r="DS295" s="616">
        <f t="shared" si="256"/>
        <v>0</v>
      </c>
      <c r="DT295" s="259">
        <v>335</v>
      </c>
      <c r="DU295" s="260" t="s">
        <v>272</v>
      </c>
      <c r="DV295" s="259"/>
      <c r="DW295" s="260" t="s">
        <v>242</v>
      </c>
      <c r="DX295" s="259"/>
      <c r="DY295" s="259"/>
      <c r="DZ295" s="259"/>
      <c r="EA295" s="987"/>
      <c r="EB295" s="1041" t="s">
        <v>2626</v>
      </c>
      <c r="EC295" s="802">
        <v>169000000</v>
      </c>
      <c r="EE295" s="1047"/>
    </row>
    <row r="296" spans="4:135" s="534" customFormat="1" ht="89.25" hidden="1" x14ac:dyDescent="0.3">
      <c r="D296" s="783">
        <v>293</v>
      </c>
      <c r="E296" s="799">
        <v>345</v>
      </c>
      <c r="F296" s="739" t="s">
        <v>201</v>
      </c>
      <c r="G296" s="739" t="s">
        <v>13</v>
      </c>
      <c r="H296" s="739" t="s">
        <v>142</v>
      </c>
      <c r="I296" s="676" t="s">
        <v>902</v>
      </c>
      <c r="J296" s="573" t="s">
        <v>903</v>
      </c>
      <c r="K296" s="573" t="s">
        <v>904</v>
      </c>
      <c r="L296" s="687" t="s">
        <v>2049</v>
      </c>
      <c r="M296" s="571" t="s">
        <v>2017</v>
      </c>
      <c r="N296" s="571">
        <v>0</v>
      </c>
      <c r="O296" s="570">
        <f t="shared" si="262"/>
        <v>1</v>
      </c>
      <c r="P296" s="569">
        <v>1</v>
      </c>
      <c r="Q296" s="628">
        <v>0.16500000000000001</v>
      </c>
      <c r="R296" s="580">
        <f t="shared" si="234"/>
        <v>0</v>
      </c>
      <c r="S296" s="627">
        <v>0</v>
      </c>
      <c r="T296" s="625">
        <f t="shared" si="220"/>
        <v>0</v>
      </c>
      <c r="U296" s="992">
        <v>0.2</v>
      </c>
      <c r="V296" s="626">
        <f t="shared" si="221"/>
        <v>0.2</v>
      </c>
      <c r="W296" s="594">
        <f t="shared" si="222"/>
        <v>0</v>
      </c>
      <c r="X296" s="594">
        <f t="shared" si="235"/>
        <v>0</v>
      </c>
      <c r="Y296" s="594">
        <f t="shared" si="259"/>
        <v>0</v>
      </c>
      <c r="Z296" s="594">
        <f t="shared" si="236"/>
        <v>100</v>
      </c>
      <c r="AA296" s="593">
        <v>0</v>
      </c>
      <c r="AB296" s="593">
        <v>0</v>
      </c>
      <c r="AC296" s="593">
        <v>0</v>
      </c>
      <c r="AD296" s="593">
        <v>0</v>
      </c>
      <c r="AE296" s="593">
        <v>0</v>
      </c>
      <c r="AF296" s="593">
        <v>0</v>
      </c>
      <c r="AG296" s="593">
        <v>0</v>
      </c>
      <c r="AH296" s="593">
        <v>0</v>
      </c>
      <c r="AI296" s="593">
        <v>0</v>
      </c>
      <c r="AJ296" s="593">
        <v>0</v>
      </c>
      <c r="AK296" s="593">
        <v>0</v>
      </c>
      <c r="AL296" s="593">
        <v>0</v>
      </c>
      <c r="AM296" s="593">
        <v>0</v>
      </c>
      <c r="AN296" s="593">
        <v>0</v>
      </c>
      <c r="AO296" s="593">
        <v>0</v>
      </c>
      <c r="AP296" s="593">
        <v>0</v>
      </c>
      <c r="AQ296" s="593">
        <v>0</v>
      </c>
      <c r="AR296" s="593">
        <v>0</v>
      </c>
      <c r="AS296" s="593">
        <v>0</v>
      </c>
      <c r="AT296" s="570">
        <f t="shared" si="237"/>
        <v>5.7749999999999996E-2</v>
      </c>
      <c r="AU296" s="571">
        <v>0.35</v>
      </c>
      <c r="AV296" s="625">
        <f t="shared" si="223"/>
        <v>0.35</v>
      </c>
      <c r="AW296" s="1003">
        <v>0.3</v>
      </c>
      <c r="AX296" s="604">
        <f t="shared" si="224"/>
        <v>0.3</v>
      </c>
      <c r="AY296" s="604">
        <f t="shared" si="225"/>
        <v>85.714285714285722</v>
      </c>
      <c r="AZ296" s="604">
        <f t="shared" si="238"/>
        <v>85.714285714285722</v>
      </c>
      <c r="BA296" s="592">
        <f t="shared" si="239"/>
        <v>4.9500000000000002E-2</v>
      </c>
      <c r="BB296" s="592">
        <f t="shared" si="240"/>
        <v>85.714285714285722</v>
      </c>
      <c r="BC296" s="591">
        <v>0</v>
      </c>
      <c r="BD296" s="591">
        <v>0</v>
      </c>
      <c r="BE296" s="591">
        <v>0</v>
      </c>
      <c r="BF296" s="591">
        <v>0</v>
      </c>
      <c r="BG296" s="591">
        <v>0</v>
      </c>
      <c r="BH296" s="591">
        <v>0</v>
      </c>
      <c r="BI296" s="591">
        <v>0</v>
      </c>
      <c r="BJ296" s="591">
        <v>0</v>
      </c>
      <c r="BK296" s="624">
        <v>0</v>
      </c>
      <c r="BL296" s="589">
        <v>0</v>
      </c>
      <c r="BM296" s="589">
        <v>0</v>
      </c>
      <c r="BN296" s="589">
        <v>0</v>
      </c>
      <c r="BO296" s="589">
        <v>0</v>
      </c>
      <c r="BP296" s="589">
        <v>0</v>
      </c>
      <c r="BQ296" s="589">
        <v>0</v>
      </c>
      <c r="BR296" s="589">
        <v>0</v>
      </c>
      <c r="BS296" s="589">
        <v>0</v>
      </c>
      <c r="BT296" s="589">
        <v>0</v>
      </c>
      <c r="BU296" s="589">
        <v>0</v>
      </c>
      <c r="BV296" s="588">
        <f t="shared" si="241"/>
        <v>8.2500000000000004E-2</v>
      </c>
      <c r="BW296" s="588">
        <v>0.5</v>
      </c>
      <c r="BX296" s="623">
        <f t="shared" si="226"/>
        <v>0.5</v>
      </c>
      <c r="BY296" s="640">
        <v>1</v>
      </c>
      <c r="BZ296" s="656">
        <v>0.45</v>
      </c>
      <c r="CA296" s="1019">
        <v>0.5</v>
      </c>
      <c r="CB296" s="557">
        <f t="shared" si="227"/>
        <v>0.5</v>
      </c>
      <c r="CC296" s="557">
        <f t="shared" si="228"/>
        <v>100</v>
      </c>
      <c r="CD296" s="622">
        <f t="shared" si="242"/>
        <v>100</v>
      </c>
      <c r="CE296" s="621">
        <f t="shared" si="243"/>
        <v>8.2500000000000004E-2</v>
      </c>
      <c r="CF296" s="605">
        <f t="shared" si="244"/>
        <v>100</v>
      </c>
      <c r="CG296" s="621">
        <f t="shared" si="245"/>
        <v>8.2500000000000004E-2</v>
      </c>
      <c r="CH296" s="553">
        <f t="shared" si="246"/>
        <v>2.4750000000000001E-2</v>
      </c>
      <c r="CI296" s="552">
        <v>0.15</v>
      </c>
      <c r="CJ296" s="551">
        <f t="shared" si="229"/>
        <v>0.15</v>
      </c>
      <c r="CK296" s="871">
        <v>0</v>
      </c>
      <c r="CL296" s="533">
        <f t="shared" si="230"/>
        <v>0.15</v>
      </c>
      <c r="CM296" s="619">
        <f t="shared" si="231"/>
        <v>0</v>
      </c>
      <c r="CN296" s="619">
        <f t="shared" si="232"/>
        <v>0</v>
      </c>
      <c r="CO296" s="549">
        <f t="shared" si="247"/>
        <v>0</v>
      </c>
      <c r="CP296" s="619">
        <f t="shared" si="248"/>
        <v>0</v>
      </c>
      <c r="CQ296" s="619">
        <f t="shared" si="249"/>
        <v>0</v>
      </c>
      <c r="CR296" s="546">
        <v>0</v>
      </c>
      <c r="CS296" s="546">
        <v>0</v>
      </c>
      <c r="CT296" s="546">
        <v>0</v>
      </c>
      <c r="CU296" s="546">
        <v>0</v>
      </c>
      <c r="CV296" s="546">
        <v>0</v>
      </c>
      <c r="CW296" s="546">
        <v>0</v>
      </c>
      <c r="CX296" s="546">
        <v>0</v>
      </c>
      <c r="CY296" s="546">
        <v>0</v>
      </c>
      <c r="CZ296" s="618">
        <v>0</v>
      </c>
      <c r="DA296" s="618">
        <v>0</v>
      </c>
      <c r="DB296" s="618">
        <v>0</v>
      </c>
      <c r="DC296" s="618">
        <v>0</v>
      </c>
      <c r="DD296" s="618">
        <v>0</v>
      </c>
      <c r="DE296" s="618">
        <v>0</v>
      </c>
      <c r="DF296" s="618">
        <v>0</v>
      </c>
      <c r="DG296" s="618">
        <v>0</v>
      </c>
      <c r="DH296" s="618">
        <v>0</v>
      </c>
      <c r="DI296" s="618">
        <v>0</v>
      </c>
      <c r="DJ296" s="618">
        <v>0</v>
      </c>
      <c r="DK296" s="1034">
        <f t="shared" si="233"/>
        <v>1</v>
      </c>
      <c r="DL296" s="543">
        <f t="shared" si="250"/>
        <v>0.16499999999999998</v>
      </c>
      <c r="DM296" s="542">
        <f t="shared" si="251"/>
        <v>100</v>
      </c>
      <c r="DN296" s="594">
        <f t="shared" si="252"/>
        <v>100</v>
      </c>
      <c r="DO296" s="540">
        <f t="shared" si="253"/>
        <v>0.16500000000000001</v>
      </c>
      <c r="DP296" s="597">
        <f t="shared" si="263"/>
        <v>0.16500000000000001</v>
      </c>
      <c r="DQ296" s="538">
        <f t="shared" si="254"/>
        <v>0.16500000000000001</v>
      </c>
      <c r="DR296" s="617">
        <f t="shared" si="255"/>
        <v>1</v>
      </c>
      <c r="DS296" s="616">
        <f t="shared" si="256"/>
        <v>0</v>
      </c>
      <c r="DT296" s="259">
        <v>334</v>
      </c>
      <c r="DU296" s="260" t="s">
        <v>273</v>
      </c>
      <c r="DV296" s="259"/>
      <c r="DW296" s="260" t="s">
        <v>242</v>
      </c>
      <c r="DX296" s="259"/>
      <c r="DY296" s="259"/>
      <c r="DZ296" s="259"/>
      <c r="EA296" s="987"/>
      <c r="EB296" s="1041" t="s">
        <v>2627</v>
      </c>
      <c r="EC296" s="802">
        <v>100000000</v>
      </c>
      <c r="EE296" s="1047"/>
    </row>
    <row r="297" spans="4:135" s="534" customFormat="1" ht="76.5" hidden="1" x14ac:dyDescent="0.3">
      <c r="D297" s="783">
        <v>294</v>
      </c>
      <c r="E297" s="799">
        <v>346</v>
      </c>
      <c r="F297" s="739" t="s">
        <v>201</v>
      </c>
      <c r="G297" s="739" t="s">
        <v>13</v>
      </c>
      <c r="H297" s="739" t="s">
        <v>142</v>
      </c>
      <c r="I297" s="676" t="s">
        <v>902</v>
      </c>
      <c r="J297" s="573" t="s">
        <v>905</v>
      </c>
      <c r="K297" s="573" t="s">
        <v>906</v>
      </c>
      <c r="L297" s="687" t="s">
        <v>2153</v>
      </c>
      <c r="M297" s="571" t="s">
        <v>2017</v>
      </c>
      <c r="N297" s="571">
        <v>0</v>
      </c>
      <c r="O297" s="570">
        <f t="shared" si="262"/>
        <v>116</v>
      </c>
      <c r="P297" s="569">
        <v>116</v>
      </c>
      <c r="Q297" s="628">
        <v>0.16500000000000001</v>
      </c>
      <c r="R297" s="580">
        <f t="shared" si="234"/>
        <v>0</v>
      </c>
      <c r="S297" s="627">
        <v>0</v>
      </c>
      <c r="T297" s="625">
        <f t="shared" si="220"/>
        <v>0</v>
      </c>
      <c r="U297" s="992">
        <v>1</v>
      </c>
      <c r="V297" s="626">
        <f t="shared" si="221"/>
        <v>1</v>
      </c>
      <c r="W297" s="594">
        <f t="shared" si="222"/>
        <v>0</v>
      </c>
      <c r="X297" s="594">
        <f t="shared" si="235"/>
        <v>0</v>
      </c>
      <c r="Y297" s="594">
        <f t="shared" si="259"/>
        <v>0</v>
      </c>
      <c r="Z297" s="594">
        <f t="shared" si="236"/>
        <v>100</v>
      </c>
      <c r="AA297" s="593">
        <v>0</v>
      </c>
      <c r="AB297" s="593">
        <v>0</v>
      </c>
      <c r="AC297" s="593">
        <v>0</v>
      </c>
      <c r="AD297" s="593">
        <v>0</v>
      </c>
      <c r="AE297" s="593">
        <v>0</v>
      </c>
      <c r="AF297" s="593">
        <v>0</v>
      </c>
      <c r="AG297" s="593">
        <v>0</v>
      </c>
      <c r="AH297" s="593">
        <v>0</v>
      </c>
      <c r="AI297" s="593">
        <v>0</v>
      </c>
      <c r="AJ297" s="593">
        <v>0</v>
      </c>
      <c r="AK297" s="593">
        <v>0</v>
      </c>
      <c r="AL297" s="593">
        <v>0</v>
      </c>
      <c r="AM297" s="593">
        <v>0</v>
      </c>
      <c r="AN297" s="593">
        <v>0</v>
      </c>
      <c r="AO297" s="593">
        <v>0</v>
      </c>
      <c r="AP297" s="593">
        <v>0</v>
      </c>
      <c r="AQ297" s="593">
        <v>0</v>
      </c>
      <c r="AR297" s="593">
        <v>0</v>
      </c>
      <c r="AS297" s="593">
        <v>0</v>
      </c>
      <c r="AT297" s="570">
        <f t="shared" si="237"/>
        <v>8.2500000000000004E-2</v>
      </c>
      <c r="AU297" s="571">
        <v>58</v>
      </c>
      <c r="AV297" s="625">
        <f t="shared" si="223"/>
        <v>0.5</v>
      </c>
      <c r="AW297" s="1003">
        <v>58</v>
      </c>
      <c r="AX297" s="604">
        <f t="shared" si="224"/>
        <v>58</v>
      </c>
      <c r="AY297" s="604">
        <f t="shared" si="225"/>
        <v>100</v>
      </c>
      <c r="AZ297" s="604">
        <f t="shared" si="238"/>
        <v>100</v>
      </c>
      <c r="BA297" s="592">
        <f t="shared" si="239"/>
        <v>8.2500000000000004E-2</v>
      </c>
      <c r="BB297" s="592">
        <f t="shared" si="240"/>
        <v>100</v>
      </c>
      <c r="BC297" s="591">
        <v>20000000</v>
      </c>
      <c r="BD297" s="591">
        <v>0</v>
      </c>
      <c r="BE297" s="591">
        <v>20000000</v>
      </c>
      <c r="BF297" s="591">
        <v>0</v>
      </c>
      <c r="BG297" s="591">
        <v>0</v>
      </c>
      <c r="BH297" s="591">
        <v>0</v>
      </c>
      <c r="BI297" s="591">
        <v>0</v>
      </c>
      <c r="BJ297" s="591">
        <v>0</v>
      </c>
      <c r="BK297" s="624">
        <v>20000000</v>
      </c>
      <c r="BL297" s="589">
        <v>20000000</v>
      </c>
      <c r="BM297" s="589">
        <v>0</v>
      </c>
      <c r="BN297" s="589">
        <v>0</v>
      </c>
      <c r="BO297" s="589">
        <v>0</v>
      </c>
      <c r="BP297" s="589">
        <v>0</v>
      </c>
      <c r="BQ297" s="589">
        <v>0</v>
      </c>
      <c r="BR297" s="589">
        <v>0</v>
      </c>
      <c r="BS297" s="589">
        <v>0</v>
      </c>
      <c r="BT297" s="589">
        <v>30000000</v>
      </c>
      <c r="BU297" s="589" t="s">
        <v>2189</v>
      </c>
      <c r="BV297" s="588">
        <f t="shared" si="241"/>
        <v>8.2500000000000004E-2</v>
      </c>
      <c r="BW297" s="588">
        <v>58</v>
      </c>
      <c r="BX297" s="623">
        <f t="shared" si="226"/>
        <v>0.5</v>
      </c>
      <c r="BY297" s="633">
        <v>58</v>
      </c>
      <c r="BZ297" s="641">
        <v>57</v>
      </c>
      <c r="CA297" s="1019">
        <v>57</v>
      </c>
      <c r="CB297" s="557">
        <f t="shared" si="227"/>
        <v>57</v>
      </c>
      <c r="CC297" s="557">
        <f t="shared" si="228"/>
        <v>98.275862068965523</v>
      </c>
      <c r="CD297" s="622">
        <f t="shared" si="242"/>
        <v>98.275862068965523</v>
      </c>
      <c r="CE297" s="621">
        <f t="shared" si="243"/>
        <v>8.1077586206896562E-2</v>
      </c>
      <c r="CF297" s="605">
        <f t="shared" si="244"/>
        <v>98.275862068965523</v>
      </c>
      <c r="CG297" s="621">
        <f t="shared" si="245"/>
        <v>8.1077586206896562E-2</v>
      </c>
      <c r="CH297" s="553">
        <f t="shared" si="246"/>
        <v>0</v>
      </c>
      <c r="CI297" s="552">
        <v>0</v>
      </c>
      <c r="CJ297" s="551">
        <f t="shared" si="229"/>
        <v>0</v>
      </c>
      <c r="CK297" s="871">
        <v>5</v>
      </c>
      <c r="CL297" s="533">
        <f t="shared" si="230"/>
        <v>-5</v>
      </c>
      <c r="CM297" s="619">
        <f t="shared" si="231"/>
        <v>5</v>
      </c>
      <c r="CN297" s="619">
        <f t="shared" si="232"/>
        <v>0</v>
      </c>
      <c r="CO297" s="549">
        <f t="shared" si="247"/>
        <v>0</v>
      </c>
      <c r="CP297" s="619">
        <f t="shared" si="248"/>
        <v>0</v>
      </c>
      <c r="CQ297" s="619">
        <f t="shared" si="249"/>
        <v>0</v>
      </c>
      <c r="CR297" s="546">
        <v>0</v>
      </c>
      <c r="CS297" s="546">
        <v>0</v>
      </c>
      <c r="CT297" s="546">
        <v>0</v>
      </c>
      <c r="CU297" s="546">
        <v>0</v>
      </c>
      <c r="CV297" s="546">
        <v>0</v>
      </c>
      <c r="CW297" s="546">
        <v>0</v>
      </c>
      <c r="CX297" s="546">
        <v>0</v>
      </c>
      <c r="CY297" s="546">
        <v>0</v>
      </c>
      <c r="CZ297" s="618">
        <v>0</v>
      </c>
      <c r="DA297" s="618">
        <v>0</v>
      </c>
      <c r="DB297" s="618">
        <v>0</v>
      </c>
      <c r="DC297" s="618">
        <v>0</v>
      </c>
      <c r="DD297" s="618">
        <v>0</v>
      </c>
      <c r="DE297" s="618">
        <v>0</v>
      </c>
      <c r="DF297" s="618">
        <v>0</v>
      </c>
      <c r="DG297" s="618">
        <v>0</v>
      </c>
      <c r="DH297" s="618">
        <v>0</v>
      </c>
      <c r="DI297" s="618">
        <v>0</v>
      </c>
      <c r="DJ297" s="618">
        <v>0</v>
      </c>
      <c r="DK297" s="1034">
        <f t="shared" si="233"/>
        <v>121</v>
      </c>
      <c r="DL297" s="543">
        <f t="shared" si="250"/>
        <v>0.16500000000000001</v>
      </c>
      <c r="DM297" s="542">
        <f t="shared" si="251"/>
        <v>104.31034482758621</v>
      </c>
      <c r="DN297" s="594">
        <f t="shared" si="252"/>
        <v>100</v>
      </c>
      <c r="DO297" s="540">
        <f t="shared" si="253"/>
        <v>0.16500000000000001</v>
      </c>
      <c r="DP297" s="597">
        <f t="shared" si="263"/>
        <v>0.16500000000000001</v>
      </c>
      <c r="DQ297" s="538">
        <f t="shared" si="254"/>
        <v>0.16500000000000001</v>
      </c>
      <c r="DR297" s="617">
        <f t="shared" si="255"/>
        <v>1</v>
      </c>
      <c r="DS297" s="616">
        <f t="shared" si="256"/>
        <v>0</v>
      </c>
      <c r="DT297" s="259">
        <v>335</v>
      </c>
      <c r="DU297" s="260" t="s">
        <v>272</v>
      </c>
      <c r="DV297" s="259"/>
      <c r="DW297" s="260" t="s">
        <v>242</v>
      </c>
      <c r="DX297" s="259"/>
      <c r="DY297" s="259"/>
      <c r="DZ297" s="259"/>
      <c r="EA297" s="987"/>
      <c r="EB297" s="1041" t="s">
        <v>2628</v>
      </c>
      <c r="EC297" s="802">
        <v>100000000</v>
      </c>
      <c r="EE297" s="1047"/>
    </row>
    <row r="298" spans="4:135" s="534" customFormat="1" ht="102" hidden="1" x14ac:dyDescent="0.3">
      <c r="D298" s="783">
        <v>295</v>
      </c>
      <c r="E298" s="799">
        <v>349</v>
      </c>
      <c r="F298" s="739" t="s">
        <v>201</v>
      </c>
      <c r="G298" s="739" t="s">
        <v>240</v>
      </c>
      <c r="H298" s="739" t="s">
        <v>143</v>
      </c>
      <c r="I298" s="676" t="s">
        <v>907</v>
      </c>
      <c r="J298" s="573" t="s">
        <v>908</v>
      </c>
      <c r="K298" s="573" t="s">
        <v>909</v>
      </c>
      <c r="L298" s="693" t="s">
        <v>1682</v>
      </c>
      <c r="M298" s="571" t="s">
        <v>2017</v>
      </c>
      <c r="N298" s="571">
        <v>1625582</v>
      </c>
      <c r="O298" s="570">
        <f t="shared" si="262"/>
        <v>1827582</v>
      </c>
      <c r="P298" s="569">
        <v>202000</v>
      </c>
      <c r="Q298" s="628">
        <v>0.33</v>
      </c>
      <c r="R298" s="580">
        <f t="shared" si="234"/>
        <v>0</v>
      </c>
      <c r="S298" s="627">
        <v>0</v>
      </c>
      <c r="T298" s="625">
        <f t="shared" si="220"/>
        <v>0</v>
      </c>
      <c r="U298" s="992">
        <v>0</v>
      </c>
      <c r="V298" s="626">
        <f t="shared" si="221"/>
        <v>0</v>
      </c>
      <c r="W298" s="594">
        <f t="shared" si="222"/>
        <v>0</v>
      </c>
      <c r="X298" s="594">
        <f t="shared" si="235"/>
        <v>0</v>
      </c>
      <c r="Y298" s="594">
        <f t="shared" si="259"/>
        <v>0</v>
      </c>
      <c r="Z298" s="594">
        <f t="shared" si="236"/>
        <v>0</v>
      </c>
      <c r="AA298" s="593">
        <v>3943000000</v>
      </c>
      <c r="AB298" s="593">
        <v>853000000</v>
      </c>
      <c r="AC298" s="593">
        <v>667000000</v>
      </c>
      <c r="AD298" s="593">
        <v>0</v>
      </c>
      <c r="AE298" s="593">
        <v>0</v>
      </c>
      <c r="AF298" s="593">
        <v>2423000000</v>
      </c>
      <c r="AG298" s="593">
        <v>0</v>
      </c>
      <c r="AH298" s="593">
        <v>0</v>
      </c>
      <c r="AI298" s="593">
        <v>61757879000</v>
      </c>
      <c r="AJ298" s="593">
        <v>4233765000</v>
      </c>
      <c r="AK298" s="593">
        <v>2975585000</v>
      </c>
      <c r="AL298" s="593">
        <v>53756301000</v>
      </c>
      <c r="AM298" s="593">
        <v>0</v>
      </c>
      <c r="AN298" s="593">
        <v>792228000</v>
      </c>
      <c r="AO298" s="593">
        <v>0</v>
      </c>
      <c r="AP298" s="593">
        <v>0</v>
      </c>
      <c r="AQ298" s="593">
        <v>0</v>
      </c>
      <c r="AR298" s="593">
        <v>0</v>
      </c>
      <c r="AS298" s="593">
        <v>0</v>
      </c>
      <c r="AT298" s="630">
        <f t="shared" si="237"/>
        <v>0.16336633663366337</v>
      </c>
      <c r="AU298" s="571">
        <v>100000</v>
      </c>
      <c r="AV298" s="625">
        <f t="shared" si="223"/>
        <v>0.49504950495049505</v>
      </c>
      <c r="AW298" s="1003">
        <v>100896</v>
      </c>
      <c r="AX298" s="604">
        <f t="shared" si="224"/>
        <v>100896</v>
      </c>
      <c r="AY298" s="604">
        <f t="shared" si="225"/>
        <v>100.896</v>
      </c>
      <c r="AZ298" s="604">
        <f t="shared" si="238"/>
        <v>100</v>
      </c>
      <c r="BA298" s="592">
        <f t="shared" si="239"/>
        <v>0.1633663366336634</v>
      </c>
      <c r="BB298" s="592">
        <f t="shared" si="240"/>
        <v>100</v>
      </c>
      <c r="BC298" s="591">
        <v>12584000000</v>
      </c>
      <c r="BD298" s="591">
        <v>3880000000</v>
      </c>
      <c r="BE298" s="591">
        <v>5494000000</v>
      </c>
      <c r="BF298" s="591">
        <v>0</v>
      </c>
      <c r="BG298" s="591">
        <v>0</v>
      </c>
      <c r="BH298" s="591">
        <v>0</v>
      </c>
      <c r="BI298" s="591">
        <v>0</v>
      </c>
      <c r="BJ298" s="591">
        <v>3210000000</v>
      </c>
      <c r="BK298" s="624">
        <v>21588030855</v>
      </c>
      <c r="BL298" s="589">
        <v>17000000000</v>
      </c>
      <c r="BM298" s="589">
        <v>3460668100</v>
      </c>
      <c r="BN298" s="589">
        <v>0</v>
      </c>
      <c r="BO298" s="589">
        <v>0</v>
      </c>
      <c r="BP298" s="589">
        <v>1127362755</v>
      </c>
      <c r="BQ298" s="589">
        <v>0</v>
      </c>
      <c r="BR298" s="589">
        <v>0</v>
      </c>
      <c r="BS298" s="589">
        <v>0</v>
      </c>
      <c r="BT298" s="589">
        <v>5143248566</v>
      </c>
      <c r="BU298" s="589">
        <v>0</v>
      </c>
      <c r="BV298" s="588">
        <f t="shared" si="241"/>
        <v>8.9503514851485153E-2</v>
      </c>
      <c r="BW298" s="588">
        <v>54787</v>
      </c>
      <c r="BX298" s="623">
        <f t="shared" si="226"/>
        <v>0.27122277227722774</v>
      </c>
      <c r="BY298" s="587">
        <v>32054</v>
      </c>
      <c r="BZ298" s="645">
        <v>50653</v>
      </c>
      <c r="CA298" s="1017">
        <v>54443</v>
      </c>
      <c r="CB298" s="557">
        <f t="shared" si="227"/>
        <v>54443</v>
      </c>
      <c r="CC298" s="557">
        <f t="shared" si="228"/>
        <v>99.372113822622154</v>
      </c>
      <c r="CD298" s="622">
        <f t="shared" si="242"/>
        <v>99.372113822622154</v>
      </c>
      <c r="CE298" s="621">
        <f t="shared" si="243"/>
        <v>8.8941534653465354E-2</v>
      </c>
      <c r="CF298" s="605">
        <f t="shared" si="244"/>
        <v>99.372113822622154</v>
      </c>
      <c r="CG298" s="621">
        <f t="shared" si="245"/>
        <v>8.8941534653465354E-2</v>
      </c>
      <c r="CH298" s="553">
        <f t="shared" si="246"/>
        <v>7.713014851485149E-2</v>
      </c>
      <c r="CI298" s="552">
        <v>47213</v>
      </c>
      <c r="CJ298" s="551">
        <f t="shared" si="229"/>
        <v>0.23372772277227724</v>
      </c>
      <c r="CK298" s="871">
        <v>24503</v>
      </c>
      <c r="CL298" s="533">
        <f t="shared" si="230"/>
        <v>22710</v>
      </c>
      <c r="CM298" s="619">
        <f t="shared" si="231"/>
        <v>24503</v>
      </c>
      <c r="CN298" s="619">
        <f t="shared" si="232"/>
        <v>51.898841420795122</v>
      </c>
      <c r="CO298" s="549">
        <f t="shared" si="247"/>
        <v>51.898841420795122</v>
      </c>
      <c r="CP298" s="619">
        <f t="shared" si="248"/>
        <v>4.0029653465346537E-2</v>
      </c>
      <c r="CQ298" s="619">
        <f t="shared" si="249"/>
        <v>4.0029653465346537E-2</v>
      </c>
      <c r="CR298" s="546">
        <v>20004000000</v>
      </c>
      <c r="CS298" s="546">
        <v>12678000</v>
      </c>
      <c r="CT298" s="546">
        <v>4116000000</v>
      </c>
      <c r="CU298" s="546">
        <v>0</v>
      </c>
      <c r="CV298" s="546">
        <v>0</v>
      </c>
      <c r="CW298" s="546">
        <v>0</v>
      </c>
      <c r="CX298" s="546">
        <v>0</v>
      </c>
      <c r="CY298" s="546">
        <v>3210000000</v>
      </c>
      <c r="CZ298" s="618">
        <v>0</v>
      </c>
      <c r="DA298" s="618">
        <v>0</v>
      </c>
      <c r="DB298" s="618">
        <v>0</v>
      </c>
      <c r="DC298" s="618">
        <v>0</v>
      </c>
      <c r="DD298" s="618">
        <v>0</v>
      </c>
      <c r="DE298" s="618">
        <v>0</v>
      </c>
      <c r="DF298" s="618">
        <v>0</v>
      </c>
      <c r="DG298" s="618">
        <v>0</v>
      </c>
      <c r="DH298" s="618">
        <v>0</v>
      </c>
      <c r="DI298" s="618">
        <v>0</v>
      </c>
      <c r="DJ298" s="618">
        <v>0</v>
      </c>
      <c r="DK298" s="1034">
        <f t="shared" si="233"/>
        <v>179842</v>
      </c>
      <c r="DL298" s="543">
        <f t="shared" si="250"/>
        <v>0.33</v>
      </c>
      <c r="DM298" s="542">
        <f t="shared" si="251"/>
        <v>89.030693069306935</v>
      </c>
      <c r="DN298" s="594">
        <f t="shared" si="252"/>
        <v>89.030693069306935</v>
      </c>
      <c r="DO298" s="540">
        <f t="shared" si="253"/>
        <v>0.2938012871287129</v>
      </c>
      <c r="DP298" s="597">
        <f t="shared" si="263"/>
        <v>0.2938012871287129</v>
      </c>
      <c r="DQ298" s="538">
        <f t="shared" si="254"/>
        <v>0.2938012871287129</v>
      </c>
      <c r="DR298" s="617">
        <f t="shared" si="255"/>
        <v>1</v>
      </c>
      <c r="DS298" s="616">
        <f t="shared" si="256"/>
        <v>0</v>
      </c>
      <c r="DT298" s="259">
        <v>347</v>
      </c>
      <c r="DU298" s="260" t="s">
        <v>271</v>
      </c>
      <c r="DV298" s="259"/>
      <c r="DW298" s="260" t="s">
        <v>242</v>
      </c>
      <c r="DX298" s="259"/>
      <c r="DY298" s="259"/>
      <c r="DZ298" s="259"/>
      <c r="EA298" s="987"/>
      <c r="EB298" s="1041" t="s">
        <v>2629</v>
      </c>
      <c r="EC298" s="802">
        <v>19885000000</v>
      </c>
      <c r="EE298" s="1047"/>
    </row>
    <row r="299" spans="4:135" s="534" customFormat="1" ht="60" hidden="1" x14ac:dyDescent="0.3">
      <c r="D299" s="783">
        <v>296</v>
      </c>
      <c r="E299" s="799">
        <v>350</v>
      </c>
      <c r="F299" s="739" t="s">
        <v>201</v>
      </c>
      <c r="G299" s="739" t="s">
        <v>240</v>
      </c>
      <c r="H299" s="739" t="s">
        <v>143</v>
      </c>
      <c r="I299" s="676" t="s">
        <v>907</v>
      </c>
      <c r="J299" s="573" t="s">
        <v>910</v>
      </c>
      <c r="K299" s="573" t="s">
        <v>911</v>
      </c>
      <c r="L299" s="687" t="s">
        <v>1682</v>
      </c>
      <c r="M299" s="571" t="s">
        <v>2017</v>
      </c>
      <c r="N299" s="571">
        <v>1139202</v>
      </c>
      <c r="O299" s="570">
        <f t="shared" si="262"/>
        <v>1289202</v>
      </c>
      <c r="P299" s="569">
        <v>150000</v>
      </c>
      <c r="Q299" s="628">
        <v>0.25</v>
      </c>
      <c r="R299" s="580">
        <f t="shared" si="234"/>
        <v>3.3333333333333335E-3</v>
      </c>
      <c r="S299" s="627">
        <v>2000</v>
      </c>
      <c r="T299" s="625">
        <f t="shared" si="220"/>
        <v>1.3333333333333334E-2</v>
      </c>
      <c r="U299" s="992">
        <v>9787</v>
      </c>
      <c r="V299" s="626">
        <f t="shared" si="221"/>
        <v>9787</v>
      </c>
      <c r="W299" s="594">
        <f t="shared" si="222"/>
        <v>489.35</v>
      </c>
      <c r="X299" s="594">
        <f t="shared" si="235"/>
        <v>100</v>
      </c>
      <c r="Y299" s="594">
        <f t="shared" si="259"/>
        <v>3.3333333333333335E-3</v>
      </c>
      <c r="Z299" s="594">
        <f t="shared" si="236"/>
        <v>100</v>
      </c>
      <c r="AA299" s="593">
        <v>0</v>
      </c>
      <c r="AB299" s="593">
        <v>0</v>
      </c>
      <c r="AC299" s="593">
        <v>0</v>
      </c>
      <c r="AD299" s="593">
        <v>0</v>
      </c>
      <c r="AE299" s="593">
        <v>0</v>
      </c>
      <c r="AF299" s="593">
        <v>0</v>
      </c>
      <c r="AG299" s="593">
        <v>0</v>
      </c>
      <c r="AH299" s="593">
        <v>0</v>
      </c>
      <c r="AI299" s="593">
        <v>16284686000</v>
      </c>
      <c r="AJ299" s="593">
        <v>12323304000</v>
      </c>
      <c r="AK299" s="593">
        <v>737814000</v>
      </c>
      <c r="AL299" s="593">
        <v>3223568000</v>
      </c>
      <c r="AM299" s="593">
        <v>0</v>
      </c>
      <c r="AN299" s="593">
        <v>0</v>
      </c>
      <c r="AO299" s="593">
        <v>0</v>
      </c>
      <c r="AP299" s="593">
        <v>0</v>
      </c>
      <c r="AQ299" s="593">
        <v>0</v>
      </c>
      <c r="AR299" s="593">
        <v>0</v>
      </c>
      <c r="AS299" s="593">
        <v>0</v>
      </c>
      <c r="AT299" s="570">
        <f t="shared" si="237"/>
        <v>1.3333333333333334E-2</v>
      </c>
      <c r="AU299" s="571">
        <v>8000</v>
      </c>
      <c r="AV299" s="625">
        <f t="shared" si="223"/>
        <v>5.3333333333333337E-2</v>
      </c>
      <c r="AW299" s="1003">
        <v>23180</v>
      </c>
      <c r="AX299" s="604">
        <f t="shared" si="224"/>
        <v>23180</v>
      </c>
      <c r="AY299" s="604">
        <f t="shared" si="225"/>
        <v>289.75</v>
      </c>
      <c r="AZ299" s="604">
        <f t="shared" si="238"/>
        <v>100</v>
      </c>
      <c r="BA299" s="592">
        <f t="shared" si="239"/>
        <v>1.3333333333333334E-2</v>
      </c>
      <c r="BB299" s="592">
        <f t="shared" si="240"/>
        <v>100</v>
      </c>
      <c r="BC299" s="591">
        <v>3812000000</v>
      </c>
      <c r="BD299" s="591">
        <v>0</v>
      </c>
      <c r="BE299" s="591">
        <v>2590000000</v>
      </c>
      <c r="BF299" s="591">
        <v>0</v>
      </c>
      <c r="BG299" s="591">
        <v>0</v>
      </c>
      <c r="BH299" s="591">
        <v>0</v>
      </c>
      <c r="BI299" s="591">
        <v>0</v>
      </c>
      <c r="BJ299" s="591">
        <v>1222000000</v>
      </c>
      <c r="BK299" s="624">
        <v>12748298587</v>
      </c>
      <c r="BL299" s="589">
        <v>9000000000</v>
      </c>
      <c r="BM299" s="589">
        <v>1445431077</v>
      </c>
      <c r="BN299" s="589">
        <v>0</v>
      </c>
      <c r="BO299" s="589">
        <v>0</v>
      </c>
      <c r="BP299" s="589">
        <v>2302867510</v>
      </c>
      <c r="BQ299" s="589">
        <v>0</v>
      </c>
      <c r="BR299" s="589">
        <v>0</v>
      </c>
      <c r="BS299" s="589">
        <v>0</v>
      </c>
      <c r="BT299" s="589">
        <v>6414533527</v>
      </c>
      <c r="BU299" s="589">
        <v>0</v>
      </c>
      <c r="BV299" s="588">
        <f t="shared" si="241"/>
        <v>0.1</v>
      </c>
      <c r="BW299" s="588">
        <v>60000</v>
      </c>
      <c r="BX299" s="623">
        <f t="shared" si="226"/>
        <v>0.4</v>
      </c>
      <c r="BY299" s="640">
        <v>15200</v>
      </c>
      <c r="BZ299" s="656">
        <v>1</v>
      </c>
      <c r="CA299" s="1019">
        <v>29679</v>
      </c>
      <c r="CB299" s="557">
        <f t="shared" si="227"/>
        <v>29679</v>
      </c>
      <c r="CC299" s="557">
        <f t="shared" si="228"/>
        <v>49.465000000000003</v>
      </c>
      <c r="CD299" s="622">
        <f t="shared" si="242"/>
        <v>49.465000000000003</v>
      </c>
      <c r="CE299" s="621">
        <f t="shared" si="243"/>
        <v>4.9465000000000002E-2</v>
      </c>
      <c r="CF299" s="605">
        <f t="shared" si="244"/>
        <v>49.465000000000003</v>
      </c>
      <c r="CG299" s="621">
        <f t="shared" si="245"/>
        <v>4.9465000000000002E-2</v>
      </c>
      <c r="CH299" s="553">
        <f t="shared" si="246"/>
        <v>0.13333333333333333</v>
      </c>
      <c r="CI299" s="552">
        <v>80000</v>
      </c>
      <c r="CJ299" s="551">
        <f t="shared" si="229"/>
        <v>0.53333333333333333</v>
      </c>
      <c r="CK299" s="871">
        <v>16604</v>
      </c>
      <c r="CL299" s="533">
        <f t="shared" si="230"/>
        <v>63396</v>
      </c>
      <c r="CM299" s="619">
        <f t="shared" si="231"/>
        <v>16604</v>
      </c>
      <c r="CN299" s="619">
        <f t="shared" si="232"/>
        <v>20.754999999999999</v>
      </c>
      <c r="CO299" s="549">
        <f t="shared" si="247"/>
        <v>20.754999999999999</v>
      </c>
      <c r="CP299" s="619">
        <f t="shared" si="248"/>
        <v>2.7673333333333331E-2</v>
      </c>
      <c r="CQ299" s="619">
        <f t="shared" si="249"/>
        <v>2.7673333333333331E-2</v>
      </c>
      <c r="CR299" s="546">
        <v>7200000000</v>
      </c>
      <c r="CS299" s="546">
        <v>5976000000</v>
      </c>
      <c r="CT299" s="546">
        <v>0</v>
      </c>
      <c r="CU299" s="546">
        <v>0</v>
      </c>
      <c r="CV299" s="546">
        <v>0</v>
      </c>
      <c r="CW299" s="546">
        <v>0</v>
      </c>
      <c r="CX299" s="546">
        <v>0</v>
      </c>
      <c r="CY299" s="546">
        <v>1224000000</v>
      </c>
      <c r="CZ299" s="618">
        <v>0</v>
      </c>
      <c r="DA299" s="618">
        <v>0</v>
      </c>
      <c r="DB299" s="618">
        <v>0</v>
      </c>
      <c r="DC299" s="618">
        <v>0</v>
      </c>
      <c r="DD299" s="618">
        <v>0</v>
      </c>
      <c r="DE299" s="618">
        <v>0</v>
      </c>
      <c r="DF299" s="618">
        <v>0</v>
      </c>
      <c r="DG299" s="618">
        <v>0</v>
      </c>
      <c r="DH299" s="618">
        <v>0</v>
      </c>
      <c r="DI299" s="618">
        <v>0</v>
      </c>
      <c r="DJ299" s="618">
        <v>0</v>
      </c>
      <c r="DK299" s="1034">
        <f t="shared" si="233"/>
        <v>79250</v>
      </c>
      <c r="DL299" s="543">
        <f t="shared" si="250"/>
        <v>0.25</v>
      </c>
      <c r="DM299" s="542">
        <f t="shared" si="251"/>
        <v>52.833333333333336</v>
      </c>
      <c r="DN299" s="594">
        <f t="shared" si="252"/>
        <v>52.833333333333336</v>
      </c>
      <c r="DO299" s="540">
        <f t="shared" si="253"/>
        <v>0.13208333333333333</v>
      </c>
      <c r="DP299" s="597">
        <f t="shared" si="263"/>
        <v>0.13208333333333333</v>
      </c>
      <c r="DQ299" s="538">
        <f t="shared" si="254"/>
        <v>0.13208333333333333</v>
      </c>
      <c r="DR299" s="617">
        <f t="shared" si="255"/>
        <v>1</v>
      </c>
      <c r="DS299" s="616">
        <f t="shared" si="256"/>
        <v>0</v>
      </c>
      <c r="DT299" s="259">
        <v>348</v>
      </c>
      <c r="DU299" s="260" t="s">
        <v>270</v>
      </c>
      <c r="DV299" s="259"/>
      <c r="DW299" s="260" t="s">
        <v>242</v>
      </c>
      <c r="DX299" s="259"/>
      <c r="DY299" s="259"/>
      <c r="DZ299" s="259"/>
      <c r="EA299" s="987"/>
      <c r="EB299" s="1041" t="s">
        <v>2630</v>
      </c>
      <c r="EC299" s="802">
        <v>7198000000</v>
      </c>
      <c r="EE299" s="1047"/>
    </row>
    <row r="300" spans="4:135" s="534" customFormat="1" ht="63.75" hidden="1" x14ac:dyDescent="0.3">
      <c r="D300" s="783">
        <v>297</v>
      </c>
      <c r="E300" s="799">
        <v>351</v>
      </c>
      <c r="F300" s="574" t="s">
        <v>201</v>
      </c>
      <c r="G300" s="574" t="s">
        <v>240</v>
      </c>
      <c r="H300" s="574" t="s">
        <v>143</v>
      </c>
      <c r="I300" s="574" t="s">
        <v>907</v>
      </c>
      <c r="J300" s="573" t="s">
        <v>1449</v>
      </c>
      <c r="K300" s="573" t="s">
        <v>912</v>
      </c>
      <c r="L300" s="687" t="s">
        <v>2188</v>
      </c>
      <c r="M300" s="571" t="s">
        <v>2017</v>
      </c>
      <c r="N300" s="571">
        <v>0</v>
      </c>
      <c r="O300" s="570">
        <f t="shared" si="262"/>
        <v>5000</v>
      </c>
      <c r="P300" s="569">
        <v>5000</v>
      </c>
      <c r="Q300" s="631">
        <v>0.25</v>
      </c>
      <c r="R300" s="659">
        <f t="shared" si="234"/>
        <v>0</v>
      </c>
      <c r="S300" s="627">
        <v>0</v>
      </c>
      <c r="T300" s="695">
        <f t="shared" si="220"/>
        <v>0</v>
      </c>
      <c r="U300" s="992">
        <v>1179</v>
      </c>
      <c r="V300" s="626">
        <f t="shared" si="221"/>
        <v>1179</v>
      </c>
      <c r="W300" s="594">
        <f t="shared" si="222"/>
        <v>0</v>
      </c>
      <c r="X300" s="594">
        <f t="shared" si="235"/>
        <v>0</v>
      </c>
      <c r="Y300" s="594">
        <f t="shared" si="259"/>
        <v>0</v>
      </c>
      <c r="Z300" s="594">
        <f t="shared" si="236"/>
        <v>100</v>
      </c>
      <c r="AA300" s="593">
        <v>0</v>
      </c>
      <c r="AB300" s="593">
        <v>0</v>
      </c>
      <c r="AC300" s="593">
        <v>0</v>
      </c>
      <c r="AD300" s="593">
        <v>0</v>
      </c>
      <c r="AE300" s="593">
        <v>0</v>
      </c>
      <c r="AF300" s="593">
        <v>0</v>
      </c>
      <c r="AG300" s="593">
        <v>0</v>
      </c>
      <c r="AH300" s="593">
        <v>0</v>
      </c>
      <c r="AI300" s="593">
        <v>1863073000</v>
      </c>
      <c r="AJ300" s="593">
        <v>114460000</v>
      </c>
      <c r="AK300" s="593">
        <v>0</v>
      </c>
      <c r="AL300" s="593">
        <v>1748613000</v>
      </c>
      <c r="AM300" s="593">
        <v>0</v>
      </c>
      <c r="AN300" s="593">
        <v>0</v>
      </c>
      <c r="AO300" s="593">
        <v>0</v>
      </c>
      <c r="AP300" s="593">
        <v>0</v>
      </c>
      <c r="AQ300" s="593">
        <v>0</v>
      </c>
      <c r="AR300" s="593">
        <v>0</v>
      </c>
      <c r="AS300" s="593">
        <v>0</v>
      </c>
      <c r="AT300" s="630">
        <f t="shared" si="237"/>
        <v>2.5000000000000001E-2</v>
      </c>
      <c r="AU300" s="571">
        <v>500</v>
      </c>
      <c r="AV300" s="625">
        <f t="shared" si="223"/>
        <v>0.1</v>
      </c>
      <c r="AW300" s="1003">
        <v>982</v>
      </c>
      <c r="AX300" s="604">
        <f t="shared" si="224"/>
        <v>982</v>
      </c>
      <c r="AY300" s="604">
        <f t="shared" si="225"/>
        <v>196.4</v>
      </c>
      <c r="AZ300" s="604">
        <f t="shared" si="238"/>
        <v>100</v>
      </c>
      <c r="BA300" s="592">
        <f t="shared" si="239"/>
        <v>2.5000000000000001E-2</v>
      </c>
      <c r="BB300" s="592">
        <f t="shared" si="240"/>
        <v>100</v>
      </c>
      <c r="BC300" s="591">
        <v>8871000000</v>
      </c>
      <c r="BD300" s="591">
        <v>0</v>
      </c>
      <c r="BE300" s="591">
        <v>6366000000</v>
      </c>
      <c r="BF300" s="591">
        <v>0</v>
      </c>
      <c r="BG300" s="591">
        <v>0</v>
      </c>
      <c r="BH300" s="591">
        <v>0</v>
      </c>
      <c r="BI300" s="591">
        <v>0</v>
      </c>
      <c r="BJ300" s="591">
        <v>2505000000</v>
      </c>
      <c r="BK300" s="624">
        <v>11700000000</v>
      </c>
      <c r="BL300" s="589">
        <v>7500000000</v>
      </c>
      <c r="BM300" s="589">
        <v>4200000000</v>
      </c>
      <c r="BN300" s="589">
        <v>0</v>
      </c>
      <c r="BO300" s="589">
        <v>0</v>
      </c>
      <c r="BP300" s="589">
        <v>0</v>
      </c>
      <c r="BQ300" s="589">
        <v>0</v>
      </c>
      <c r="BR300" s="589">
        <v>0</v>
      </c>
      <c r="BS300" s="589">
        <v>0</v>
      </c>
      <c r="BT300" s="589">
        <v>8468740459</v>
      </c>
      <c r="BU300" s="589">
        <v>0</v>
      </c>
      <c r="BV300" s="588">
        <f t="shared" si="241"/>
        <v>7.4999999999999997E-2</v>
      </c>
      <c r="BW300" s="588">
        <v>1500</v>
      </c>
      <c r="BX300" s="623">
        <f t="shared" si="226"/>
        <v>0.3</v>
      </c>
      <c r="BY300" s="640">
        <v>919</v>
      </c>
      <c r="BZ300" s="656">
        <v>1234</v>
      </c>
      <c r="CA300" s="1019">
        <v>1908</v>
      </c>
      <c r="CB300" s="557">
        <f t="shared" si="227"/>
        <v>1908</v>
      </c>
      <c r="CC300" s="557">
        <f t="shared" si="228"/>
        <v>127.2</v>
      </c>
      <c r="CD300" s="622">
        <f t="shared" si="242"/>
        <v>100</v>
      </c>
      <c r="CE300" s="621">
        <f t="shared" si="243"/>
        <v>7.4999999999999997E-2</v>
      </c>
      <c r="CF300" s="605">
        <f t="shared" si="244"/>
        <v>100</v>
      </c>
      <c r="CG300" s="621">
        <f t="shared" si="245"/>
        <v>9.5399999999999985E-2</v>
      </c>
      <c r="CH300" s="553">
        <f t="shared" si="246"/>
        <v>0.15</v>
      </c>
      <c r="CI300" s="552">
        <v>3000</v>
      </c>
      <c r="CJ300" s="551">
        <f t="shared" si="229"/>
        <v>0.6</v>
      </c>
      <c r="CK300" s="871">
        <v>606</v>
      </c>
      <c r="CL300" s="533">
        <f t="shared" si="230"/>
        <v>2394</v>
      </c>
      <c r="CM300" s="619">
        <f t="shared" si="231"/>
        <v>606</v>
      </c>
      <c r="CN300" s="619">
        <f t="shared" si="232"/>
        <v>20.2</v>
      </c>
      <c r="CO300" s="549">
        <f t="shared" si="247"/>
        <v>20.2</v>
      </c>
      <c r="CP300" s="619">
        <f t="shared" si="248"/>
        <v>3.0299999999999997E-2</v>
      </c>
      <c r="CQ300" s="619">
        <f t="shared" si="249"/>
        <v>3.0299999999999997E-2</v>
      </c>
      <c r="CR300" s="546">
        <v>17196000000</v>
      </c>
      <c r="CS300" s="546">
        <v>14691000</v>
      </c>
      <c r="CT300" s="546">
        <v>0</v>
      </c>
      <c r="CU300" s="546">
        <v>0</v>
      </c>
      <c r="CV300" s="546">
        <v>0</v>
      </c>
      <c r="CW300" s="546">
        <v>0</v>
      </c>
      <c r="CX300" s="546">
        <v>0</v>
      </c>
      <c r="CY300" s="546">
        <v>2505000000</v>
      </c>
      <c r="CZ300" s="618">
        <v>0</v>
      </c>
      <c r="DA300" s="618">
        <v>0</v>
      </c>
      <c r="DB300" s="618">
        <v>0</v>
      </c>
      <c r="DC300" s="618">
        <v>0</v>
      </c>
      <c r="DD300" s="618">
        <v>0</v>
      </c>
      <c r="DE300" s="618">
        <v>0</v>
      </c>
      <c r="DF300" s="618">
        <v>0</v>
      </c>
      <c r="DG300" s="618">
        <v>0</v>
      </c>
      <c r="DH300" s="618">
        <v>0</v>
      </c>
      <c r="DI300" s="618">
        <v>0</v>
      </c>
      <c r="DJ300" s="618">
        <v>0</v>
      </c>
      <c r="DK300" s="1034">
        <f t="shared" si="233"/>
        <v>4675</v>
      </c>
      <c r="DL300" s="543">
        <f t="shared" si="250"/>
        <v>0.25</v>
      </c>
      <c r="DM300" s="542">
        <f t="shared" si="251"/>
        <v>93.5</v>
      </c>
      <c r="DN300" s="594">
        <f t="shared" si="252"/>
        <v>93.5</v>
      </c>
      <c r="DO300" s="540">
        <f t="shared" si="253"/>
        <v>0.23375000000000001</v>
      </c>
      <c r="DP300" s="597">
        <f t="shared" si="263"/>
        <v>0.23375000000000001</v>
      </c>
      <c r="DQ300" s="538">
        <f t="shared" si="254"/>
        <v>0.23375000000000001</v>
      </c>
      <c r="DR300" s="617">
        <f t="shared" si="255"/>
        <v>1</v>
      </c>
      <c r="DS300" s="616">
        <f t="shared" si="256"/>
        <v>0</v>
      </c>
      <c r="DT300" s="259">
        <v>348</v>
      </c>
      <c r="DU300" s="260" t="s">
        <v>270</v>
      </c>
      <c r="DV300" s="259"/>
      <c r="DW300" s="260" t="s">
        <v>242</v>
      </c>
      <c r="DX300" s="259"/>
      <c r="DY300" s="259"/>
      <c r="DZ300" s="259"/>
      <c r="EA300" s="987"/>
      <c r="EB300" s="1041" t="s">
        <v>2631</v>
      </c>
      <c r="EC300" s="802">
        <v>17196000000</v>
      </c>
      <c r="EE300" s="1047"/>
    </row>
    <row r="301" spans="4:135" s="534" customFormat="1" ht="76.5" hidden="1" x14ac:dyDescent="0.3">
      <c r="D301" s="783">
        <v>298</v>
      </c>
      <c r="E301" s="799">
        <v>352</v>
      </c>
      <c r="F301" s="574" t="s">
        <v>201</v>
      </c>
      <c r="G301" s="574" t="s">
        <v>240</v>
      </c>
      <c r="H301" s="574" t="s">
        <v>143</v>
      </c>
      <c r="I301" s="574" t="s">
        <v>907</v>
      </c>
      <c r="J301" s="573" t="s">
        <v>1450</v>
      </c>
      <c r="K301" s="573" t="s">
        <v>913</v>
      </c>
      <c r="L301" s="687" t="s">
        <v>2187</v>
      </c>
      <c r="M301" s="571" t="s">
        <v>2017</v>
      </c>
      <c r="N301" s="571">
        <v>0</v>
      </c>
      <c r="O301" s="570">
        <f t="shared" si="262"/>
        <v>3000</v>
      </c>
      <c r="P301" s="569">
        <v>3000</v>
      </c>
      <c r="Q301" s="631">
        <v>0.25</v>
      </c>
      <c r="R301" s="580">
        <f t="shared" si="234"/>
        <v>0</v>
      </c>
      <c r="S301" s="627">
        <v>0</v>
      </c>
      <c r="T301" s="625">
        <f t="shared" si="220"/>
        <v>0</v>
      </c>
      <c r="U301" s="992">
        <v>0</v>
      </c>
      <c r="V301" s="626">
        <f t="shared" si="221"/>
        <v>0</v>
      </c>
      <c r="W301" s="594">
        <f t="shared" si="222"/>
        <v>0</v>
      </c>
      <c r="X301" s="594">
        <f t="shared" si="235"/>
        <v>0</v>
      </c>
      <c r="Y301" s="594">
        <f t="shared" si="259"/>
        <v>0</v>
      </c>
      <c r="Z301" s="594">
        <f t="shared" si="236"/>
        <v>0</v>
      </c>
      <c r="AA301" s="593">
        <v>0</v>
      </c>
      <c r="AB301" s="593">
        <v>0</v>
      </c>
      <c r="AC301" s="593">
        <v>0</v>
      </c>
      <c r="AD301" s="593">
        <v>0</v>
      </c>
      <c r="AE301" s="593">
        <v>0</v>
      </c>
      <c r="AF301" s="593">
        <v>0</v>
      </c>
      <c r="AG301" s="593">
        <v>0</v>
      </c>
      <c r="AH301" s="593">
        <v>0</v>
      </c>
      <c r="AI301" s="593">
        <v>0</v>
      </c>
      <c r="AJ301" s="593">
        <v>0</v>
      </c>
      <c r="AK301" s="593">
        <v>0</v>
      </c>
      <c r="AL301" s="593">
        <v>0</v>
      </c>
      <c r="AM301" s="593">
        <v>0</v>
      </c>
      <c r="AN301" s="593">
        <v>0</v>
      </c>
      <c r="AO301" s="593">
        <v>0</v>
      </c>
      <c r="AP301" s="593">
        <v>0</v>
      </c>
      <c r="AQ301" s="593">
        <v>0</v>
      </c>
      <c r="AR301" s="593">
        <v>0</v>
      </c>
      <c r="AS301" s="593">
        <v>0</v>
      </c>
      <c r="AT301" s="630">
        <f t="shared" si="237"/>
        <v>0</v>
      </c>
      <c r="AU301" s="571">
        <v>0</v>
      </c>
      <c r="AV301" s="625">
        <f t="shared" si="223"/>
        <v>0</v>
      </c>
      <c r="AW301" s="1003">
        <v>0</v>
      </c>
      <c r="AX301" s="604">
        <f t="shared" si="224"/>
        <v>0</v>
      </c>
      <c r="AY301" s="604">
        <f t="shared" si="225"/>
        <v>0</v>
      </c>
      <c r="AZ301" s="604">
        <f t="shared" si="238"/>
        <v>0</v>
      </c>
      <c r="BA301" s="592">
        <f t="shared" si="239"/>
        <v>0</v>
      </c>
      <c r="BB301" s="592">
        <f t="shared" si="240"/>
        <v>0</v>
      </c>
      <c r="BC301" s="591">
        <v>3610000000</v>
      </c>
      <c r="BD301" s="591">
        <v>0</v>
      </c>
      <c r="BE301" s="591">
        <v>2590000000</v>
      </c>
      <c r="BF301" s="591">
        <v>0</v>
      </c>
      <c r="BG301" s="591">
        <v>0</v>
      </c>
      <c r="BH301" s="591">
        <v>0</v>
      </c>
      <c r="BI301" s="591">
        <v>0</v>
      </c>
      <c r="BJ301" s="591">
        <v>1020000000</v>
      </c>
      <c r="BK301" s="624">
        <v>3103639000</v>
      </c>
      <c r="BL301" s="589">
        <v>3103639000</v>
      </c>
      <c r="BM301" s="589">
        <v>0</v>
      </c>
      <c r="BN301" s="589">
        <v>0</v>
      </c>
      <c r="BO301" s="589">
        <v>0</v>
      </c>
      <c r="BP301" s="589">
        <v>0</v>
      </c>
      <c r="BQ301" s="589">
        <v>0</v>
      </c>
      <c r="BR301" s="589">
        <v>0</v>
      </c>
      <c r="BS301" s="589">
        <v>0</v>
      </c>
      <c r="BT301" s="589">
        <v>0</v>
      </c>
      <c r="BU301" s="589">
        <v>0</v>
      </c>
      <c r="BV301" s="588">
        <f t="shared" si="241"/>
        <v>0</v>
      </c>
      <c r="BW301" s="588">
        <v>0</v>
      </c>
      <c r="BX301" s="623">
        <f t="shared" si="226"/>
        <v>0</v>
      </c>
      <c r="BY301" s="633">
        <v>0</v>
      </c>
      <c r="BZ301" s="641">
        <v>0</v>
      </c>
      <c r="CA301" s="1019">
        <v>0</v>
      </c>
      <c r="CB301" s="557">
        <f t="shared" si="227"/>
        <v>0</v>
      </c>
      <c r="CC301" s="557">
        <f t="shared" si="228"/>
        <v>0</v>
      </c>
      <c r="CD301" s="622">
        <f t="shared" si="242"/>
        <v>0</v>
      </c>
      <c r="CE301" s="621">
        <f t="shared" si="243"/>
        <v>0</v>
      </c>
      <c r="CF301" s="605">
        <f t="shared" si="244"/>
        <v>0</v>
      </c>
      <c r="CG301" s="621">
        <f t="shared" si="245"/>
        <v>0</v>
      </c>
      <c r="CH301" s="553">
        <f t="shared" si="246"/>
        <v>0.25</v>
      </c>
      <c r="CI301" s="552">
        <v>3000</v>
      </c>
      <c r="CJ301" s="551">
        <f t="shared" si="229"/>
        <v>1</v>
      </c>
      <c r="CK301" s="871">
        <v>0</v>
      </c>
      <c r="CL301" s="533">
        <f t="shared" si="230"/>
        <v>3000</v>
      </c>
      <c r="CM301" s="619">
        <f t="shared" si="231"/>
        <v>0</v>
      </c>
      <c r="CN301" s="619">
        <f t="shared" si="232"/>
        <v>0</v>
      </c>
      <c r="CO301" s="549">
        <f t="shared" si="247"/>
        <v>0</v>
      </c>
      <c r="CP301" s="619">
        <f t="shared" si="248"/>
        <v>0</v>
      </c>
      <c r="CQ301" s="619">
        <f t="shared" si="249"/>
        <v>0</v>
      </c>
      <c r="CR301" s="546">
        <v>6996000000</v>
      </c>
      <c r="CS301" s="546">
        <v>5976000000</v>
      </c>
      <c r="CT301" s="546">
        <v>0</v>
      </c>
      <c r="CU301" s="546">
        <v>0</v>
      </c>
      <c r="CV301" s="546">
        <v>0</v>
      </c>
      <c r="CW301" s="546">
        <v>0</v>
      </c>
      <c r="CX301" s="546">
        <v>0</v>
      </c>
      <c r="CY301" s="546">
        <v>1020000000</v>
      </c>
      <c r="CZ301" s="618">
        <v>0</v>
      </c>
      <c r="DA301" s="618">
        <v>0</v>
      </c>
      <c r="DB301" s="618">
        <v>0</v>
      </c>
      <c r="DC301" s="618">
        <v>0</v>
      </c>
      <c r="DD301" s="618">
        <v>0</v>
      </c>
      <c r="DE301" s="618">
        <v>0</v>
      </c>
      <c r="DF301" s="618">
        <v>0</v>
      </c>
      <c r="DG301" s="618">
        <v>0</v>
      </c>
      <c r="DH301" s="618">
        <v>0</v>
      </c>
      <c r="DI301" s="618">
        <v>0</v>
      </c>
      <c r="DJ301" s="618">
        <v>0</v>
      </c>
      <c r="DK301" s="1034">
        <f t="shared" si="233"/>
        <v>0</v>
      </c>
      <c r="DL301" s="543">
        <f t="shared" si="250"/>
        <v>0.25</v>
      </c>
      <c r="DM301" s="542">
        <f t="shared" si="251"/>
        <v>0</v>
      </c>
      <c r="DN301" s="594">
        <f t="shared" si="252"/>
        <v>0</v>
      </c>
      <c r="DO301" s="540">
        <f t="shared" si="253"/>
        <v>0</v>
      </c>
      <c r="DP301" s="597">
        <f t="shared" si="263"/>
        <v>0</v>
      </c>
      <c r="DQ301" s="538">
        <f t="shared" si="254"/>
        <v>0</v>
      </c>
      <c r="DR301" s="617">
        <f t="shared" si="255"/>
        <v>1</v>
      </c>
      <c r="DS301" s="616">
        <f t="shared" si="256"/>
        <v>0</v>
      </c>
      <c r="DT301" s="259">
        <v>347</v>
      </c>
      <c r="DU301" s="260" t="s">
        <v>271</v>
      </c>
      <c r="DV301" s="259"/>
      <c r="DW301" s="260" t="s">
        <v>242</v>
      </c>
      <c r="DX301" s="259"/>
      <c r="DY301" s="259"/>
      <c r="DZ301" s="259"/>
      <c r="EA301" s="987"/>
      <c r="EB301" s="1041" t="s">
        <v>2632</v>
      </c>
      <c r="EC301" s="802">
        <v>6996000000</v>
      </c>
      <c r="EE301" s="1047"/>
    </row>
    <row r="302" spans="4:135" s="534" customFormat="1" ht="60" hidden="1" x14ac:dyDescent="0.3">
      <c r="D302" s="783">
        <v>299</v>
      </c>
      <c r="E302" s="799">
        <v>353</v>
      </c>
      <c r="F302" s="739" t="s">
        <v>201</v>
      </c>
      <c r="G302" s="739" t="s">
        <v>240</v>
      </c>
      <c r="H302" s="739" t="s">
        <v>143</v>
      </c>
      <c r="I302" s="676" t="s">
        <v>907</v>
      </c>
      <c r="J302" s="573" t="s">
        <v>914</v>
      </c>
      <c r="K302" s="573" t="s">
        <v>915</v>
      </c>
      <c r="L302" s="687" t="s">
        <v>2063</v>
      </c>
      <c r="M302" s="571" t="s">
        <v>2017</v>
      </c>
      <c r="N302" s="571">
        <v>0</v>
      </c>
      <c r="O302" s="570">
        <f t="shared" si="262"/>
        <v>8</v>
      </c>
      <c r="P302" s="569">
        <v>8</v>
      </c>
      <c r="Q302" s="628">
        <v>0.33</v>
      </c>
      <c r="R302" s="580">
        <f t="shared" si="234"/>
        <v>0</v>
      </c>
      <c r="S302" s="627">
        <v>0</v>
      </c>
      <c r="T302" s="625">
        <f t="shared" si="220"/>
        <v>0</v>
      </c>
      <c r="U302" s="992">
        <v>0</v>
      </c>
      <c r="V302" s="626">
        <f t="shared" si="221"/>
        <v>0</v>
      </c>
      <c r="W302" s="594">
        <f t="shared" si="222"/>
        <v>0</v>
      </c>
      <c r="X302" s="594">
        <f t="shared" si="235"/>
        <v>0</v>
      </c>
      <c r="Y302" s="594">
        <f t="shared" si="259"/>
        <v>0</v>
      </c>
      <c r="Z302" s="594">
        <f t="shared" si="236"/>
        <v>0</v>
      </c>
      <c r="AA302" s="593">
        <v>0</v>
      </c>
      <c r="AB302" s="593">
        <v>0</v>
      </c>
      <c r="AC302" s="593">
        <v>0</v>
      </c>
      <c r="AD302" s="593">
        <v>0</v>
      </c>
      <c r="AE302" s="593">
        <v>0</v>
      </c>
      <c r="AF302" s="593">
        <v>0</v>
      </c>
      <c r="AG302" s="593">
        <v>0</v>
      </c>
      <c r="AH302" s="593">
        <v>0</v>
      </c>
      <c r="AI302" s="593">
        <v>1863073000</v>
      </c>
      <c r="AJ302" s="593">
        <v>114460000</v>
      </c>
      <c r="AK302" s="593">
        <v>0</v>
      </c>
      <c r="AL302" s="593">
        <v>1748613000</v>
      </c>
      <c r="AM302" s="593">
        <v>0</v>
      </c>
      <c r="AN302" s="593">
        <v>0</v>
      </c>
      <c r="AO302" s="593">
        <v>0</v>
      </c>
      <c r="AP302" s="593">
        <v>0</v>
      </c>
      <c r="AQ302" s="593">
        <v>0</v>
      </c>
      <c r="AR302" s="593">
        <v>0</v>
      </c>
      <c r="AS302" s="593">
        <v>0</v>
      </c>
      <c r="AT302" s="570">
        <f t="shared" si="237"/>
        <v>8.2500000000000004E-2</v>
      </c>
      <c r="AU302" s="571">
        <v>2</v>
      </c>
      <c r="AV302" s="625">
        <f t="shared" si="223"/>
        <v>0.25</v>
      </c>
      <c r="AW302" s="1003">
        <v>1</v>
      </c>
      <c r="AX302" s="604">
        <f t="shared" si="224"/>
        <v>1</v>
      </c>
      <c r="AY302" s="604">
        <f t="shared" si="225"/>
        <v>50</v>
      </c>
      <c r="AZ302" s="604">
        <f t="shared" si="238"/>
        <v>50</v>
      </c>
      <c r="BA302" s="592">
        <f t="shared" si="239"/>
        <v>4.1250000000000002E-2</v>
      </c>
      <c r="BB302" s="592">
        <f t="shared" si="240"/>
        <v>50</v>
      </c>
      <c r="BC302" s="591">
        <v>8871000000</v>
      </c>
      <c r="BD302" s="591">
        <v>0</v>
      </c>
      <c r="BE302" s="591">
        <v>6366000000</v>
      </c>
      <c r="BF302" s="591">
        <v>0</v>
      </c>
      <c r="BG302" s="591">
        <v>0</v>
      </c>
      <c r="BH302" s="591">
        <v>0</v>
      </c>
      <c r="BI302" s="591">
        <v>0</v>
      </c>
      <c r="BJ302" s="591">
        <v>2505000000</v>
      </c>
      <c r="BK302" s="624">
        <v>3500000000</v>
      </c>
      <c r="BL302" s="589">
        <v>0</v>
      </c>
      <c r="BM302" s="589">
        <v>3500000000</v>
      </c>
      <c r="BN302" s="589">
        <v>0</v>
      </c>
      <c r="BO302" s="589">
        <v>0</v>
      </c>
      <c r="BP302" s="589">
        <v>0</v>
      </c>
      <c r="BQ302" s="589">
        <v>0</v>
      </c>
      <c r="BR302" s="589">
        <v>0</v>
      </c>
      <c r="BS302" s="589">
        <v>0</v>
      </c>
      <c r="BT302" s="589">
        <v>1794655414</v>
      </c>
      <c r="BU302" s="589">
        <v>0</v>
      </c>
      <c r="BV302" s="588">
        <f t="shared" si="241"/>
        <v>0.12375</v>
      </c>
      <c r="BW302" s="588">
        <v>3</v>
      </c>
      <c r="BX302" s="623">
        <f t="shared" si="226"/>
        <v>0.375</v>
      </c>
      <c r="BY302" s="633">
        <v>0</v>
      </c>
      <c r="BZ302" s="641">
        <v>0</v>
      </c>
      <c r="CA302" s="1019">
        <v>0</v>
      </c>
      <c r="CB302" s="557">
        <f t="shared" si="227"/>
        <v>0</v>
      </c>
      <c r="CC302" s="557">
        <f t="shared" si="228"/>
        <v>0</v>
      </c>
      <c r="CD302" s="622">
        <f t="shared" si="242"/>
        <v>0</v>
      </c>
      <c r="CE302" s="621">
        <f t="shared" si="243"/>
        <v>0</v>
      </c>
      <c r="CF302" s="605">
        <f t="shared" si="244"/>
        <v>0</v>
      </c>
      <c r="CG302" s="621">
        <f t="shared" si="245"/>
        <v>0</v>
      </c>
      <c r="CH302" s="553">
        <f t="shared" si="246"/>
        <v>0.12375</v>
      </c>
      <c r="CI302" s="552">
        <v>3</v>
      </c>
      <c r="CJ302" s="551">
        <f t="shared" si="229"/>
        <v>0.375</v>
      </c>
      <c r="CK302" s="874">
        <v>2</v>
      </c>
      <c r="CL302" s="533">
        <f t="shared" si="230"/>
        <v>1</v>
      </c>
      <c r="CM302" s="619">
        <f t="shared" si="231"/>
        <v>2</v>
      </c>
      <c r="CN302" s="619">
        <f t="shared" si="232"/>
        <v>66.666666666666671</v>
      </c>
      <c r="CO302" s="549">
        <f t="shared" si="247"/>
        <v>66.666666666666671</v>
      </c>
      <c r="CP302" s="619">
        <f t="shared" si="248"/>
        <v>8.2500000000000004E-2</v>
      </c>
      <c r="CQ302" s="619">
        <f t="shared" si="249"/>
        <v>8.2500000000000004E-2</v>
      </c>
      <c r="CR302" s="546">
        <v>17196000000</v>
      </c>
      <c r="CS302" s="546">
        <v>14691000</v>
      </c>
      <c r="CT302" s="546">
        <v>0</v>
      </c>
      <c r="CU302" s="546">
        <v>0</v>
      </c>
      <c r="CV302" s="546">
        <v>0</v>
      </c>
      <c r="CW302" s="546">
        <v>0</v>
      </c>
      <c r="CX302" s="546">
        <v>0</v>
      </c>
      <c r="CY302" s="546">
        <v>2505000000</v>
      </c>
      <c r="CZ302" s="618">
        <v>0</v>
      </c>
      <c r="DA302" s="618">
        <v>0</v>
      </c>
      <c r="DB302" s="618">
        <v>0</v>
      </c>
      <c r="DC302" s="618">
        <v>0</v>
      </c>
      <c r="DD302" s="618">
        <v>0</v>
      </c>
      <c r="DE302" s="618">
        <v>0</v>
      </c>
      <c r="DF302" s="618">
        <v>0</v>
      </c>
      <c r="DG302" s="618">
        <v>0</v>
      </c>
      <c r="DH302" s="618">
        <v>0</v>
      </c>
      <c r="DI302" s="618">
        <v>0</v>
      </c>
      <c r="DJ302" s="618">
        <v>0</v>
      </c>
      <c r="DK302" s="1034">
        <f t="shared" si="233"/>
        <v>3</v>
      </c>
      <c r="DL302" s="543">
        <f t="shared" si="250"/>
        <v>0.32999999999999996</v>
      </c>
      <c r="DM302" s="542">
        <f t="shared" si="251"/>
        <v>37.5</v>
      </c>
      <c r="DN302" s="594">
        <f t="shared" si="252"/>
        <v>37.5</v>
      </c>
      <c r="DO302" s="540">
        <f t="shared" si="253"/>
        <v>0.12375</v>
      </c>
      <c r="DP302" s="597">
        <f t="shared" si="263"/>
        <v>0.12375</v>
      </c>
      <c r="DQ302" s="538">
        <f t="shared" si="254"/>
        <v>0.12375</v>
      </c>
      <c r="DR302" s="617">
        <f t="shared" si="255"/>
        <v>1</v>
      </c>
      <c r="DS302" s="616">
        <f t="shared" si="256"/>
        <v>0</v>
      </c>
      <c r="DT302" s="259">
        <v>348</v>
      </c>
      <c r="DU302" s="260" t="s">
        <v>270</v>
      </c>
      <c r="DV302" s="259"/>
      <c r="DW302" s="260" t="s">
        <v>242</v>
      </c>
      <c r="DX302" s="259"/>
      <c r="DY302" s="259"/>
      <c r="DZ302" s="259"/>
      <c r="EA302" s="987"/>
      <c r="EB302" s="1041" t="s">
        <v>2633</v>
      </c>
      <c r="EC302" s="802">
        <v>17196000000</v>
      </c>
      <c r="EE302" s="1047"/>
    </row>
    <row r="303" spans="4:135" s="534" customFormat="1" ht="89.25" hidden="1" x14ac:dyDescent="0.3">
      <c r="D303" s="783">
        <v>300</v>
      </c>
      <c r="E303" s="799">
        <v>354</v>
      </c>
      <c r="F303" s="739" t="s">
        <v>201</v>
      </c>
      <c r="G303" s="739" t="s">
        <v>240</v>
      </c>
      <c r="H303" s="739" t="s">
        <v>143</v>
      </c>
      <c r="I303" s="676" t="s">
        <v>916</v>
      </c>
      <c r="J303" s="573" t="s">
        <v>917</v>
      </c>
      <c r="K303" s="573" t="s">
        <v>1490</v>
      </c>
      <c r="L303" s="693" t="s">
        <v>1582</v>
      </c>
      <c r="M303" s="571" t="s">
        <v>2017</v>
      </c>
      <c r="N303" s="571">
        <v>59</v>
      </c>
      <c r="O303" s="570">
        <f t="shared" si="262"/>
        <v>70</v>
      </c>
      <c r="P303" s="569">
        <v>11</v>
      </c>
      <c r="Q303" s="628">
        <v>0.25</v>
      </c>
      <c r="R303" s="580">
        <f t="shared" si="234"/>
        <v>2.2727272727272728E-2</v>
      </c>
      <c r="S303" s="627">
        <v>1</v>
      </c>
      <c r="T303" s="625">
        <f t="shared" si="220"/>
        <v>9.0909090909090912E-2</v>
      </c>
      <c r="U303" s="992">
        <v>0</v>
      </c>
      <c r="V303" s="626">
        <f t="shared" si="221"/>
        <v>0</v>
      </c>
      <c r="W303" s="594">
        <f t="shared" si="222"/>
        <v>0</v>
      </c>
      <c r="X303" s="594">
        <f t="shared" si="235"/>
        <v>0</v>
      </c>
      <c r="Y303" s="594">
        <f t="shared" si="259"/>
        <v>0</v>
      </c>
      <c r="Z303" s="594">
        <f t="shared" si="236"/>
        <v>0</v>
      </c>
      <c r="AA303" s="593">
        <v>0</v>
      </c>
      <c r="AB303" s="593">
        <v>0</v>
      </c>
      <c r="AC303" s="593">
        <v>0</v>
      </c>
      <c r="AD303" s="593">
        <v>0</v>
      </c>
      <c r="AE303" s="593">
        <v>0</v>
      </c>
      <c r="AF303" s="593">
        <v>0</v>
      </c>
      <c r="AG303" s="593">
        <v>0</v>
      </c>
      <c r="AH303" s="593">
        <v>0</v>
      </c>
      <c r="AI303" s="593">
        <v>0</v>
      </c>
      <c r="AJ303" s="593">
        <v>0</v>
      </c>
      <c r="AK303" s="593">
        <v>0</v>
      </c>
      <c r="AL303" s="593">
        <v>0</v>
      </c>
      <c r="AM303" s="593">
        <v>0</v>
      </c>
      <c r="AN303" s="593">
        <v>0</v>
      </c>
      <c r="AO303" s="593">
        <v>0</v>
      </c>
      <c r="AP303" s="593">
        <v>0</v>
      </c>
      <c r="AQ303" s="593">
        <v>0</v>
      </c>
      <c r="AR303" s="593">
        <v>0</v>
      </c>
      <c r="AS303" s="593">
        <v>0</v>
      </c>
      <c r="AT303" s="570">
        <f t="shared" si="237"/>
        <v>6.8181818181818177E-2</v>
      </c>
      <c r="AU303" s="571">
        <v>3</v>
      </c>
      <c r="AV303" s="625">
        <f t="shared" si="223"/>
        <v>0.27272727272727271</v>
      </c>
      <c r="AW303" s="1003">
        <v>7</v>
      </c>
      <c r="AX303" s="604">
        <f t="shared" si="224"/>
        <v>7</v>
      </c>
      <c r="AY303" s="604">
        <f t="shared" si="225"/>
        <v>233.33333333333334</v>
      </c>
      <c r="AZ303" s="604">
        <f t="shared" si="238"/>
        <v>100</v>
      </c>
      <c r="BA303" s="592">
        <f t="shared" si="239"/>
        <v>6.8181818181818177E-2</v>
      </c>
      <c r="BB303" s="592">
        <f t="shared" si="240"/>
        <v>100</v>
      </c>
      <c r="BC303" s="591">
        <v>3573000000</v>
      </c>
      <c r="BD303" s="591">
        <v>0</v>
      </c>
      <c r="BE303" s="591">
        <v>2388000000</v>
      </c>
      <c r="BF303" s="591">
        <v>0</v>
      </c>
      <c r="BG303" s="591">
        <v>0</v>
      </c>
      <c r="BH303" s="591">
        <v>0</v>
      </c>
      <c r="BI303" s="591">
        <v>0</v>
      </c>
      <c r="BJ303" s="591">
        <v>1185000000</v>
      </c>
      <c r="BK303" s="624">
        <v>2400000000</v>
      </c>
      <c r="BL303" s="589">
        <v>2400000000</v>
      </c>
      <c r="BM303" s="589">
        <v>0</v>
      </c>
      <c r="BN303" s="589">
        <v>0</v>
      </c>
      <c r="BO303" s="589">
        <v>0</v>
      </c>
      <c r="BP303" s="589">
        <v>0</v>
      </c>
      <c r="BQ303" s="589">
        <v>0</v>
      </c>
      <c r="BR303" s="589">
        <v>0</v>
      </c>
      <c r="BS303" s="589">
        <v>0</v>
      </c>
      <c r="BT303" s="589">
        <v>1472097142.6656001</v>
      </c>
      <c r="BU303" s="589">
        <v>0</v>
      </c>
      <c r="BV303" s="588">
        <f t="shared" si="241"/>
        <v>6.8181818181818177E-2</v>
      </c>
      <c r="BW303" s="588">
        <v>3</v>
      </c>
      <c r="BX303" s="623">
        <f t="shared" si="226"/>
        <v>0.27272727272727271</v>
      </c>
      <c r="BY303" s="633">
        <v>1</v>
      </c>
      <c r="BZ303" s="641">
        <v>1</v>
      </c>
      <c r="CA303" s="1019">
        <v>3.1</v>
      </c>
      <c r="CB303" s="557">
        <f t="shared" si="227"/>
        <v>3.1</v>
      </c>
      <c r="CC303" s="557">
        <f t="shared" si="228"/>
        <v>103.33333333333333</v>
      </c>
      <c r="CD303" s="622">
        <f t="shared" si="242"/>
        <v>100</v>
      </c>
      <c r="CE303" s="621">
        <f t="shared" si="243"/>
        <v>6.8181818181818177E-2</v>
      </c>
      <c r="CF303" s="605">
        <f t="shared" si="244"/>
        <v>100</v>
      </c>
      <c r="CG303" s="621">
        <f t="shared" si="245"/>
        <v>7.045454545454545E-2</v>
      </c>
      <c r="CH303" s="553">
        <f t="shared" si="246"/>
        <v>9.0909090909090912E-2</v>
      </c>
      <c r="CI303" s="552">
        <v>4</v>
      </c>
      <c r="CJ303" s="551">
        <f t="shared" si="229"/>
        <v>0.36363636363636365</v>
      </c>
      <c r="CK303" s="874">
        <v>0.9</v>
      </c>
      <c r="CL303" s="533">
        <f t="shared" si="230"/>
        <v>3.1</v>
      </c>
      <c r="CM303" s="619">
        <f t="shared" si="231"/>
        <v>0.9</v>
      </c>
      <c r="CN303" s="619">
        <f t="shared" si="232"/>
        <v>22.5</v>
      </c>
      <c r="CO303" s="549">
        <f t="shared" si="247"/>
        <v>22.5</v>
      </c>
      <c r="CP303" s="619">
        <f t="shared" si="248"/>
        <v>2.0454545454545454E-2</v>
      </c>
      <c r="CQ303" s="619">
        <f t="shared" si="249"/>
        <v>2.0454545454545454E-2</v>
      </c>
      <c r="CR303" s="546">
        <v>6696000000</v>
      </c>
      <c r="CS303" s="546">
        <v>5511000000</v>
      </c>
      <c r="CT303" s="546">
        <v>0</v>
      </c>
      <c r="CU303" s="546">
        <v>0</v>
      </c>
      <c r="CV303" s="546">
        <v>0</v>
      </c>
      <c r="CW303" s="546">
        <v>0</v>
      </c>
      <c r="CX303" s="546">
        <v>0</v>
      </c>
      <c r="CY303" s="546">
        <v>1185000000</v>
      </c>
      <c r="CZ303" s="618">
        <v>0</v>
      </c>
      <c r="DA303" s="618">
        <v>0</v>
      </c>
      <c r="DB303" s="618">
        <v>0</v>
      </c>
      <c r="DC303" s="618">
        <v>0</v>
      </c>
      <c r="DD303" s="618">
        <v>0</v>
      </c>
      <c r="DE303" s="618">
        <v>0</v>
      </c>
      <c r="DF303" s="618">
        <v>0</v>
      </c>
      <c r="DG303" s="618">
        <v>0</v>
      </c>
      <c r="DH303" s="618">
        <v>0</v>
      </c>
      <c r="DI303" s="618">
        <v>0</v>
      </c>
      <c r="DJ303" s="618">
        <v>0</v>
      </c>
      <c r="DK303" s="1034">
        <f t="shared" si="233"/>
        <v>11</v>
      </c>
      <c r="DL303" s="543">
        <f t="shared" si="250"/>
        <v>0.25</v>
      </c>
      <c r="DM303" s="542">
        <f t="shared" si="251"/>
        <v>100</v>
      </c>
      <c r="DN303" s="594">
        <f t="shared" si="252"/>
        <v>100</v>
      </c>
      <c r="DO303" s="540">
        <f t="shared" si="253"/>
        <v>0.25</v>
      </c>
      <c r="DP303" s="597">
        <f t="shared" si="263"/>
        <v>0.25</v>
      </c>
      <c r="DQ303" s="538">
        <f t="shared" si="254"/>
        <v>0.25</v>
      </c>
      <c r="DR303" s="617">
        <f t="shared" si="255"/>
        <v>1</v>
      </c>
      <c r="DS303" s="616">
        <f t="shared" si="256"/>
        <v>0</v>
      </c>
      <c r="DT303" s="259">
        <v>347</v>
      </c>
      <c r="DU303" s="260" t="s">
        <v>271</v>
      </c>
      <c r="DV303" s="259"/>
      <c r="DW303" s="260" t="s">
        <v>242</v>
      </c>
      <c r="DX303" s="259"/>
      <c r="DY303" s="259"/>
      <c r="DZ303" s="259"/>
      <c r="EA303" s="987"/>
      <c r="EB303" s="1041" t="s">
        <v>2634</v>
      </c>
      <c r="EC303" s="802">
        <v>6696000000</v>
      </c>
      <c r="EE303" s="1047"/>
    </row>
    <row r="304" spans="4:135" s="534" customFormat="1" ht="89.25" hidden="1" x14ac:dyDescent="0.3">
      <c r="D304" s="783">
        <v>301</v>
      </c>
      <c r="E304" s="799">
        <v>355</v>
      </c>
      <c r="F304" s="739" t="s">
        <v>201</v>
      </c>
      <c r="G304" s="739" t="s">
        <v>240</v>
      </c>
      <c r="H304" s="739" t="s">
        <v>143</v>
      </c>
      <c r="I304" s="676" t="s">
        <v>916</v>
      </c>
      <c r="J304" s="573" t="s">
        <v>918</v>
      </c>
      <c r="K304" s="573" t="s">
        <v>919</v>
      </c>
      <c r="L304" s="687" t="s">
        <v>1682</v>
      </c>
      <c r="M304" s="571" t="s">
        <v>2017</v>
      </c>
      <c r="N304" s="571">
        <v>0</v>
      </c>
      <c r="O304" s="570">
        <f t="shared" si="262"/>
        <v>70000</v>
      </c>
      <c r="P304" s="569">
        <v>70000</v>
      </c>
      <c r="Q304" s="628">
        <v>0.33</v>
      </c>
      <c r="R304" s="580">
        <f t="shared" si="234"/>
        <v>0</v>
      </c>
      <c r="S304" s="627">
        <v>0</v>
      </c>
      <c r="T304" s="625">
        <f t="shared" si="220"/>
        <v>0</v>
      </c>
      <c r="U304" s="992">
        <v>0</v>
      </c>
      <c r="V304" s="626">
        <f t="shared" si="221"/>
        <v>0</v>
      </c>
      <c r="W304" s="594">
        <f t="shared" si="222"/>
        <v>0</v>
      </c>
      <c r="X304" s="594">
        <f t="shared" si="235"/>
        <v>0</v>
      </c>
      <c r="Y304" s="594">
        <f t="shared" si="259"/>
        <v>0</v>
      </c>
      <c r="Z304" s="594">
        <f t="shared" si="236"/>
        <v>0</v>
      </c>
      <c r="AA304" s="593">
        <v>0</v>
      </c>
      <c r="AB304" s="593">
        <v>0</v>
      </c>
      <c r="AC304" s="593">
        <v>0</v>
      </c>
      <c r="AD304" s="593">
        <v>0</v>
      </c>
      <c r="AE304" s="593">
        <v>0</v>
      </c>
      <c r="AF304" s="593">
        <v>0</v>
      </c>
      <c r="AG304" s="593">
        <v>0</v>
      </c>
      <c r="AH304" s="593">
        <v>0</v>
      </c>
      <c r="AI304" s="593">
        <v>10871342000</v>
      </c>
      <c r="AJ304" s="593">
        <v>6485154000</v>
      </c>
      <c r="AK304" s="593">
        <v>1468635000</v>
      </c>
      <c r="AL304" s="593">
        <v>1368095000</v>
      </c>
      <c r="AM304" s="593">
        <v>0</v>
      </c>
      <c r="AN304" s="593">
        <v>1549458000</v>
      </c>
      <c r="AO304" s="593">
        <v>0</v>
      </c>
      <c r="AP304" s="593">
        <v>0</v>
      </c>
      <c r="AQ304" s="593">
        <v>0</v>
      </c>
      <c r="AR304" s="593">
        <v>0</v>
      </c>
      <c r="AS304" s="593">
        <v>0</v>
      </c>
      <c r="AT304" s="570">
        <f t="shared" si="237"/>
        <v>2.357142857142857E-2</v>
      </c>
      <c r="AU304" s="571">
        <v>5000</v>
      </c>
      <c r="AV304" s="625">
        <f t="shared" si="223"/>
        <v>7.1428571428571425E-2</v>
      </c>
      <c r="AW304" s="1003">
        <v>8246</v>
      </c>
      <c r="AX304" s="604">
        <f t="shared" si="224"/>
        <v>8246</v>
      </c>
      <c r="AY304" s="604">
        <f t="shared" si="225"/>
        <v>164.92</v>
      </c>
      <c r="AZ304" s="604">
        <f t="shared" si="238"/>
        <v>100</v>
      </c>
      <c r="BA304" s="592">
        <f t="shared" si="239"/>
        <v>2.3571428571428566E-2</v>
      </c>
      <c r="BB304" s="592">
        <f t="shared" si="240"/>
        <v>100</v>
      </c>
      <c r="BC304" s="591">
        <v>8380000000</v>
      </c>
      <c r="BD304" s="591">
        <v>2977000000</v>
      </c>
      <c r="BE304" s="591">
        <v>3313000000</v>
      </c>
      <c r="BF304" s="591">
        <v>0</v>
      </c>
      <c r="BG304" s="591">
        <v>0</v>
      </c>
      <c r="BH304" s="591">
        <v>0</v>
      </c>
      <c r="BI304" s="591">
        <v>0</v>
      </c>
      <c r="BJ304" s="591">
        <v>2090000000</v>
      </c>
      <c r="BK304" s="624">
        <v>2330000000</v>
      </c>
      <c r="BL304" s="589">
        <v>2330000000</v>
      </c>
      <c r="BM304" s="589">
        <v>0</v>
      </c>
      <c r="BN304" s="589">
        <v>0</v>
      </c>
      <c r="BO304" s="589">
        <v>0</v>
      </c>
      <c r="BP304" s="589">
        <v>0</v>
      </c>
      <c r="BQ304" s="589">
        <v>0</v>
      </c>
      <c r="BR304" s="589">
        <v>0</v>
      </c>
      <c r="BS304" s="589">
        <v>0</v>
      </c>
      <c r="BT304" s="589">
        <v>3252933749.3363552</v>
      </c>
      <c r="BU304" s="589">
        <v>0</v>
      </c>
      <c r="BV304" s="588">
        <f t="shared" si="241"/>
        <v>0.14142857142857143</v>
      </c>
      <c r="BW304" s="588">
        <v>30000</v>
      </c>
      <c r="BX304" s="623">
        <f t="shared" si="226"/>
        <v>0.42857142857142855</v>
      </c>
      <c r="BY304" s="607">
        <v>32884</v>
      </c>
      <c r="BZ304" s="629">
        <v>32884</v>
      </c>
      <c r="CA304" s="1017">
        <v>40593</v>
      </c>
      <c r="CB304" s="557">
        <f t="shared" si="227"/>
        <v>40593</v>
      </c>
      <c r="CC304" s="557">
        <f t="shared" si="228"/>
        <v>135.31</v>
      </c>
      <c r="CD304" s="622">
        <f t="shared" si="242"/>
        <v>100</v>
      </c>
      <c r="CE304" s="621">
        <f t="shared" si="243"/>
        <v>0.14142857142857143</v>
      </c>
      <c r="CF304" s="605">
        <f t="shared" si="244"/>
        <v>100</v>
      </c>
      <c r="CG304" s="621">
        <f t="shared" si="245"/>
        <v>0.19136700000000001</v>
      </c>
      <c r="CH304" s="553">
        <f t="shared" si="246"/>
        <v>0.16500000000000001</v>
      </c>
      <c r="CI304" s="552">
        <v>35000</v>
      </c>
      <c r="CJ304" s="551">
        <f t="shared" si="229"/>
        <v>0.5</v>
      </c>
      <c r="CK304" s="874">
        <v>2388</v>
      </c>
      <c r="CL304" s="533">
        <f t="shared" si="230"/>
        <v>32612</v>
      </c>
      <c r="CM304" s="619">
        <f t="shared" si="231"/>
        <v>2388</v>
      </c>
      <c r="CN304" s="619">
        <f t="shared" si="232"/>
        <v>6.822857142857143</v>
      </c>
      <c r="CO304" s="549">
        <f t="shared" si="247"/>
        <v>6.822857142857143</v>
      </c>
      <c r="CP304" s="619">
        <f t="shared" si="248"/>
        <v>1.1257714285714286E-2</v>
      </c>
      <c r="CQ304" s="619">
        <f t="shared" si="249"/>
        <v>1.1257714285714286E-2</v>
      </c>
      <c r="CR304" s="546">
        <v>12894000000</v>
      </c>
      <c r="CS304" s="546">
        <v>7646000000</v>
      </c>
      <c r="CT304" s="546">
        <v>3158000000</v>
      </c>
      <c r="CU304" s="546">
        <v>0</v>
      </c>
      <c r="CV304" s="546">
        <v>0</v>
      </c>
      <c r="CW304" s="546">
        <v>0</v>
      </c>
      <c r="CX304" s="546">
        <v>0</v>
      </c>
      <c r="CY304" s="546">
        <v>2090000000</v>
      </c>
      <c r="CZ304" s="618">
        <v>0</v>
      </c>
      <c r="DA304" s="618">
        <v>0</v>
      </c>
      <c r="DB304" s="618">
        <v>0</v>
      </c>
      <c r="DC304" s="618">
        <v>0</v>
      </c>
      <c r="DD304" s="618">
        <v>0</v>
      </c>
      <c r="DE304" s="618">
        <v>0</v>
      </c>
      <c r="DF304" s="618">
        <v>0</v>
      </c>
      <c r="DG304" s="618">
        <v>0</v>
      </c>
      <c r="DH304" s="618">
        <v>0</v>
      </c>
      <c r="DI304" s="618">
        <v>0</v>
      </c>
      <c r="DJ304" s="618">
        <v>0</v>
      </c>
      <c r="DK304" s="1034">
        <f t="shared" si="233"/>
        <v>51227</v>
      </c>
      <c r="DL304" s="543">
        <f t="shared" si="250"/>
        <v>0.33</v>
      </c>
      <c r="DM304" s="542">
        <f t="shared" si="251"/>
        <v>73.181428571428569</v>
      </c>
      <c r="DN304" s="594">
        <f t="shared" si="252"/>
        <v>73.181428571428569</v>
      </c>
      <c r="DO304" s="540">
        <f t="shared" si="253"/>
        <v>0.24149871428571429</v>
      </c>
      <c r="DP304" s="597">
        <f t="shared" si="263"/>
        <v>0.24149871428571429</v>
      </c>
      <c r="DQ304" s="538">
        <f t="shared" si="254"/>
        <v>0.24149871428571429</v>
      </c>
      <c r="DR304" s="617">
        <f t="shared" si="255"/>
        <v>1</v>
      </c>
      <c r="DS304" s="616">
        <f t="shared" si="256"/>
        <v>0</v>
      </c>
      <c r="DT304" s="259">
        <v>347</v>
      </c>
      <c r="DU304" s="260" t="s">
        <v>271</v>
      </c>
      <c r="DV304" s="259"/>
      <c r="DW304" s="260" t="s">
        <v>242</v>
      </c>
      <c r="DX304" s="259"/>
      <c r="DY304" s="259"/>
      <c r="DZ304" s="259"/>
      <c r="EA304" s="987"/>
      <c r="EB304" s="1041" t="s">
        <v>2635</v>
      </c>
      <c r="EC304" s="802">
        <v>12803000000</v>
      </c>
      <c r="EE304" s="1047"/>
    </row>
    <row r="305" spans="4:135" s="534" customFormat="1" ht="102" hidden="1" x14ac:dyDescent="0.3">
      <c r="D305" s="783">
        <v>302</v>
      </c>
      <c r="E305" s="799">
        <v>356</v>
      </c>
      <c r="F305" s="739" t="s">
        <v>201</v>
      </c>
      <c r="G305" s="739" t="s">
        <v>240</v>
      </c>
      <c r="H305" s="739" t="s">
        <v>143</v>
      </c>
      <c r="I305" s="676" t="s">
        <v>920</v>
      </c>
      <c r="J305" s="573" t="s">
        <v>921</v>
      </c>
      <c r="K305" s="573" t="s">
        <v>922</v>
      </c>
      <c r="L305" s="687" t="s">
        <v>2021</v>
      </c>
      <c r="M305" s="571" t="s">
        <v>2017</v>
      </c>
      <c r="N305" s="571">
        <v>1</v>
      </c>
      <c r="O305" s="570">
        <f t="shared" si="262"/>
        <v>2</v>
      </c>
      <c r="P305" s="569">
        <v>1</v>
      </c>
      <c r="Q305" s="628">
        <v>0.25</v>
      </c>
      <c r="R305" s="580">
        <f t="shared" si="234"/>
        <v>0.05</v>
      </c>
      <c r="S305" s="627">
        <v>0.2</v>
      </c>
      <c r="T305" s="625">
        <f t="shared" si="220"/>
        <v>0.2</v>
      </c>
      <c r="U305" s="992">
        <v>0.2</v>
      </c>
      <c r="V305" s="626">
        <f t="shared" si="221"/>
        <v>0.2</v>
      </c>
      <c r="W305" s="594">
        <f t="shared" si="222"/>
        <v>100</v>
      </c>
      <c r="X305" s="594">
        <f t="shared" si="235"/>
        <v>100</v>
      </c>
      <c r="Y305" s="594">
        <f t="shared" si="259"/>
        <v>0.05</v>
      </c>
      <c r="Z305" s="594">
        <f t="shared" si="236"/>
        <v>100</v>
      </c>
      <c r="AA305" s="593">
        <v>35000000</v>
      </c>
      <c r="AB305" s="593">
        <v>35000000</v>
      </c>
      <c r="AC305" s="593">
        <v>0</v>
      </c>
      <c r="AD305" s="593">
        <v>0</v>
      </c>
      <c r="AE305" s="593">
        <v>0</v>
      </c>
      <c r="AF305" s="593">
        <v>0</v>
      </c>
      <c r="AG305" s="593">
        <v>0</v>
      </c>
      <c r="AH305" s="593">
        <v>0</v>
      </c>
      <c r="AI305" s="593">
        <v>0</v>
      </c>
      <c r="AJ305" s="593">
        <v>0</v>
      </c>
      <c r="AK305" s="593">
        <v>0</v>
      </c>
      <c r="AL305" s="593">
        <v>0</v>
      </c>
      <c r="AM305" s="593">
        <v>0</v>
      </c>
      <c r="AN305" s="593">
        <v>0</v>
      </c>
      <c r="AO305" s="593">
        <v>0</v>
      </c>
      <c r="AP305" s="593">
        <v>0</v>
      </c>
      <c r="AQ305" s="593">
        <v>0</v>
      </c>
      <c r="AR305" s="593">
        <v>0</v>
      </c>
      <c r="AS305" s="593">
        <v>0</v>
      </c>
      <c r="AT305" s="570">
        <f t="shared" si="237"/>
        <v>0.17499999999999999</v>
      </c>
      <c r="AU305" s="571">
        <v>0.7</v>
      </c>
      <c r="AV305" s="625">
        <f t="shared" si="223"/>
        <v>0.7</v>
      </c>
      <c r="AW305" s="1003">
        <v>0.7</v>
      </c>
      <c r="AX305" s="604">
        <f t="shared" si="224"/>
        <v>0.7</v>
      </c>
      <c r="AY305" s="604">
        <f t="shared" si="225"/>
        <v>100</v>
      </c>
      <c r="AZ305" s="604">
        <f t="shared" si="238"/>
        <v>100</v>
      </c>
      <c r="BA305" s="592">
        <f t="shared" si="239"/>
        <v>0.17499999999999999</v>
      </c>
      <c r="BB305" s="592">
        <f t="shared" si="240"/>
        <v>100</v>
      </c>
      <c r="BC305" s="591">
        <v>0</v>
      </c>
      <c r="BD305" s="591">
        <v>0</v>
      </c>
      <c r="BE305" s="591">
        <v>0</v>
      </c>
      <c r="BF305" s="591">
        <v>0</v>
      </c>
      <c r="BG305" s="591">
        <v>0</v>
      </c>
      <c r="BH305" s="591">
        <v>0</v>
      </c>
      <c r="BI305" s="591">
        <v>0</v>
      </c>
      <c r="BJ305" s="591">
        <v>0</v>
      </c>
      <c r="BK305" s="624">
        <v>224000000</v>
      </c>
      <c r="BL305" s="589">
        <v>224000000</v>
      </c>
      <c r="BM305" s="589">
        <v>0</v>
      </c>
      <c r="BN305" s="589">
        <v>0</v>
      </c>
      <c r="BO305" s="589">
        <v>0</v>
      </c>
      <c r="BP305" s="589">
        <v>0</v>
      </c>
      <c r="BQ305" s="589">
        <v>0</v>
      </c>
      <c r="BR305" s="589">
        <v>0</v>
      </c>
      <c r="BS305" s="589">
        <v>0</v>
      </c>
      <c r="BT305" s="589">
        <v>0</v>
      </c>
      <c r="BU305" s="589">
        <v>0</v>
      </c>
      <c r="BV305" s="588">
        <f t="shared" si="241"/>
        <v>0</v>
      </c>
      <c r="BW305" s="588">
        <v>0</v>
      </c>
      <c r="BX305" s="623">
        <f t="shared" si="226"/>
        <v>0</v>
      </c>
      <c r="BY305" s="607">
        <v>1</v>
      </c>
      <c r="BZ305" s="629">
        <v>0</v>
      </c>
      <c r="CA305" s="1017">
        <v>0</v>
      </c>
      <c r="CB305" s="557">
        <f t="shared" si="227"/>
        <v>0</v>
      </c>
      <c r="CC305" s="557">
        <f t="shared" si="228"/>
        <v>0</v>
      </c>
      <c r="CD305" s="622">
        <f t="shared" si="242"/>
        <v>0</v>
      </c>
      <c r="CE305" s="621">
        <f t="shared" si="243"/>
        <v>0</v>
      </c>
      <c r="CF305" s="605">
        <f t="shared" si="244"/>
        <v>0</v>
      </c>
      <c r="CG305" s="621">
        <f t="shared" si="245"/>
        <v>0</v>
      </c>
      <c r="CH305" s="553">
        <f t="shared" si="246"/>
        <v>2.5000000000000001E-2</v>
      </c>
      <c r="CI305" s="552">
        <v>0.1</v>
      </c>
      <c r="CJ305" s="551">
        <f t="shared" si="229"/>
        <v>0.1</v>
      </c>
      <c r="CK305" s="871">
        <v>0</v>
      </c>
      <c r="CL305" s="533">
        <f t="shared" si="230"/>
        <v>0.1</v>
      </c>
      <c r="CM305" s="619">
        <f t="shared" si="231"/>
        <v>0</v>
      </c>
      <c r="CN305" s="619">
        <f t="shared" si="232"/>
        <v>0</v>
      </c>
      <c r="CO305" s="549">
        <f t="shared" si="247"/>
        <v>0</v>
      </c>
      <c r="CP305" s="619">
        <f t="shared" si="248"/>
        <v>0</v>
      </c>
      <c r="CQ305" s="619">
        <f t="shared" si="249"/>
        <v>0</v>
      </c>
      <c r="CR305" s="546">
        <v>0</v>
      </c>
      <c r="CS305" s="546">
        <v>0</v>
      </c>
      <c r="CT305" s="546">
        <v>0</v>
      </c>
      <c r="CU305" s="546">
        <v>0</v>
      </c>
      <c r="CV305" s="546">
        <v>0</v>
      </c>
      <c r="CW305" s="546">
        <v>0</v>
      </c>
      <c r="CX305" s="546">
        <v>0</v>
      </c>
      <c r="CY305" s="546">
        <v>0</v>
      </c>
      <c r="CZ305" s="618">
        <v>0</v>
      </c>
      <c r="DA305" s="618">
        <v>0</v>
      </c>
      <c r="DB305" s="618">
        <v>0</v>
      </c>
      <c r="DC305" s="618">
        <v>0</v>
      </c>
      <c r="DD305" s="618">
        <v>0</v>
      </c>
      <c r="DE305" s="618">
        <v>0</v>
      </c>
      <c r="DF305" s="618">
        <v>0</v>
      </c>
      <c r="DG305" s="618">
        <v>0</v>
      </c>
      <c r="DH305" s="618">
        <v>0</v>
      </c>
      <c r="DI305" s="618">
        <v>0</v>
      </c>
      <c r="DJ305" s="618">
        <v>0</v>
      </c>
      <c r="DK305" s="1034">
        <f t="shared" si="233"/>
        <v>0.89999999999999991</v>
      </c>
      <c r="DL305" s="543">
        <f t="shared" si="250"/>
        <v>0.24999999999999997</v>
      </c>
      <c r="DM305" s="542">
        <f t="shared" si="251"/>
        <v>89.999999999999986</v>
      </c>
      <c r="DN305" s="594">
        <f t="shared" si="252"/>
        <v>89.999999999999986</v>
      </c>
      <c r="DO305" s="540">
        <f t="shared" si="253"/>
        <v>0.22499999999999998</v>
      </c>
      <c r="DP305" s="597">
        <f t="shared" si="263"/>
        <v>0.22499999999999998</v>
      </c>
      <c r="DQ305" s="538">
        <f t="shared" si="254"/>
        <v>0.22499999999999998</v>
      </c>
      <c r="DR305" s="617">
        <f t="shared" si="255"/>
        <v>0.99999999999999989</v>
      </c>
      <c r="DS305" s="616">
        <f t="shared" si="256"/>
        <v>0</v>
      </c>
      <c r="DT305" s="259">
        <v>347</v>
      </c>
      <c r="DU305" s="260" t="s">
        <v>271</v>
      </c>
      <c r="DV305" s="259"/>
      <c r="DW305" s="260" t="s">
        <v>242</v>
      </c>
      <c r="DX305" s="259"/>
      <c r="DY305" s="259"/>
      <c r="DZ305" s="259"/>
      <c r="EA305" s="987"/>
      <c r="EB305" s="1041" t="s">
        <v>2636</v>
      </c>
      <c r="EC305" s="802">
        <v>0</v>
      </c>
      <c r="EE305" s="1047"/>
    </row>
    <row r="306" spans="4:135" s="534" customFormat="1" ht="89.25" hidden="1" x14ac:dyDescent="0.3">
      <c r="D306" s="783">
        <v>303</v>
      </c>
      <c r="E306" s="799">
        <v>357</v>
      </c>
      <c r="F306" s="739" t="s">
        <v>201</v>
      </c>
      <c r="G306" s="739" t="s">
        <v>240</v>
      </c>
      <c r="H306" s="739" t="s">
        <v>143</v>
      </c>
      <c r="I306" s="676" t="s">
        <v>923</v>
      </c>
      <c r="J306" s="573" t="s">
        <v>924</v>
      </c>
      <c r="K306" s="573" t="s">
        <v>925</v>
      </c>
      <c r="L306" s="687" t="s">
        <v>2021</v>
      </c>
      <c r="M306" s="571" t="s">
        <v>2017</v>
      </c>
      <c r="N306" s="571">
        <v>0</v>
      </c>
      <c r="O306" s="570">
        <f t="shared" si="262"/>
        <v>1</v>
      </c>
      <c r="P306" s="569">
        <v>1</v>
      </c>
      <c r="Q306" s="628">
        <v>0.25</v>
      </c>
      <c r="R306" s="580">
        <f t="shared" si="234"/>
        <v>0</v>
      </c>
      <c r="S306" s="625">
        <v>0</v>
      </c>
      <c r="T306" s="625">
        <f t="shared" si="220"/>
        <v>0</v>
      </c>
      <c r="U306" s="992">
        <v>0</v>
      </c>
      <c r="V306" s="626">
        <f t="shared" si="221"/>
        <v>0</v>
      </c>
      <c r="W306" s="594">
        <f t="shared" si="222"/>
        <v>0</v>
      </c>
      <c r="X306" s="594">
        <f t="shared" si="235"/>
        <v>0</v>
      </c>
      <c r="Y306" s="594">
        <f t="shared" si="259"/>
        <v>0</v>
      </c>
      <c r="Z306" s="594">
        <f t="shared" si="236"/>
        <v>0</v>
      </c>
      <c r="AA306" s="593">
        <v>0</v>
      </c>
      <c r="AB306" s="593">
        <v>0</v>
      </c>
      <c r="AC306" s="593">
        <v>0</v>
      </c>
      <c r="AD306" s="593">
        <v>0</v>
      </c>
      <c r="AE306" s="593">
        <v>0</v>
      </c>
      <c r="AF306" s="593">
        <v>0</v>
      </c>
      <c r="AG306" s="593">
        <v>0</v>
      </c>
      <c r="AH306" s="593">
        <v>0</v>
      </c>
      <c r="AI306" s="593">
        <v>0</v>
      </c>
      <c r="AJ306" s="593">
        <v>0</v>
      </c>
      <c r="AK306" s="593">
        <v>0</v>
      </c>
      <c r="AL306" s="593">
        <v>0</v>
      </c>
      <c r="AM306" s="593">
        <v>0</v>
      </c>
      <c r="AN306" s="593">
        <v>0</v>
      </c>
      <c r="AO306" s="593">
        <v>0</v>
      </c>
      <c r="AP306" s="593">
        <v>0</v>
      </c>
      <c r="AQ306" s="593">
        <v>0</v>
      </c>
      <c r="AR306" s="593">
        <v>0</v>
      </c>
      <c r="AS306" s="593">
        <v>0</v>
      </c>
      <c r="AT306" s="570">
        <f t="shared" si="237"/>
        <v>0</v>
      </c>
      <c r="AU306" s="694">
        <v>0</v>
      </c>
      <c r="AV306" s="625">
        <f t="shared" si="223"/>
        <v>0</v>
      </c>
      <c r="AW306" s="1003">
        <v>0.2</v>
      </c>
      <c r="AX306" s="604">
        <f t="shared" si="224"/>
        <v>0.2</v>
      </c>
      <c r="AY306" s="604">
        <f t="shared" si="225"/>
        <v>0</v>
      </c>
      <c r="AZ306" s="604">
        <f t="shared" si="238"/>
        <v>0</v>
      </c>
      <c r="BA306" s="592">
        <f t="shared" si="239"/>
        <v>0</v>
      </c>
      <c r="BB306" s="592">
        <f t="shared" si="240"/>
        <v>100</v>
      </c>
      <c r="BC306" s="591">
        <v>2425000000</v>
      </c>
      <c r="BD306" s="591">
        <v>0</v>
      </c>
      <c r="BE306" s="591">
        <v>2000000000</v>
      </c>
      <c r="BF306" s="591">
        <v>0</v>
      </c>
      <c r="BG306" s="591">
        <v>0</v>
      </c>
      <c r="BH306" s="591">
        <v>0</v>
      </c>
      <c r="BI306" s="591">
        <v>0</v>
      </c>
      <c r="BJ306" s="591">
        <v>425000000</v>
      </c>
      <c r="BK306" s="624">
        <v>781170980</v>
      </c>
      <c r="BL306" s="589">
        <v>781170980</v>
      </c>
      <c r="BM306" s="589">
        <v>0</v>
      </c>
      <c r="BN306" s="589">
        <v>0</v>
      </c>
      <c r="BO306" s="589">
        <v>0</v>
      </c>
      <c r="BP306" s="589">
        <v>0</v>
      </c>
      <c r="BQ306" s="589">
        <v>0</v>
      </c>
      <c r="BR306" s="589">
        <v>0</v>
      </c>
      <c r="BS306" s="589">
        <v>0</v>
      </c>
      <c r="BT306" s="589">
        <v>0</v>
      </c>
      <c r="BU306" s="589">
        <v>0</v>
      </c>
      <c r="BV306" s="588">
        <f t="shared" si="241"/>
        <v>0.1</v>
      </c>
      <c r="BW306" s="588">
        <v>0.4</v>
      </c>
      <c r="BX306" s="623">
        <f t="shared" si="226"/>
        <v>0.4</v>
      </c>
      <c r="BY306" s="607">
        <v>80</v>
      </c>
      <c r="BZ306" s="629">
        <v>0.20000000298023224</v>
      </c>
      <c r="CA306" s="1017">
        <v>0.20000000298023224</v>
      </c>
      <c r="CB306" s="557">
        <f t="shared" si="227"/>
        <v>0.20000000298023224</v>
      </c>
      <c r="CC306" s="557">
        <f t="shared" si="228"/>
        <v>50.00000074505806</v>
      </c>
      <c r="CD306" s="622">
        <f t="shared" si="242"/>
        <v>50.00000074505806</v>
      </c>
      <c r="CE306" s="621">
        <f t="shared" si="243"/>
        <v>5.000000074505806E-2</v>
      </c>
      <c r="CF306" s="605">
        <f t="shared" si="244"/>
        <v>50.00000074505806</v>
      </c>
      <c r="CG306" s="621">
        <f t="shared" si="245"/>
        <v>5.000000074505806E-2</v>
      </c>
      <c r="CH306" s="553">
        <f t="shared" si="246"/>
        <v>0.15</v>
      </c>
      <c r="CI306" s="634">
        <v>0.6</v>
      </c>
      <c r="CJ306" s="551">
        <f t="shared" si="229"/>
        <v>0.6</v>
      </c>
      <c r="CK306" s="871">
        <v>0</v>
      </c>
      <c r="CL306" s="533">
        <f t="shared" si="230"/>
        <v>0.6</v>
      </c>
      <c r="CM306" s="619">
        <f t="shared" si="231"/>
        <v>0</v>
      </c>
      <c r="CN306" s="619">
        <f t="shared" si="232"/>
        <v>0</v>
      </c>
      <c r="CO306" s="549">
        <f t="shared" si="247"/>
        <v>0</v>
      </c>
      <c r="CP306" s="619">
        <f t="shared" si="248"/>
        <v>0</v>
      </c>
      <c r="CQ306" s="619">
        <f t="shared" si="249"/>
        <v>0</v>
      </c>
      <c r="CR306" s="546">
        <v>0</v>
      </c>
      <c r="CS306" s="546">
        <v>0</v>
      </c>
      <c r="CT306" s="546">
        <v>0</v>
      </c>
      <c r="CU306" s="546">
        <v>0</v>
      </c>
      <c r="CV306" s="546">
        <v>0</v>
      </c>
      <c r="CW306" s="546">
        <v>0</v>
      </c>
      <c r="CX306" s="546">
        <v>0</v>
      </c>
      <c r="CY306" s="546">
        <v>0</v>
      </c>
      <c r="CZ306" s="618">
        <v>0</v>
      </c>
      <c r="DA306" s="618">
        <v>0</v>
      </c>
      <c r="DB306" s="618">
        <v>0</v>
      </c>
      <c r="DC306" s="618">
        <v>0</v>
      </c>
      <c r="DD306" s="618">
        <v>0</v>
      </c>
      <c r="DE306" s="618">
        <v>0</v>
      </c>
      <c r="DF306" s="618">
        <v>0</v>
      </c>
      <c r="DG306" s="618">
        <v>0</v>
      </c>
      <c r="DH306" s="618">
        <v>0</v>
      </c>
      <c r="DI306" s="618">
        <v>0</v>
      </c>
      <c r="DJ306" s="618">
        <v>0</v>
      </c>
      <c r="DK306" s="1034">
        <f t="shared" si="233"/>
        <v>0.40000000298023225</v>
      </c>
      <c r="DL306" s="543">
        <f t="shared" si="250"/>
        <v>0.25</v>
      </c>
      <c r="DM306" s="542">
        <f t="shared" si="251"/>
        <v>40.000000298023224</v>
      </c>
      <c r="DN306" s="594">
        <f t="shared" si="252"/>
        <v>40.000000298023224</v>
      </c>
      <c r="DO306" s="540">
        <f t="shared" si="253"/>
        <v>0.10000000074505806</v>
      </c>
      <c r="DP306" s="597">
        <f t="shared" si="263"/>
        <v>0.10000000074505806</v>
      </c>
      <c r="DQ306" s="538">
        <f t="shared" si="254"/>
        <v>0.10000000074505806</v>
      </c>
      <c r="DR306" s="617">
        <f t="shared" si="255"/>
        <v>1</v>
      </c>
      <c r="DS306" s="616">
        <f t="shared" si="256"/>
        <v>0</v>
      </c>
      <c r="DT306" s="259">
        <v>347</v>
      </c>
      <c r="DU306" s="260" t="s">
        <v>271</v>
      </c>
      <c r="DV306" s="259"/>
      <c r="DW306" s="260" t="s">
        <v>242</v>
      </c>
      <c r="DX306" s="259"/>
      <c r="DY306" s="259"/>
      <c r="DZ306" s="259"/>
      <c r="EA306" s="987"/>
      <c r="EB306" s="1041" t="s">
        <v>2637</v>
      </c>
      <c r="EC306" s="802">
        <v>0</v>
      </c>
      <c r="EE306" s="1047"/>
    </row>
    <row r="307" spans="4:135" s="534" customFormat="1" ht="72" hidden="1" x14ac:dyDescent="0.3">
      <c r="D307" s="783">
        <v>304</v>
      </c>
      <c r="E307" s="799">
        <v>358</v>
      </c>
      <c r="F307" s="739" t="s">
        <v>201</v>
      </c>
      <c r="G307" s="739" t="s">
        <v>240</v>
      </c>
      <c r="H307" s="739" t="s">
        <v>143</v>
      </c>
      <c r="I307" s="676" t="s">
        <v>923</v>
      </c>
      <c r="J307" s="573" t="s">
        <v>926</v>
      </c>
      <c r="K307" s="573" t="s">
        <v>927</v>
      </c>
      <c r="L307" s="687" t="s">
        <v>2186</v>
      </c>
      <c r="M307" s="571" t="s">
        <v>2017</v>
      </c>
      <c r="N307" s="571">
        <v>0</v>
      </c>
      <c r="O307" s="570">
        <f t="shared" si="262"/>
        <v>1</v>
      </c>
      <c r="P307" s="569">
        <v>1</v>
      </c>
      <c r="Q307" s="628">
        <v>0.25</v>
      </c>
      <c r="R307" s="580">
        <f t="shared" si="234"/>
        <v>0</v>
      </c>
      <c r="S307" s="627">
        <v>0</v>
      </c>
      <c r="T307" s="625">
        <f t="shared" si="220"/>
        <v>0</v>
      </c>
      <c r="U307" s="992">
        <v>0</v>
      </c>
      <c r="V307" s="626">
        <f t="shared" si="221"/>
        <v>0</v>
      </c>
      <c r="W307" s="594">
        <f t="shared" si="222"/>
        <v>0</v>
      </c>
      <c r="X307" s="594">
        <f t="shared" si="235"/>
        <v>0</v>
      </c>
      <c r="Y307" s="594">
        <f t="shared" si="259"/>
        <v>0</v>
      </c>
      <c r="Z307" s="594">
        <f t="shared" si="236"/>
        <v>0</v>
      </c>
      <c r="AA307" s="593">
        <v>0</v>
      </c>
      <c r="AB307" s="593">
        <v>0</v>
      </c>
      <c r="AC307" s="593">
        <v>0</v>
      </c>
      <c r="AD307" s="593">
        <v>0</v>
      </c>
      <c r="AE307" s="593">
        <v>0</v>
      </c>
      <c r="AF307" s="593">
        <v>0</v>
      </c>
      <c r="AG307" s="593">
        <v>0</v>
      </c>
      <c r="AH307" s="593">
        <v>0</v>
      </c>
      <c r="AI307" s="593">
        <v>0</v>
      </c>
      <c r="AJ307" s="593">
        <v>0</v>
      </c>
      <c r="AK307" s="593">
        <v>0</v>
      </c>
      <c r="AL307" s="593">
        <v>0</v>
      </c>
      <c r="AM307" s="593">
        <v>0</v>
      </c>
      <c r="AN307" s="593">
        <v>0</v>
      </c>
      <c r="AO307" s="593">
        <v>0</v>
      </c>
      <c r="AP307" s="593">
        <v>0</v>
      </c>
      <c r="AQ307" s="593">
        <v>0</v>
      </c>
      <c r="AR307" s="593">
        <v>0</v>
      </c>
      <c r="AS307" s="593">
        <v>0</v>
      </c>
      <c r="AT307" s="570">
        <f t="shared" si="237"/>
        <v>0.05</v>
      </c>
      <c r="AU307" s="571">
        <v>0.2</v>
      </c>
      <c r="AV307" s="625">
        <f t="shared" si="223"/>
        <v>0.2</v>
      </c>
      <c r="AW307" s="1003">
        <v>0.2</v>
      </c>
      <c r="AX307" s="604">
        <f t="shared" si="224"/>
        <v>0.2</v>
      </c>
      <c r="AY307" s="604">
        <f t="shared" si="225"/>
        <v>100</v>
      </c>
      <c r="AZ307" s="604">
        <f t="shared" si="238"/>
        <v>100</v>
      </c>
      <c r="BA307" s="592">
        <f t="shared" si="239"/>
        <v>0.05</v>
      </c>
      <c r="BB307" s="592">
        <f t="shared" si="240"/>
        <v>100</v>
      </c>
      <c r="BC307" s="591">
        <v>3380000000</v>
      </c>
      <c r="BD307" s="591">
        <v>0</v>
      </c>
      <c r="BE307" s="591">
        <v>2295000000</v>
      </c>
      <c r="BF307" s="591">
        <v>0</v>
      </c>
      <c r="BG307" s="591">
        <v>0</v>
      </c>
      <c r="BH307" s="591">
        <v>0</v>
      </c>
      <c r="BI307" s="591">
        <v>0</v>
      </c>
      <c r="BJ307" s="591">
        <v>1085000000</v>
      </c>
      <c r="BK307" s="624">
        <v>1000000000</v>
      </c>
      <c r="BL307" s="589">
        <v>0</v>
      </c>
      <c r="BM307" s="589">
        <v>0</v>
      </c>
      <c r="BN307" s="589">
        <v>0</v>
      </c>
      <c r="BO307" s="589">
        <v>0</v>
      </c>
      <c r="BP307" s="589">
        <v>1000000000</v>
      </c>
      <c r="BQ307" s="589">
        <v>0</v>
      </c>
      <c r="BR307" s="589">
        <v>0</v>
      </c>
      <c r="BS307" s="589">
        <v>0</v>
      </c>
      <c r="BT307" s="589">
        <v>0</v>
      </c>
      <c r="BU307" s="589">
        <v>0</v>
      </c>
      <c r="BV307" s="588">
        <f t="shared" si="241"/>
        <v>7.4999999999999997E-2</v>
      </c>
      <c r="BW307" s="588">
        <v>0.3</v>
      </c>
      <c r="BX307" s="623">
        <f t="shared" si="226"/>
        <v>0.3</v>
      </c>
      <c r="BY307" s="607">
        <v>0</v>
      </c>
      <c r="BZ307" s="629">
        <v>0.10000000149011612</v>
      </c>
      <c r="CA307" s="1017">
        <v>0.10000000149011612</v>
      </c>
      <c r="CB307" s="557">
        <f t="shared" si="227"/>
        <v>0.10000000149011612</v>
      </c>
      <c r="CC307" s="557">
        <f t="shared" si="228"/>
        <v>33.333333830038711</v>
      </c>
      <c r="CD307" s="622">
        <f t="shared" si="242"/>
        <v>33.333333830038711</v>
      </c>
      <c r="CE307" s="621">
        <f t="shared" si="243"/>
        <v>2.5000000372529033E-2</v>
      </c>
      <c r="CF307" s="605">
        <f t="shared" si="244"/>
        <v>33.333333830038711</v>
      </c>
      <c r="CG307" s="621">
        <f t="shared" si="245"/>
        <v>2.5000000372529033E-2</v>
      </c>
      <c r="CH307" s="553">
        <f t="shared" si="246"/>
        <v>0.125</v>
      </c>
      <c r="CI307" s="658">
        <v>0.5</v>
      </c>
      <c r="CJ307" s="551">
        <f t="shared" si="229"/>
        <v>0.5</v>
      </c>
      <c r="CK307" s="871">
        <v>0.6</v>
      </c>
      <c r="CL307" s="533">
        <f t="shared" si="230"/>
        <v>-9.9999999999999978E-2</v>
      </c>
      <c r="CM307" s="619">
        <f t="shared" si="231"/>
        <v>0.6</v>
      </c>
      <c r="CN307" s="619">
        <f t="shared" si="232"/>
        <v>120</v>
      </c>
      <c r="CO307" s="549">
        <f t="shared" si="247"/>
        <v>100</v>
      </c>
      <c r="CP307" s="619">
        <f t="shared" si="248"/>
        <v>0.125</v>
      </c>
      <c r="CQ307" s="619">
        <f t="shared" si="249"/>
        <v>0.15</v>
      </c>
      <c r="CR307" s="546">
        <v>6381000000</v>
      </c>
      <c r="CS307" s="546">
        <v>5296000000</v>
      </c>
      <c r="CT307" s="546">
        <v>0</v>
      </c>
      <c r="CU307" s="546">
        <v>0</v>
      </c>
      <c r="CV307" s="546">
        <v>0</v>
      </c>
      <c r="CW307" s="546">
        <v>0</v>
      </c>
      <c r="CX307" s="546">
        <v>0</v>
      </c>
      <c r="CY307" s="546">
        <v>1085000000</v>
      </c>
      <c r="CZ307" s="618">
        <v>0</v>
      </c>
      <c r="DA307" s="618">
        <v>0</v>
      </c>
      <c r="DB307" s="618">
        <v>0</v>
      </c>
      <c r="DC307" s="618">
        <v>0</v>
      </c>
      <c r="DD307" s="618">
        <v>0</v>
      </c>
      <c r="DE307" s="618">
        <v>0</v>
      </c>
      <c r="DF307" s="618">
        <v>0</v>
      </c>
      <c r="DG307" s="618">
        <v>0</v>
      </c>
      <c r="DH307" s="618">
        <v>0</v>
      </c>
      <c r="DI307" s="618">
        <v>0</v>
      </c>
      <c r="DJ307" s="618">
        <v>0</v>
      </c>
      <c r="DK307" s="1034">
        <f t="shared" si="233"/>
        <v>0.90000000149011616</v>
      </c>
      <c r="DL307" s="543">
        <f t="shared" si="250"/>
        <v>0.25</v>
      </c>
      <c r="DM307" s="542">
        <f t="shared" si="251"/>
        <v>90.000000149011612</v>
      </c>
      <c r="DN307" s="594">
        <f t="shared" si="252"/>
        <v>90.000000149011612</v>
      </c>
      <c r="DO307" s="540">
        <f t="shared" si="253"/>
        <v>0.22500000037252904</v>
      </c>
      <c r="DP307" s="597">
        <f t="shared" si="263"/>
        <v>0.22500000037252904</v>
      </c>
      <c r="DQ307" s="538">
        <f t="shared" si="254"/>
        <v>0.22500000037252904</v>
      </c>
      <c r="DR307" s="617">
        <f t="shared" si="255"/>
        <v>1</v>
      </c>
      <c r="DS307" s="616">
        <f t="shared" si="256"/>
        <v>0</v>
      </c>
      <c r="DT307" s="259">
        <v>347</v>
      </c>
      <c r="DU307" s="260" t="s">
        <v>271</v>
      </c>
      <c r="DV307" s="259"/>
      <c r="DW307" s="260" t="s">
        <v>242</v>
      </c>
      <c r="DX307" s="259"/>
      <c r="DY307" s="259"/>
      <c r="DZ307" s="259"/>
      <c r="EA307" s="987"/>
      <c r="EB307" s="1041" t="s">
        <v>2638</v>
      </c>
      <c r="EC307" s="802">
        <v>6381000000</v>
      </c>
      <c r="EE307" s="1047"/>
    </row>
    <row r="308" spans="4:135" s="534" customFormat="1" ht="137.25" customHeight="1" x14ac:dyDescent="0.3">
      <c r="D308" s="783">
        <v>305</v>
      </c>
      <c r="E308" s="800">
        <v>361</v>
      </c>
      <c r="F308" s="791" t="s">
        <v>201</v>
      </c>
      <c r="G308" s="791" t="s">
        <v>16</v>
      </c>
      <c r="H308" s="791" t="s">
        <v>144</v>
      </c>
      <c r="I308" s="792" t="s">
        <v>928</v>
      </c>
      <c r="J308" s="573" t="s">
        <v>929</v>
      </c>
      <c r="K308" s="573" t="s">
        <v>930</v>
      </c>
      <c r="L308" s="687" t="s">
        <v>1659</v>
      </c>
      <c r="M308" s="571" t="s">
        <v>2017</v>
      </c>
      <c r="N308" s="571">
        <v>116956</v>
      </c>
      <c r="O308" s="570">
        <f t="shared" si="262"/>
        <v>126956</v>
      </c>
      <c r="P308" s="569">
        <v>10000</v>
      </c>
      <c r="Q308" s="628">
        <v>0.33</v>
      </c>
      <c r="R308" s="580">
        <f t="shared" si="234"/>
        <v>6.6000000000000003E-2</v>
      </c>
      <c r="S308" s="627">
        <v>2000</v>
      </c>
      <c r="T308" s="625">
        <f t="shared" ref="T308:T371" si="264">IF($M308="M",0.25,(IF($P308&gt;0,S308/$P308," ")))</f>
        <v>0.2</v>
      </c>
      <c r="U308" s="992">
        <v>3400</v>
      </c>
      <c r="V308" s="626">
        <f t="shared" ref="V308:V371" si="265">+IF(M308="I",(+U308),IF(M308="M",(+U308)/4,))</f>
        <v>3400</v>
      </c>
      <c r="W308" s="594">
        <f t="shared" ref="W308:W371" si="266">IF(S308=0,0,+U308*100/S308)</f>
        <v>170</v>
      </c>
      <c r="X308" s="594">
        <f t="shared" si="235"/>
        <v>100</v>
      </c>
      <c r="Y308" s="594">
        <f t="shared" si="259"/>
        <v>6.6000000000000003E-2</v>
      </c>
      <c r="Z308" s="594">
        <f t="shared" si="236"/>
        <v>100</v>
      </c>
      <c r="AA308" s="593">
        <v>2046000000</v>
      </c>
      <c r="AB308" s="593">
        <v>1453000000</v>
      </c>
      <c r="AC308" s="593">
        <v>0</v>
      </c>
      <c r="AD308" s="593">
        <v>0</v>
      </c>
      <c r="AE308" s="593">
        <v>0</v>
      </c>
      <c r="AF308" s="593">
        <v>0</v>
      </c>
      <c r="AG308" s="593">
        <v>0</v>
      </c>
      <c r="AH308" s="593">
        <v>593000000</v>
      </c>
      <c r="AI308" s="593">
        <v>1463520000</v>
      </c>
      <c r="AJ308" s="593">
        <v>1463520000</v>
      </c>
      <c r="AK308" s="593">
        <v>0</v>
      </c>
      <c r="AL308" s="593">
        <v>0</v>
      </c>
      <c r="AM308" s="593">
        <v>0</v>
      </c>
      <c r="AN308" s="593">
        <v>0</v>
      </c>
      <c r="AO308" s="593">
        <v>0</v>
      </c>
      <c r="AP308" s="593">
        <v>0</v>
      </c>
      <c r="AQ308" s="593">
        <v>0</v>
      </c>
      <c r="AR308" s="593">
        <v>607244000</v>
      </c>
      <c r="AS308" s="593" t="s">
        <v>2185</v>
      </c>
      <c r="AT308" s="570">
        <f t="shared" si="237"/>
        <v>9.9000000000000005E-2</v>
      </c>
      <c r="AU308" s="571">
        <v>3000</v>
      </c>
      <c r="AV308" s="625">
        <f t="shared" ref="AV308:AV371" si="267">IF($M308="M",0.25,(IF($P308&gt;0,AU308/$P308," ")))</f>
        <v>0.3</v>
      </c>
      <c r="AW308" s="1003">
        <v>5348</v>
      </c>
      <c r="AX308" s="604">
        <f t="shared" ref="AX308:AX371" si="268">+IF(M308="I",(+AW308),IF(M308="M",(+AW308)/4,))</f>
        <v>5348</v>
      </c>
      <c r="AY308" s="604">
        <f t="shared" ref="AY308:AY371" si="269">IF(AU308=0,0,+AW308*100/AU308)</f>
        <v>178.26666666666668</v>
      </c>
      <c r="AZ308" s="604">
        <f t="shared" si="238"/>
        <v>100</v>
      </c>
      <c r="BA308" s="592">
        <f t="shared" si="239"/>
        <v>9.9000000000000005E-2</v>
      </c>
      <c r="BB308" s="592">
        <f t="shared" si="240"/>
        <v>100</v>
      </c>
      <c r="BC308" s="591">
        <v>909000000</v>
      </c>
      <c r="BD308" s="591">
        <v>0</v>
      </c>
      <c r="BE308" s="591">
        <v>659000000</v>
      </c>
      <c r="BF308" s="591">
        <v>0</v>
      </c>
      <c r="BG308" s="591">
        <v>0</v>
      </c>
      <c r="BH308" s="591">
        <v>0</v>
      </c>
      <c r="BI308" s="591">
        <v>0</v>
      </c>
      <c r="BJ308" s="591">
        <v>250000000</v>
      </c>
      <c r="BK308" s="624">
        <v>11711268998</v>
      </c>
      <c r="BL308" s="589">
        <v>1011704520</v>
      </c>
      <c r="BM308" s="589">
        <v>0</v>
      </c>
      <c r="BN308" s="589">
        <v>0</v>
      </c>
      <c r="BO308" s="589">
        <v>0</v>
      </c>
      <c r="BP308" s="589">
        <v>10699564478</v>
      </c>
      <c r="BQ308" s="589">
        <v>0</v>
      </c>
      <c r="BR308" s="589">
        <v>0</v>
      </c>
      <c r="BS308" s="589">
        <v>0</v>
      </c>
      <c r="BT308" s="589">
        <v>4299544799</v>
      </c>
      <c r="BU308" s="589" t="s">
        <v>2184</v>
      </c>
      <c r="BV308" s="588">
        <f t="shared" si="241"/>
        <v>9.9000000000000005E-2</v>
      </c>
      <c r="BW308" s="588">
        <v>3000</v>
      </c>
      <c r="BX308" s="623">
        <f t="shared" ref="BX308:BX371" si="270">IF($M308="M",0.25,(IF($P308&gt;0,BW308/$P308," ")))</f>
        <v>0.3</v>
      </c>
      <c r="BY308" s="607">
        <v>40</v>
      </c>
      <c r="BZ308" s="629">
        <v>40</v>
      </c>
      <c r="CA308" s="1050">
        <v>783.5999755859375</v>
      </c>
      <c r="CB308" s="557">
        <f t="shared" ref="CB308:CB371" si="271">+IF(M308="I",(+CA308),IF(M308="M",(+CA308)/4,))</f>
        <v>783.5999755859375</v>
      </c>
      <c r="CC308" s="557">
        <f t="shared" ref="CC308:CC371" si="272">IF(BW308=0,0,+CA308*100/BW308)</f>
        <v>26.119999186197916</v>
      </c>
      <c r="CD308" s="622">
        <f t="shared" si="242"/>
        <v>26.119999186197916</v>
      </c>
      <c r="CE308" s="621">
        <f t="shared" si="243"/>
        <v>2.5858799194335938E-2</v>
      </c>
      <c r="CF308" s="605">
        <f t="shared" si="244"/>
        <v>26.119999186197916</v>
      </c>
      <c r="CG308" s="621">
        <f t="shared" si="245"/>
        <v>2.5858799194335938E-2</v>
      </c>
      <c r="CH308" s="553">
        <f t="shared" si="246"/>
        <v>6.6000000000000003E-2</v>
      </c>
      <c r="CI308" s="552">
        <v>2000</v>
      </c>
      <c r="CJ308" s="551">
        <f t="shared" ref="CJ308:CJ371" si="273">IF($M308="M",0.25,(IF($P308&gt;0,CI308/$P308," ")))</f>
        <v>0.2</v>
      </c>
      <c r="CK308" s="1048">
        <v>31</v>
      </c>
      <c r="CL308" s="533">
        <f t="shared" ref="CL308:CL371" si="274">+CI308-CK308</f>
        <v>1969</v>
      </c>
      <c r="CM308" s="619">
        <f t="shared" ref="CM308:CM371" si="275">+IF(M308="I",(+CK308),IF(M308="M",(+CK308)/4,))</f>
        <v>31</v>
      </c>
      <c r="CN308" s="619">
        <f t="shared" ref="CN308:CN371" si="276">IF(CI308=0,0,+CK308*100/CI308)</f>
        <v>1.55</v>
      </c>
      <c r="CO308" s="549">
        <f t="shared" si="247"/>
        <v>1.55</v>
      </c>
      <c r="CP308" s="619">
        <f t="shared" si="248"/>
        <v>1.023E-3</v>
      </c>
      <c r="CQ308" s="619">
        <f t="shared" si="249"/>
        <v>1.023E-3</v>
      </c>
      <c r="CR308" s="546">
        <v>949000000</v>
      </c>
      <c r="CS308" s="546">
        <v>699000000</v>
      </c>
      <c r="CT308" s="546">
        <v>0</v>
      </c>
      <c r="CU308" s="546">
        <v>0</v>
      </c>
      <c r="CV308" s="546">
        <v>0</v>
      </c>
      <c r="CW308" s="546">
        <v>0</v>
      </c>
      <c r="CX308" s="546">
        <v>0</v>
      </c>
      <c r="CY308" s="546">
        <v>250000000</v>
      </c>
      <c r="CZ308" s="618">
        <v>0</v>
      </c>
      <c r="DA308" s="618">
        <v>0</v>
      </c>
      <c r="DB308" s="618">
        <v>0</v>
      </c>
      <c r="DC308" s="618">
        <v>0</v>
      </c>
      <c r="DD308" s="618">
        <v>0</v>
      </c>
      <c r="DE308" s="618">
        <v>0</v>
      </c>
      <c r="DF308" s="618">
        <v>0</v>
      </c>
      <c r="DG308" s="618">
        <v>0</v>
      </c>
      <c r="DH308" s="618">
        <v>0</v>
      </c>
      <c r="DI308" s="618">
        <v>0</v>
      </c>
      <c r="DJ308" s="618">
        <v>0</v>
      </c>
      <c r="DK308" s="1035">
        <f t="shared" ref="DK308:DK371" si="277">+IF(M308="I",(+U308+AW308+CA308+CK308),IF(M308="M",(+U308+AW308+CA308+CK308)/4,))</f>
        <v>9562.5999755859375</v>
      </c>
      <c r="DL308" s="543">
        <f t="shared" si="250"/>
        <v>0.33</v>
      </c>
      <c r="DM308" s="542">
        <f t="shared" si="251"/>
        <v>95.625999755859368</v>
      </c>
      <c r="DN308" s="594">
        <f t="shared" si="252"/>
        <v>95.625999755859368</v>
      </c>
      <c r="DO308" s="540">
        <f t="shared" si="253"/>
        <v>0.31556579919433592</v>
      </c>
      <c r="DP308" s="597">
        <f t="shared" si="263"/>
        <v>0.31556579919433592</v>
      </c>
      <c r="DQ308" s="538">
        <f t="shared" si="254"/>
        <v>0.31556579919433592</v>
      </c>
      <c r="DR308" s="617">
        <f t="shared" si="255"/>
        <v>1</v>
      </c>
      <c r="DS308" s="616">
        <f t="shared" si="256"/>
        <v>0</v>
      </c>
      <c r="DT308" s="259">
        <v>359</v>
      </c>
      <c r="DU308" s="260" t="s">
        <v>269</v>
      </c>
      <c r="DV308" s="259">
        <v>360</v>
      </c>
      <c r="DW308" s="260" t="s">
        <v>268</v>
      </c>
      <c r="DX308" s="259"/>
      <c r="DY308" s="259"/>
      <c r="DZ308" s="259"/>
      <c r="EA308" s="987"/>
      <c r="EB308" s="1041" t="s">
        <v>2905</v>
      </c>
      <c r="EC308" s="802">
        <v>929000000</v>
      </c>
      <c r="EE308" s="1047">
        <v>100</v>
      </c>
    </row>
    <row r="309" spans="4:135" s="534" customFormat="1" ht="96" x14ac:dyDescent="0.3">
      <c r="D309" s="783">
        <v>306</v>
      </c>
      <c r="E309" s="799">
        <v>362</v>
      </c>
      <c r="F309" s="739" t="s">
        <v>201</v>
      </c>
      <c r="G309" s="739" t="s">
        <v>16</v>
      </c>
      <c r="H309" s="739" t="s">
        <v>144</v>
      </c>
      <c r="I309" s="676" t="s">
        <v>928</v>
      </c>
      <c r="J309" s="573" t="s">
        <v>931</v>
      </c>
      <c r="K309" s="573" t="s">
        <v>932</v>
      </c>
      <c r="L309" s="693" t="s">
        <v>2183</v>
      </c>
      <c r="M309" s="571" t="s">
        <v>2017</v>
      </c>
      <c r="N309" s="571">
        <v>4</v>
      </c>
      <c r="O309" s="570">
        <f t="shared" si="262"/>
        <v>8</v>
      </c>
      <c r="P309" s="569">
        <v>4</v>
      </c>
      <c r="Q309" s="628">
        <v>0.25</v>
      </c>
      <c r="R309" s="580">
        <f t="shared" si="234"/>
        <v>6.25E-2</v>
      </c>
      <c r="S309" s="627">
        <v>1</v>
      </c>
      <c r="T309" s="625">
        <f t="shared" si="264"/>
        <v>0.25</v>
      </c>
      <c r="U309" s="992">
        <v>1</v>
      </c>
      <c r="V309" s="626">
        <f t="shared" si="265"/>
        <v>1</v>
      </c>
      <c r="W309" s="594">
        <f t="shared" si="266"/>
        <v>100</v>
      </c>
      <c r="X309" s="594">
        <f t="shared" si="235"/>
        <v>100</v>
      </c>
      <c r="Y309" s="594">
        <f t="shared" si="259"/>
        <v>6.25E-2</v>
      </c>
      <c r="Z309" s="594">
        <f t="shared" si="236"/>
        <v>100</v>
      </c>
      <c r="AA309" s="593">
        <v>108000000</v>
      </c>
      <c r="AB309" s="593">
        <v>106000000</v>
      </c>
      <c r="AC309" s="593">
        <v>0</v>
      </c>
      <c r="AD309" s="593">
        <v>0</v>
      </c>
      <c r="AE309" s="593">
        <v>0</v>
      </c>
      <c r="AF309" s="593">
        <v>0</v>
      </c>
      <c r="AG309" s="593">
        <v>0</v>
      </c>
      <c r="AH309" s="593">
        <v>2000000</v>
      </c>
      <c r="AI309" s="593">
        <v>181342000</v>
      </c>
      <c r="AJ309" s="593">
        <v>181342000</v>
      </c>
      <c r="AK309" s="593">
        <v>0</v>
      </c>
      <c r="AL309" s="593">
        <v>0</v>
      </c>
      <c r="AM309" s="593">
        <v>0</v>
      </c>
      <c r="AN309" s="593">
        <v>0</v>
      </c>
      <c r="AO309" s="593">
        <v>0</v>
      </c>
      <c r="AP309" s="593">
        <v>0</v>
      </c>
      <c r="AQ309" s="593">
        <v>0</v>
      </c>
      <c r="AR309" s="593">
        <v>6180000</v>
      </c>
      <c r="AS309" s="593" t="s">
        <v>2182</v>
      </c>
      <c r="AT309" s="570">
        <f t="shared" si="237"/>
        <v>6.25E-2</v>
      </c>
      <c r="AU309" s="571">
        <v>1</v>
      </c>
      <c r="AV309" s="625">
        <f t="shared" si="267"/>
        <v>0.25</v>
      </c>
      <c r="AW309" s="1003">
        <v>1</v>
      </c>
      <c r="AX309" s="604">
        <f t="shared" si="268"/>
        <v>1</v>
      </c>
      <c r="AY309" s="604">
        <f t="shared" si="269"/>
        <v>100</v>
      </c>
      <c r="AZ309" s="604">
        <f t="shared" si="238"/>
        <v>100</v>
      </c>
      <c r="BA309" s="592">
        <f t="shared" si="239"/>
        <v>6.25E-2</v>
      </c>
      <c r="BB309" s="592">
        <f t="shared" si="240"/>
        <v>100</v>
      </c>
      <c r="BC309" s="591">
        <v>204000000</v>
      </c>
      <c r="BD309" s="591">
        <v>0</v>
      </c>
      <c r="BE309" s="591">
        <v>204000000</v>
      </c>
      <c r="BF309" s="591">
        <v>0</v>
      </c>
      <c r="BG309" s="591">
        <v>0</v>
      </c>
      <c r="BH309" s="591">
        <v>0</v>
      </c>
      <c r="BI309" s="591">
        <v>0</v>
      </c>
      <c r="BJ309" s="591">
        <v>0</v>
      </c>
      <c r="BK309" s="624">
        <v>137417921</v>
      </c>
      <c r="BL309" s="589">
        <v>137417921</v>
      </c>
      <c r="BM309" s="589">
        <v>0</v>
      </c>
      <c r="BN309" s="589">
        <v>0</v>
      </c>
      <c r="BO309" s="589">
        <v>0</v>
      </c>
      <c r="BP309" s="589">
        <v>0</v>
      </c>
      <c r="BQ309" s="589">
        <v>0</v>
      </c>
      <c r="BR309" s="589">
        <v>0</v>
      </c>
      <c r="BS309" s="589">
        <v>0</v>
      </c>
      <c r="BT309" s="589">
        <v>12000000</v>
      </c>
      <c r="BU309" s="589" t="s">
        <v>2181</v>
      </c>
      <c r="BV309" s="588">
        <f t="shared" si="241"/>
        <v>6.25E-2</v>
      </c>
      <c r="BW309" s="588">
        <v>1</v>
      </c>
      <c r="BX309" s="623">
        <f t="shared" si="270"/>
        <v>0.25</v>
      </c>
      <c r="BY309" s="607">
        <v>1</v>
      </c>
      <c r="BZ309" s="629">
        <v>0</v>
      </c>
      <c r="CA309" s="1024">
        <v>2</v>
      </c>
      <c r="CB309" s="557">
        <f t="shared" si="271"/>
        <v>2</v>
      </c>
      <c r="CC309" s="557">
        <f t="shared" si="272"/>
        <v>200</v>
      </c>
      <c r="CD309" s="622">
        <f t="shared" si="242"/>
        <v>100</v>
      </c>
      <c r="CE309" s="621">
        <f t="shared" si="243"/>
        <v>6.25E-2</v>
      </c>
      <c r="CF309" s="605">
        <f t="shared" si="244"/>
        <v>100</v>
      </c>
      <c r="CG309" s="621">
        <f t="shared" si="245"/>
        <v>0.125</v>
      </c>
      <c r="CH309" s="553">
        <f t="shared" si="246"/>
        <v>6.25E-2</v>
      </c>
      <c r="CI309" s="552">
        <v>1</v>
      </c>
      <c r="CJ309" s="551">
        <f t="shared" si="273"/>
        <v>0.25</v>
      </c>
      <c r="CK309" s="1048">
        <v>1</v>
      </c>
      <c r="CL309" s="533">
        <f t="shared" si="274"/>
        <v>0</v>
      </c>
      <c r="CM309" s="619">
        <f t="shared" si="275"/>
        <v>1</v>
      </c>
      <c r="CN309" s="619">
        <f t="shared" si="276"/>
        <v>100</v>
      </c>
      <c r="CO309" s="549">
        <f t="shared" si="247"/>
        <v>100</v>
      </c>
      <c r="CP309" s="619">
        <f t="shared" si="248"/>
        <v>6.25E-2</v>
      </c>
      <c r="CQ309" s="619">
        <f t="shared" si="249"/>
        <v>6.25E-2</v>
      </c>
      <c r="CR309" s="546">
        <v>255000000</v>
      </c>
      <c r="CS309" s="546">
        <v>255000000</v>
      </c>
      <c r="CT309" s="546">
        <v>0</v>
      </c>
      <c r="CU309" s="546">
        <v>0</v>
      </c>
      <c r="CV309" s="546">
        <v>0</v>
      </c>
      <c r="CW309" s="546">
        <v>0</v>
      </c>
      <c r="CX309" s="546">
        <v>0</v>
      </c>
      <c r="CY309" s="546">
        <v>0</v>
      </c>
      <c r="CZ309" s="618">
        <v>0</v>
      </c>
      <c r="DA309" s="618">
        <v>0</v>
      </c>
      <c r="DB309" s="618">
        <v>0</v>
      </c>
      <c r="DC309" s="618">
        <v>0</v>
      </c>
      <c r="DD309" s="618">
        <v>0</v>
      </c>
      <c r="DE309" s="618">
        <v>0</v>
      </c>
      <c r="DF309" s="618">
        <v>0</v>
      </c>
      <c r="DG309" s="618">
        <v>0</v>
      </c>
      <c r="DH309" s="618">
        <v>0</v>
      </c>
      <c r="DI309" s="618">
        <v>0</v>
      </c>
      <c r="DJ309" s="618">
        <v>0</v>
      </c>
      <c r="DK309" s="1051">
        <f t="shared" si="277"/>
        <v>5</v>
      </c>
      <c r="DL309" s="543">
        <f t="shared" si="250"/>
        <v>0.25</v>
      </c>
      <c r="DM309" s="542">
        <f t="shared" si="251"/>
        <v>125</v>
      </c>
      <c r="DN309" s="594">
        <f t="shared" si="252"/>
        <v>100</v>
      </c>
      <c r="DO309" s="540">
        <f t="shared" si="253"/>
        <v>0.25</v>
      </c>
      <c r="DP309" s="597">
        <f t="shared" si="263"/>
        <v>0.25</v>
      </c>
      <c r="DQ309" s="538">
        <f t="shared" si="254"/>
        <v>0.25</v>
      </c>
      <c r="DR309" s="617">
        <f t="shared" si="255"/>
        <v>1</v>
      </c>
      <c r="DS309" s="616">
        <f t="shared" si="256"/>
        <v>0</v>
      </c>
      <c r="DT309" s="259">
        <v>359</v>
      </c>
      <c r="DU309" s="260" t="s">
        <v>269</v>
      </c>
      <c r="DV309" s="259">
        <v>360</v>
      </c>
      <c r="DW309" s="260" t="s">
        <v>268</v>
      </c>
      <c r="DX309" s="259"/>
      <c r="DY309" s="259"/>
      <c r="DZ309" s="259"/>
      <c r="EA309" s="987"/>
      <c r="EB309" s="1041" t="s">
        <v>2879</v>
      </c>
      <c r="EC309" s="802">
        <v>247000000</v>
      </c>
      <c r="EE309" s="1047">
        <v>100</v>
      </c>
    </row>
    <row r="310" spans="4:135" s="534" customFormat="1" ht="204" x14ac:dyDescent="0.3">
      <c r="D310" s="783">
        <v>307</v>
      </c>
      <c r="E310" s="798">
        <v>363</v>
      </c>
      <c r="F310" s="793" t="s">
        <v>201</v>
      </c>
      <c r="G310" s="793" t="s">
        <v>16</v>
      </c>
      <c r="H310" s="793" t="s">
        <v>144</v>
      </c>
      <c r="I310" s="794" t="s">
        <v>928</v>
      </c>
      <c r="J310" s="573" t="s">
        <v>933</v>
      </c>
      <c r="K310" s="573" t="s">
        <v>934</v>
      </c>
      <c r="L310" s="687" t="s">
        <v>2180</v>
      </c>
      <c r="M310" s="571" t="s">
        <v>2032</v>
      </c>
      <c r="N310" s="571">
        <v>3</v>
      </c>
      <c r="O310" s="570">
        <f>+P310</f>
        <v>3</v>
      </c>
      <c r="P310" s="569">
        <v>3</v>
      </c>
      <c r="Q310" s="628">
        <v>0.33</v>
      </c>
      <c r="R310" s="580">
        <f t="shared" si="234"/>
        <v>8.2500000000000004E-2</v>
      </c>
      <c r="S310" s="627">
        <v>3</v>
      </c>
      <c r="T310" s="625">
        <f t="shared" si="264"/>
        <v>0.25</v>
      </c>
      <c r="U310" s="992">
        <v>3</v>
      </c>
      <c r="V310" s="626">
        <f t="shared" si="265"/>
        <v>0.75</v>
      </c>
      <c r="W310" s="594">
        <f t="shared" si="266"/>
        <v>100</v>
      </c>
      <c r="X310" s="594">
        <f t="shared" si="235"/>
        <v>100</v>
      </c>
      <c r="Y310" s="594">
        <f t="shared" si="259"/>
        <v>8.2500000000000004E-2</v>
      </c>
      <c r="Z310" s="594">
        <f t="shared" si="236"/>
        <v>100</v>
      </c>
      <c r="AA310" s="593">
        <v>1034000000</v>
      </c>
      <c r="AB310" s="593">
        <v>857000000</v>
      </c>
      <c r="AC310" s="593">
        <v>0</v>
      </c>
      <c r="AD310" s="593">
        <v>0</v>
      </c>
      <c r="AE310" s="593">
        <v>0</v>
      </c>
      <c r="AF310" s="593">
        <v>0</v>
      </c>
      <c r="AG310" s="593">
        <v>0</v>
      </c>
      <c r="AH310" s="593">
        <v>177000000</v>
      </c>
      <c r="AI310" s="593">
        <v>1677817000</v>
      </c>
      <c r="AJ310" s="593">
        <v>1677817000</v>
      </c>
      <c r="AK310" s="593">
        <v>0</v>
      </c>
      <c r="AL310" s="593">
        <v>0</v>
      </c>
      <c r="AM310" s="593">
        <v>0</v>
      </c>
      <c r="AN310" s="593">
        <v>0</v>
      </c>
      <c r="AO310" s="593">
        <v>0</v>
      </c>
      <c r="AP310" s="593">
        <v>0</v>
      </c>
      <c r="AQ310" s="593">
        <v>0</v>
      </c>
      <c r="AR310" s="593">
        <v>182905000</v>
      </c>
      <c r="AS310" s="593" t="s">
        <v>2179</v>
      </c>
      <c r="AT310" s="570">
        <f t="shared" si="237"/>
        <v>8.2500000000000004E-2</v>
      </c>
      <c r="AU310" s="571">
        <v>3</v>
      </c>
      <c r="AV310" s="625">
        <f t="shared" si="267"/>
        <v>0.25</v>
      </c>
      <c r="AW310" s="1003">
        <v>3</v>
      </c>
      <c r="AX310" s="604">
        <f t="shared" si="268"/>
        <v>0.75</v>
      </c>
      <c r="AY310" s="604">
        <f t="shared" si="269"/>
        <v>100</v>
      </c>
      <c r="AZ310" s="604">
        <f t="shared" si="238"/>
        <v>100</v>
      </c>
      <c r="BA310" s="592">
        <f t="shared" si="239"/>
        <v>8.2500000000000004E-2</v>
      </c>
      <c r="BB310" s="592">
        <f t="shared" si="240"/>
        <v>100</v>
      </c>
      <c r="BC310" s="591">
        <v>240000000</v>
      </c>
      <c r="BD310" s="591">
        <v>0</v>
      </c>
      <c r="BE310" s="591">
        <v>240000000</v>
      </c>
      <c r="BF310" s="591">
        <v>0</v>
      </c>
      <c r="BG310" s="591">
        <v>0</v>
      </c>
      <c r="BH310" s="591">
        <v>0</v>
      </c>
      <c r="BI310" s="591">
        <v>0</v>
      </c>
      <c r="BJ310" s="591">
        <v>0</v>
      </c>
      <c r="BK310" s="624">
        <v>2219745207</v>
      </c>
      <c r="BL310" s="589">
        <v>1319745207</v>
      </c>
      <c r="BM310" s="589">
        <v>0</v>
      </c>
      <c r="BN310" s="589">
        <v>0</v>
      </c>
      <c r="BO310" s="589">
        <v>0</v>
      </c>
      <c r="BP310" s="589">
        <v>900000000</v>
      </c>
      <c r="BQ310" s="589">
        <v>0</v>
      </c>
      <c r="BR310" s="589">
        <v>0</v>
      </c>
      <c r="BS310" s="589">
        <v>0</v>
      </c>
      <c r="BT310" s="589">
        <v>2347582687</v>
      </c>
      <c r="BU310" s="589" t="s">
        <v>2178</v>
      </c>
      <c r="BV310" s="588">
        <f t="shared" si="241"/>
        <v>8.2500000000000004E-2</v>
      </c>
      <c r="BW310" s="588">
        <v>3</v>
      </c>
      <c r="BX310" s="623">
        <f t="shared" si="270"/>
        <v>0.25</v>
      </c>
      <c r="BY310" s="639">
        <v>0</v>
      </c>
      <c r="BZ310" s="638">
        <v>2</v>
      </c>
      <c r="CA310" s="1018">
        <v>3</v>
      </c>
      <c r="CB310" s="557">
        <f t="shared" si="271"/>
        <v>0.75</v>
      </c>
      <c r="CC310" s="557">
        <f t="shared" si="272"/>
        <v>100</v>
      </c>
      <c r="CD310" s="622">
        <f t="shared" si="242"/>
        <v>100</v>
      </c>
      <c r="CE310" s="621">
        <f t="shared" si="243"/>
        <v>8.2500000000000004E-2</v>
      </c>
      <c r="CF310" s="605">
        <f t="shared" si="244"/>
        <v>100</v>
      </c>
      <c r="CG310" s="621">
        <f t="shared" si="245"/>
        <v>8.2500000000000004E-2</v>
      </c>
      <c r="CH310" s="553">
        <f t="shared" si="246"/>
        <v>8.2500000000000004E-2</v>
      </c>
      <c r="CI310" s="552">
        <v>3</v>
      </c>
      <c r="CJ310" s="551">
        <f t="shared" si="273"/>
        <v>0.25</v>
      </c>
      <c r="CK310" s="1048">
        <v>3</v>
      </c>
      <c r="CL310" s="533">
        <f t="shared" si="274"/>
        <v>0</v>
      </c>
      <c r="CM310" s="619">
        <f t="shared" si="275"/>
        <v>0.75</v>
      </c>
      <c r="CN310" s="619">
        <f t="shared" si="276"/>
        <v>100</v>
      </c>
      <c r="CO310" s="619">
        <f t="shared" si="247"/>
        <v>100</v>
      </c>
      <c r="CP310" s="619">
        <f t="shared" si="248"/>
        <v>8.2500000000000004E-2</v>
      </c>
      <c r="CQ310" s="619">
        <f t="shared" si="249"/>
        <v>8.2500000000000004E-2</v>
      </c>
      <c r="CR310" s="546">
        <v>216000000</v>
      </c>
      <c r="CS310" s="546">
        <v>216000000</v>
      </c>
      <c r="CT310" s="546">
        <v>0</v>
      </c>
      <c r="CU310" s="546">
        <v>0</v>
      </c>
      <c r="CV310" s="546">
        <v>0</v>
      </c>
      <c r="CW310" s="546">
        <v>0</v>
      </c>
      <c r="CX310" s="546">
        <v>0</v>
      </c>
      <c r="CY310" s="546">
        <v>0</v>
      </c>
      <c r="CZ310" s="618">
        <v>0</v>
      </c>
      <c r="DA310" s="618">
        <v>0</v>
      </c>
      <c r="DB310" s="618">
        <v>0</v>
      </c>
      <c r="DC310" s="618">
        <v>0</v>
      </c>
      <c r="DD310" s="618">
        <v>0</v>
      </c>
      <c r="DE310" s="618">
        <v>0</v>
      </c>
      <c r="DF310" s="618">
        <v>0</v>
      </c>
      <c r="DG310" s="618">
        <v>0</v>
      </c>
      <c r="DH310" s="618">
        <v>0</v>
      </c>
      <c r="DI310" s="618">
        <v>0</v>
      </c>
      <c r="DJ310" s="618">
        <v>0</v>
      </c>
      <c r="DK310" s="1051">
        <f t="shared" si="277"/>
        <v>3</v>
      </c>
      <c r="DL310" s="543">
        <f t="shared" si="250"/>
        <v>0.33</v>
      </c>
      <c r="DM310" s="542">
        <f t="shared" si="251"/>
        <v>100</v>
      </c>
      <c r="DN310" s="594">
        <f t="shared" si="252"/>
        <v>100</v>
      </c>
      <c r="DO310" s="540">
        <f t="shared" si="253"/>
        <v>0.33</v>
      </c>
      <c r="DP310" s="597">
        <f>+IF(M310="M",DO310,0)</f>
        <v>0.33</v>
      </c>
      <c r="DQ310" s="538">
        <f t="shared" si="254"/>
        <v>0.33</v>
      </c>
      <c r="DR310" s="617">
        <f t="shared" si="255"/>
        <v>1</v>
      </c>
      <c r="DS310" s="616">
        <f t="shared" si="256"/>
        <v>0</v>
      </c>
      <c r="DT310" s="259">
        <v>359</v>
      </c>
      <c r="DU310" s="260" t="s">
        <v>269</v>
      </c>
      <c r="DV310" s="259">
        <v>360</v>
      </c>
      <c r="DW310" s="260" t="s">
        <v>268</v>
      </c>
      <c r="DX310" s="259"/>
      <c r="DY310" s="259"/>
      <c r="DZ310" s="259"/>
      <c r="EA310" s="987"/>
      <c r="EB310" s="1041" t="s">
        <v>2880</v>
      </c>
      <c r="EC310" s="802">
        <v>210000000</v>
      </c>
      <c r="EE310" s="1047">
        <v>100</v>
      </c>
    </row>
    <row r="311" spans="4:135" s="534" customFormat="1" ht="100.5" customHeight="1" x14ac:dyDescent="0.3">
      <c r="D311" s="783">
        <v>308</v>
      </c>
      <c r="E311" s="799">
        <v>364</v>
      </c>
      <c r="F311" s="739" t="s">
        <v>201</v>
      </c>
      <c r="G311" s="739" t="s">
        <v>16</v>
      </c>
      <c r="H311" s="739" t="s">
        <v>144</v>
      </c>
      <c r="I311" s="676" t="s">
        <v>928</v>
      </c>
      <c r="J311" s="573" t="s">
        <v>935</v>
      </c>
      <c r="K311" s="573" t="s">
        <v>936</v>
      </c>
      <c r="L311" s="687" t="s">
        <v>2101</v>
      </c>
      <c r="M311" s="571" t="s">
        <v>2017</v>
      </c>
      <c r="N311" s="571">
        <v>60</v>
      </c>
      <c r="O311" s="570">
        <f t="shared" ref="O311:O316" si="278">+N311+P311</f>
        <v>80</v>
      </c>
      <c r="P311" s="569">
        <v>20</v>
      </c>
      <c r="Q311" s="628">
        <v>0.16500000000000001</v>
      </c>
      <c r="R311" s="580">
        <f t="shared" si="234"/>
        <v>6.6000000000000003E-2</v>
      </c>
      <c r="S311" s="627">
        <v>8</v>
      </c>
      <c r="T311" s="625">
        <f t="shared" si="264"/>
        <v>0.4</v>
      </c>
      <c r="U311" s="992">
        <v>8</v>
      </c>
      <c r="V311" s="626">
        <f t="shared" si="265"/>
        <v>8</v>
      </c>
      <c r="W311" s="594">
        <f t="shared" si="266"/>
        <v>100</v>
      </c>
      <c r="X311" s="594">
        <f t="shared" si="235"/>
        <v>100</v>
      </c>
      <c r="Y311" s="594">
        <f t="shared" si="259"/>
        <v>6.6000000000000003E-2</v>
      </c>
      <c r="Z311" s="594">
        <f t="shared" si="236"/>
        <v>100</v>
      </c>
      <c r="AA311" s="593">
        <v>2930000000</v>
      </c>
      <c r="AB311" s="593">
        <v>2911000000</v>
      </c>
      <c r="AC311" s="593">
        <v>0</v>
      </c>
      <c r="AD311" s="593">
        <v>0</v>
      </c>
      <c r="AE311" s="593">
        <v>0</v>
      </c>
      <c r="AF311" s="593">
        <v>0</v>
      </c>
      <c r="AG311" s="593">
        <v>0</v>
      </c>
      <c r="AH311" s="593">
        <v>19000000</v>
      </c>
      <c r="AI311" s="593">
        <v>2805227000</v>
      </c>
      <c r="AJ311" s="593">
        <v>2805227000</v>
      </c>
      <c r="AK311" s="593">
        <v>0</v>
      </c>
      <c r="AL311" s="593">
        <v>0</v>
      </c>
      <c r="AM311" s="593">
        <v>0</v>
      </c>
      <c r="AN311" s="593">
        <v>0</v>
      </c>
      <c r="AO311" s="593">
        <v>0</v>
      </c>
      <c r="AP311" s="593">
        <v>0</v>
      </c>
      <c r="AQ311" s="593">
        <v>0</v>
      </c>
      <c r="AR311" s="593">
        <v>1822349000</v>
      </c>
      <c r="AS311" s="593" t="s">
        <v>2177</v>
      </c>
      <c r="AT311" s="570">
        <f t="shared" si="237"/>
        <v>4.1250000000000002E-2</v>
      </c>
      <c r="AU311" s="571">
        <v>5</v>
      </c>
      <c r="AV311" s="625">
        <f t="shared" si="267"/>
        <v>0.25</v>
      </c>
      <c r="AW311" s="1003">
        <v>5</v>
      </c>
      <c r="AX311" s="604">
        <f t="shared" si="268"/>
        <v>5</v>
      </c>
      <c r="AY311" s="604">
        <f t="shared" si="269"/>
        <v>100</v>
      </c>
      <c r="AZ311" s="604">
        <f t="shared" si="238"/>
        <v>100</v>
      </c>
      <c r="BA311" s="592">
        <f t="shared" si="239"/>
        <v>4.1250000000000002E-2</v>
      </c>
      <c r="BB311" s="592">
        <f t="shared" si="240"/>
        <v>100</v>
      </c>
      <c r="BC311" s="591">
        <v>776000000</v>
      </c>
      <c r="BD311" s="591">
        <v>0</v>
      </c>
      <c r="BE311" s="591">
        <v>776000000</v>
      </c>
      <c r="BF311" s="591">
        <v>0</v>
      </c>
      <c r="BG311" s="591">
        <v>0</v>
      </c>
      <c r="BH311" s="591">
        <v>0</v>
      </c>
      <c r="BI311" s="591">
        <v>0</v>
      </c>
      <c r="BJ311" s="591">
        <v>0</v>
      </c>
      <c r="BK311" s="624">
        <v>1537807880</v>
      </c>
      <c r="BL311" s="589">
        <v>1537807880</v>
      </c>
      <c r="BM311" s="589">
        <v>0</v>
      </c>
      <c r="BN311" s="589">
        <v>0</v>
      </c>
      <c r="BO311" s="589">
        <v>0</v>
      </c>
      <c r="BP311" s="589">
        <v>0</v>
      </c>
      <c r="BQ311" s="589">
        <v>0</v>
      </c>
      <c r="BR311" s="589">
        <v>0</v>
      </c>
      <c r="BS311" s="589">
        <v>0</v>
      </c>
      <c r="BT311" s="589">
        <v>73957313</v>
      </c>
      <c r="BU311" s="589" t="s">
        <v>2176</v>
      </c>
      <c r="BV311" s="588">
        <f t="shared" si="241"/>
        <v>3.3000000000000002E-2</v>
      </c>
      <c r="BW311" s="588">
        <v>4</v>
      </c>
      <c r="BX311" s="623">
        <f t="shared" si="270"/>
        <v>0.2</v>
      </c>
      <c r="BY311" s="607">
        <v>0</v>
      </c>
      <c r="BZ311" s="629">
        <v>1</v>
      </c>
      <c r="CA311" s="1024">
        <v>19</v>
      </c>
      <c r="CB311" s="557">
        <f t="shared" si="271"/>
        <v>19</v>
      </c>
      <c r="CC311" s="557">
        <f t="shared" si="272"/>
        <v>475</v>
      </c>
      <c r="CD311" s="622">
        <f t="shared" si="242"/>
        <v>100</v>
      </c>
      <c r="CE311" s="621">
        <f t="shared" si="243"/>
        <v>3.3000000000000002E-2</v>
      </c>
      <c r="CF311" s="605">
        <f t="shared" si="244"/>
        <v>100</v>
      </c>
      <c r="CG311" s="621">
        <f t="shared" si="245"/>
        <v>0.15675</v>
      </c>
      <c r="CH311" s="553">
        <f t="shared" si="246"/>
        <v>2.4750000000000001E-2</v>
      </c>
      <c r="CI311" s="552">
        <v>3</v>
      </c>
      <c r="CJ311" s="551">
        <f t="shared" si="273"/>
        <v>0.15</v>
      </c>
      <c r="CK311" s="1048">
        <v>1</v>
      </c>
      <c r="CL311" s="533">
        <f t="shared" si="274"/>
        <v>2</v>
      </c>
      <c r="CM311" s="619">
        <f t="shared" si="275"/>
        <v>1</v>
      </c>
      <c r="CN311" s="619">
        <f t="shared" si="276"/>
        <v>33.333333333333336</v>
      </c>
      <c r="CO311" s="549">
        <f t="shared" si="247"/>
        <v>33.333333333333336</v>
      </c>
      <c r="CP311" s="619">
        <f t="shared" si="248"/>
        <v>8.2500000000000004E-3</v>
      </c>
      <c r="CQ311" s="619">
        <f t="shared" si="249"/>
        <v>8.2500000000000004E-3</v>
      </c>
      <c r="CR311" s="546">
        <v>823000000</v>
      </c>
      <c r="CS311" s="546">
        <v>823000000</v>
      </c>
      <c r="CT311" s="546">
        <v>0</v>
      </c>
      <c r="CU311" s="546">
        <v>0</v>
      </c>
      <c r="CV311" s="546">
        <v>0</v>
      </c>
      <c r="CW311" s="546">
        <v>0</v>
      </c>
      <c r="CX311" s="546">
        <v>0</v>
      </c>
      <c r="CY311" s="546">
        <v>0</v>
      </c>
      <c r="CZ311" s="618">
        <v>0</v>
      </c>
      <c r="DA311" s="618">
        <v>0</v>
      </c>
      <c r="DB311" s="618">
        <v>0</v>
      </c>
      <c r="DC311" s="618">
        <v>0</v>
      </c>
      <c r="DD311" s="618">
        <v>0</v>
      </c>
      <c r="DE311" s="618">
        <v>0</v>
      </c>
      <c r="DF311" s="618">
        <v>0</v>
      </c>
      <c r="DG311" s="618">
        <v>0</v>
      </c>
      <c r="DH311" s="618">
        <v>0</v>
      </c>
      <c r="DI311" s="618">
        <v>0</v>
      </c>
      <c r="DJ311" s="618">
        <v>0</v>
      </c>
      <c r="DK311" s="1051">
        <f t="shared" si="277"/>
        <v>33</v>
      </c>
      <c r="DL311" s="543">
        <f t="shared" si="250"/>
        <v>0.16500000000000001</v>
      </c>
      <c r="DM311" s="542">
        <f t="shared" si="251"/>
        <v>165</v>
      </c>
      <c r="DN311" s="594">
        <f t="shared" si="252"/>
        <v>100</v>
      </c>
      <c r="DO311" s="540">
        <f t="shared" si="253"/>
        <v>0.16500000000000001</v>
      </c>
      <c r="DP311" s="597">
        <f t="shared" ref="DP311:DP316" si="279">+IF(((DN311*Q311)/100)&lt;Q311, ((DN311*Q311)/100),Q311)</f>
        <v>0.16500000000000001</v>
      </c>
      <c r="DQ311" s="538">
        <f t="shared" si="254"/>
        <v>0.16500000000000001</v>
      </c>
      <c r="DR311" s="617">
        <f t="shared" si="255"/>
        <v>1</v>
      </c>
      <c r="DS311" s="616">
        <f t="shared" si="256"/>
        <v>0</v>
      </c>
      <c r="DT311" s="259">
        <v>359</v>
      </c>
      <c r="DU311" s="260" t="s">
        <v>269</v>
      </c>
      <c r="DV311" s="259">
        <v>360</v>
      </c>
      <c r="DW311" s="260" t="s">
        <v>268</v>
      </c>
      <c r="DX311" s="259"/>
      <c r="DY311" s="259"/>
      <c r="DZ311" s="259"/>
      <c r="EA311" s="987"/>
      <c r="EB311" s="1041" t="s">
        <v>2881</v>
      </c>
      <c r="EC311" s="802">
        <v>799000000</v>
      </c>
      <c r="EE311" s="1047">
        <v>100</v>
      </c>
    </row>
    <row r="312" spans="4:135" s="534" customFormat="1" ht="81.75" customHeight="1" x14ac:dyDescent="0.3">
      <c r="D312" s="783">
        <v>309</v>
      </c>
      <c r="E312" s="799">
        <v>365</v>
      </c>
      <c r="F312" s="739" t="s">
        <v>201</v>
      </c>
      <c r="G312" s="739" t="s">
        <v>16</v>
      </c>
      <c r="H312" s="739" t="s">
        <v>144</v>
      </c>
      <c r="I312" s="676" t="s">
        <v>937</v>
      </c>
      <c r="J312" s="573" t="s">
        <v>938</v>
      </c>
      <c r="K312" s="573" t="s">
        <v>939</v>
      </c>
      <c r="L312" s="687" t="s">
        <v>2132</v>
      </c>
      <c r="M312" s="571" t="s">
        <v>2017</v>
      </c>
      <c r="N312" s="571">
        <v>11000</v>
      </c>
      <c r="O312" s="570">
        <f t="shared" si="278"/>
        <v>17000</v>
      </c>
      <c r="P312" s="569">
        <v>6000</v>
      </c>
      <c r="Q312" s="628">
        <v>0.16500000000000001</v>
      </c>
      <c r="R312" s="580">
        <f t="shared" si="234"/>
        <v>4.1250000000000002E-2</v>
      </c>
      <c r="S312" s="627">
        <v>1500</v>
      </c>
      <c r="T312" s="625">
        <f t="shared" si="264"/>
        <v>0.25</v>
      </c>
      <c r="U312" s="992">
        <v>4960</v>
      </c>
      <c r="V312" s="626">
        <f t="shared" si="265"/>
        <v>4960</v>
      </c>
      <c r="W312" s="594">
        <f t="shared" si="266"/>
        <v>330.66666666666669</v>
      </c>
      <c r="X312" s="594">
        <f t="shared" si="235"/>
        <v>100</v>
      </c>
      <c r="Y312" s="594">
        <f t="shared" si="259"/>
        <v>4.1250000000000002E-2</v>
      </c>
      <c r="Z312" s="594">
        <f t="shared" si="236"/>
        <v>100</v>
      </c>
      <c r="AA312" s="593">
        <v>2036000000</v>
      </c>
      <c r="AB312" s="593">
        <v>2020000000</v>
      </c>
      <c r="AC312" s="593">
        <v>0</v>
      </c>
      <c r="AD312" s="593">
        <v>0</v>
      </c>
      <c r="AE312" s="593">
        <v>0</v>
      </c>
      <c r="AF312" s="593">
        <v>0</v>
      </c>
      <c r="AG312" s="593">
        <v>0</v>
      </c>
      <c r="AH312" s="593">
        <v>16000000</v>
      </c>
      <c r="AI312" s="593">
        <v>19990000</v>
      </c>
      <c r="AJ312" s="593">
        <v>19990000</v>
      </c>
      <c r="AK312" s="593">
        <v>0</v>
      </c>
      <c r="AL312" s="593">
        <v>0</v>
      </c>
      <c r="AM312" s="593">
        <v>0</v>
      </c>
      <c r="AN312" s="593">
        <v>0</v>
      </c>
      <c r="AO312" s="593">
        <v>0</v>
      </c>
      <c r="AP312" s="593">
        <v>0</v>
      </c>
      <c r="AQ312" s="593">
        <v>0</v>
      </c>
      <c r="AR312" s="593">
        <v>16180000</v>
      </c>
      <c r="AS312" s="593" t="s">
        <v>2175</v>
      </c>
      <c r="AT312" s="570">
        <f t="shared" si="237"/>
        <v>4.1250000000000002E-2</v>
      </c>
      <c r="AU312" s="571">
        <v>1500</v>
      </c>
      <c r="AV312" s="625">
        <f t="shared" si="267"/>
        <v>0.25</v>
      </c>
      <c r="AW312" s="1003">
        <v>179</v>
      </c>
      <c r="AX312" s="604">
        <f t="shared" si="268"/>
        <v>179</v>
      </c>
      <c r="AY312" s="604">
        <f t="shared" si="269"/>
        <v>11.933333333333334</v>
      </c>
      <c r="AZ312" s="604">
        <f t="shared" si="238"/>
        <v>11.933333333333334</v>
      </c>
      <c r="BA312" s="592">
        <f t="shared" si="239"/>
        <v>4.9224999999999998E-3</v>
      </c>
      <c r="BB312" s="592">
        <f t="shared" si="240"/>
        <v>11.933333333333334</v>
      </c>
      <c r="BC312" s="591">
        <v>1940000000</v>
      </c>
      <c r="BD312" s="591">
        <v>0</v>
      </c>
      <c r="BE312" s="591">
        <v>1940000000</v>
      </c>
      <c r="BF312" s="591">
        <v>0</v>
      </c>
      <c r="BG312" s="591">
        <v>0</v>
      </c>
      <c r="BH312" s="591">
        <v>0</v>
      </c>
      <c r="BI312" s="591">
        <v>0</v>
      </c>
      <c r="BJ312" s="591">
        <v>0</v>
      </c>
      <c r="BK312" s="624">
        <v>700000000</v>
      </c>
      <c r="BL312" s="589">
        <v>700000000</v>
      </c>
      <c r="BM312" s="589">
        <v>0</v>
      </c>
      <c r="BN312" s="589">
        <v>0</v>
      </c>
      <c r="BO312" s="589">
        <v>0</v>
      </c>
      <c r="BP312" s="589">
        <v>0</v>
      </c>
      <c r="BQ312" s="589">
        <v>0</v>
      </c>
      <c r="BR312" s="589">
        <v>0</v>
      </c>
      <c r="BS312" s="589">
        <v>0</v>
      </c>
      <c r="BT312" s="589">
        <v>0</v>
      </c>
      <c r="BU312" s="589">
        <v>0</v>
      </c>
      <c r="BV312" s="588">
        <f t="shared" si="241"/>
        <v>4.1250000000000002E-2</v>
      </c>
      <c r="BW312" s="588">
        <v>1500</v>
      </c>
      <c r="BX312" s="623">
        <f t="shared" si="270"/>
        <v>0.25</v>
      </c>
      <c r="BY312" s="607">
        <v>0</v>
      </c>
      <c r="BZ312" s="629">
        <v>0</v>
      </c>
      <c r="CA312" s="1024">
        <v>838</v>
      </c>
      <c r="CB312" s="557">
        <f t="shared" si="271"/>
        <v>838</v>
      </c>
      <c r="CC312" s="557">
        <f t="shared" si="272"/>
        <v>55.866666666666667</v>
      </c>
      <c r="CD312" s="622">
        <f t="shared" si="242"/>
        <v>55.866666666666667</v>
      </c>
      <c r="CE312" s="621">
        <f t="shared" si="243"/>
        <v>2.3045E-2</v>
      </c>
      <c r="CF312" s="605">
        <f t="shared" si="244"/>
        <v>55.866666666666667</v>
      </c>
      <c r="CG312" s="621">
        <f t="shared" si="245"/>
        <v>2.3045E-2</v>
      </c>
      <c r="CH312" s="553">
        <f t="shared" si="246"/>
        <v>4.1250000000000002E-2</v>
      </c>
      <c r="CI312" s="552">
        <v>1500</v>
      </c>
      <c r="CJ312" s="551">
        <f t="shared" si="273"/>
        <v>0.25</v>
      </c>
      <c r="CK312" s="1048">
        <v>1580</v>
      </c>
      <c r="CL312" s="533">
        <f t="shared" si="274"/>
        <v>-80</v>
      </c>
      <c r="CM312" s="619">
        <f t="shared" si="275"/>
        <v>1580</v>
      </c>
      <c r="CN312" s="619">
        <f t="shared" si="276"/>
        <v>105.33333333333333</v>
      </c>
      <c r="CO312" s="549">
        <f t="shared" si="247"/>
        <v>100</v>
      </c>
      <c r="CP312" s="619">
        <f t="shared" si="248"/>
        <v>4.1250000000000002E-2</v>
      </c>
      <c r="CQ312" s="619">
        <f t="shared" si="249"/>
        <v>4.3449999999999996E-2</v>
      </c>
      <c r="CR312" s="546">
        <v>2058000000</v>
      </c>
      <c r="CS312" s="546">
        <v>2058000000</v>
      </c>
      <c r="CT312" s="546">
        <v>0</v>
      </c>
      <c r="CU312" s="546">
        <v>0</v>
      </c>
      <c r="CV312" s="546">
        <v>0</v>
      </c>
      <c r="CW312" s="546">
        <v>0</v>
      </c>
      <c r="CX312" s="546">
        <v>0</v>
      </c>
      <c r="CY312" s="546">
        <v>0</v>
      </c>
      <c r="CZ312" s="618">
        <v>0</v>
      </c>
      <c r="DA312" s="618">
        <v>0</v>
      </c>
      <c r="DB312" s="618">
        <v>0</v>
      </c>
      <c r="DC312" s="618">
        <v>0</v>
      </c>
      <c r="DD312" s="618">
        <v>0</v>
      </c>
      <c r="DE312" s="618">
        <v>0</v>
      </c>
      <c r="DF312" s="618">
        <v>0</v>
      </c>
      <c r="DG312" s="618">
        <v>0</v>
      </c>
      <c r="DH312" s="618">
        <v>0</v>
      </c>
      <c r="DI312" s="618">
        <v>0</v>
      </c>
      <c r="DJ312" s="618">
        <v>0</v>
      </c>
      <c r="DK312" s="1051">
        <f t="shared" si="277"/>
        <v>7557</v>
      </c>
      <c r="DL312" s="543">
        <f t="shared" si="250"/>
        <v>0.16500000000000001</v>
      </c>
      <c r="DM312" s="542">
        <f t="shared" si="251"/>
        <v>125.95</v>
      </c>
      <c r="DN312" s="594">
        <f t="shared" si="252"/>
        <v>100</v>
      </c>
      <c r="DO312" s="540">
        <f t="shared" si="253"/>
        <v>0.16500000000000001</v>
      </c>
      <c r="DP312" s="597">
        <f t="shared" si="279"/>
        <v>0.16500000000000001</v>
      </c>
      <c r="DQ312" s="538">
        <f t="shared" si="254"/>
        <v>0.16500000000000001</v>
      </c>
      <c r="DR312" s="617">
        <f t="shared" si="255"/>
        <v>1</v>
      </c>
      <c r="DS312" s="616">
        <f t="shared" si="256"/>
        <v>0</v>
      </c>
      <c r="DT312" s="259">
        <v>359</v>
      </c>
      <c r="DU312" s="260" t="s">
        <v>269</v>
      </c>
      <c r="DV312" s="259">
        <v>360</v>
      </c>
      <c r="DW312" s="260" t="s">
        <v>268</v>
      </c>
      <c r="DX312" s="259">
        <v>375</v>
      </c>
      <c r="DY312" s="259"/>
      <c r="DZ312" s="259"/>
      <c r="EA312" s="987"/>
      <c r="EB312" s="1041" t="s">
        <v>2882</v>
      </c>
      <c r="EC312" s="802">
        <v>1998000000</v>
      </c>
      <c r="EE312" s="1047">
        <v>100</v>
      </c>
    </row>
    <row r="313" spans="4:135" s="534" customFormat="1" ht="138.75" customHeight="1" x14ac:dyDescent="0.3">
      <c r="D313" s="783">
        <v>310</v>
      </c>
      <c r="E313" s="799">
        <v>366</v>
      </c>
      <c r="F313" s="739" t="s">
        <v>201</v>
      </c>
      <c r="G313" s="739" t="s">
        <v>16</v>
      </c>
      <c r="H313" s="739" t="s">
        <v>144</v>
      </c>
      <c r="I313" s="676" t="s">
        <v>940</v>
      </c>
      <c r="J313" s="573" t="s">
        <v>941</v>
      </c>
      <c r="K313" s="573" t="s">
        <v>942</v>
      </c>
      <c r="L313" s="687" t="s">
        <v>2130</v>
      </c>
      <c r="M313" s="571" t="s">
        <v>2017</v>
      </c>
      <c r="N313" s="571">
        <v>5</v>
      </c>
      <c r="O313" s="570">
        <f t="shared" si="278"/>
        <v>15</v>
      </c>
      <c r="P313" s="569">
        <v>10</v>
      </c>
      <c r="Q313" s="628">
        <v>0.25</v>
      </c>
      <c r="R313" s="580">
        <f t="shared" si="234"/>
        <v>0.05</v>
      </c>
      <c r="S313" s="627">
        <v>2</v>
      </c>
      <c r="T313" s="625">
        <f t="shared" si="264"/>
        <v>0.2</v>
      </c>
      <c r="U313" s="992">
        <v>4</v>
      </c>
      <c r="V313" s="626">
        <f t="shared" si="265"/>
        <v>4</v>
      </c>
      <c r="W313" s="594">
        <f t="shared" si="266"/>
        <v>200</v>
      </c>
      <c r="X313" s="594">
        <f t="shared" si="235"/>
        <v>100</v>
      </c>
      <c r="Y313" s="594">
        <f t="shared" si="259"/>
        <v>0.05</v>
      </c>
      <c r="Z313" s="594">
        <f t="shared" si="236"/>
        <v>100</v>
      </c>
      <c r="AA313" s="593">
        <v>402822000</v>
      </c>
      <c r="AB313" s="593">
        <v>322991000</v>
      </c>
      <c r="AC313" s="593">
        <v>0</v>
      </c>
      <c r="AD313" s="593">
        <v>0</v>
      </c>
      <c r="AE313" s="593">
        <v>0</v>
      </c>
      <c r="AF313" s="593">
        <v>0</v>
      </c>
      <c r="AG313" s="593">
        <v>0</v>
      </c>
      <c r="AH313" s="593">
        <v>79831000</v>
      </c>
      <c r="AI313" s="593">
        <v>941648000</v>
      </c>
      <c r="AJ313" s="593">
        <v>941648000</v>
      </c>
      <c r="AK313" s="593">
        <v>0</v>
      </c>
      <c r="AL313" s="593">
        <v>0</v>
      </c>
      <c r="AM313" s="593">
        <v>0</v>
      </c>
      <c r="AN313" s="593">
        <v>0</v>
      </c>
      <c r="AO313" s="593">
        <v>0</v>
      </c>
      <c r="AP313" s="593">
        <v>0</v>
      </c>
      <c r="AQ313" s="593">
        <v>0</v>
      </c>
      <c r="AR313" s="593">
        <v>300143000</v>
      </c>
      <c r="AS313" s="593" t="s">
        <v>2174</v>
      </c>
      <c r="AT313" s="570">
        <f t="shared" si="237"/>
        <v>7.4999999999999997E-2</v>
      </c>
      <c r="AU313" s="571">
        <v>3</v>
      </c>
      <c r="AV313" s="625">
        <f t="shared" si="267"/>
        <v>0.3</v>
      </c>
      <c r="AW313" s="1003">
        <v>3</v>
      </c>
      <c r="AX313" s="604">
        <f t="shared" si="268"/>
        <v>3</v>
      </c>
      <c r="AY313" s="604">
        <f t="shared" si="269"/>
        <v>100</v>
      </c>
      <c r="AZ313" s="604">
        <f t="shared" si="238"/>
        <v>100</v>
      </c>
      <c r="BA313" s="592">
        <f t="shared" si="239"/>
        <v>7.4999999999999997E-2</v>
      </c>
      <c r="BB313" s="592">
        <f t="shared" si="240"/>
        <v>100</v>
      </c>
      <c r="BC313" s="591">
        <v>485000000</v>
      </c>
      <c r="BD313" s="591">
        <v>0</v>
      </c>
      <c r="BE313" s="591">
        <v>485000000</v>
      </c>
      <c r="BF313" s="591">
        <v>0</v>
      </c>
      <c r="BG313" s="591">
        <v>0</v>
      </c>
      <c r="BH313" s="591">
        <v>0</v>
      </c>
      <c r="BI313" s="591">
        <v>0</v>
      </c>
      <c r="BJ313" s="591">
        <v>0</v>
      </c>
      <c r="BK313" s="624">
        <v>1392194826</v>
      </c>
      <c r="BL313" s="589">
        <v>1392194826</v>
      </c>
      <c r="BM313" s="589">
        <v>0</v>
      </c>
      <c r="BN313" s="589">
        <v>0</v>
      </c>
      <c r="BO313" s="589">
        <v>0</v>
      </c>
      <c r="BP313" s="589">
        <v>0</v>
      </c>
      <c r="BQ313" s="589">
        <v>0</v>
      </c>
      <c r="BR313" s="589">
        <v>0</v>
      </c>
      <c r="BS313" s="589">
        <v>0</v>
      </c>
      <c r="BT313" s="589">
        <v>371241972</v>
      </c>
      <c r="BU313" s="589" t="s">
        <v>2173</v>
      </c>
      <c r="BV313" s="588">
        <f t="shared" si="241"/>
        <v>7.4999999999999997E-2</v>
      </c>
      <c r="BW313" s="588">
        <v>3</v>
      </c>
      <c r="BX313" s="623">
        <f t="shared" si="270"/>
        <v>0.3</v>
      </c>
      <c r="BY313" s="639">
        <v>2</v>
      </c>
      <c r="BZ313" s="638">
        <v>16</v>
      </c>
      <c r="CA313" s="1018">
        <v>3</v>
      </c>
      <c r="CB313" s="557">
        <f t="shared" si="271"/>
        <v>3</v>
      </c>
      <c r="CC313" s="557">
        <f t="shared" si="272"/>
        <v>100</v>
      </c>
      <c r="CD313" s="622">
        <f t="shared" si="242"/>
        <v>100</v>
      </c>
      <c r="CE313" s="621">
        <f t="shared" si="243"/>
        <v>7.4999999999999997E-2</v>
      </c>
      <c r="CF313" s="605">
        <f t="shared" si="244"/>
        <v>100</v>
      </c>
      <c r="CG313" s="621">
        <f t="shared" si="245"/>
        <v>7.4999999999999997E-2</v>
      </c>
      <c r="CH313" s="553">
        <f t="shared" si="246"/>
        <v>0.05</v>
      </c>
      <c r="CI313" s="552">
        <v>2</v>
      </c>
      <c r="CJ313" s="551">
        <f t="shared" si="273"/>
        <v>0.2</v>
      </c>
      <c r="CK313" s="1048">
        <v>1</v>
      </c>
      <c r="CL313" s="533">
        <f t="shared" si="274"/>
        <v>1</v>
      </c>
      <c r="CM313" s="619">
        <f t="shared" si="275"/>
        <v>1</v>
      </c>
      <c r="CN313" s="619">
        <f t="shared" si="276"/>
        <v>50</v>
      </c>
      <c r="CO313" s="549">
        <f t="shared" si="247"/>
        <v>50</v>
      </c>
      <c r="CP313" s="619">
        <f t="shared" si="248"/>
        <v>2.5000000000000001E-2</v>
      </c>
      <c r="CQ313" s="619">
        <f t="shared" si="249"/>
        <v>2.5000000000000001E-2</v>
      </c>
      <c r="CR313" s="546">
        <v>514000000</v>
      </c>
      <c r="CS313" s="546">
        <v>514000000</v>
      </c>
      <c r="CT313" s="546">
        <v>0</v>
      </c>
      <c r="CU313" s="546">
        <v>0</v>
      </c>
      <c r="CV313" s="546">
        <v>0</v>
      </c>
      <c r="CW313" s="546">
        <v>0</v>
      </c>
      <c r="CX313" s="546">
        <v>0</v>
      </c>
      <c r="CY313" s="546">
        <v>0</v>
      </c>
      <c r="CZ313" s="618">
        <v>0</v>
      </c>
      <c r="DA313" s="618">
        <v>0</v>
      </c>
      <c r="DB313" s="618">
        <v>0</v>
      </c>
      <c r="DC313" s="618">
        <v>0</v>
      </c>
      <c r="DD313" s="618">
        <v>0</v>
      </c>
      <c r="DE313" s="618">
        <v>0</v>
      </c>
      <c r="DF313" s="618">
        <v>0</v>
      </c>
      <c r="DG313" s="618">
        <v>0</v>
      </c>
      <c r="DH313" s="618">
        <v>0</v>
      </c>
      <c r="DI313" s="618">
        <v>0</v>
      </c>
      <c r="DJ313" s="618">
        <v>0</v>
      </c>
      <c r="DK313" s="1051">
        <f t="shared" si="277"/>
        <v>11</v>
      </c>
      <c r="DL313" s="543">
        <f t="shared" si="250"/>
        <v>0.25</v>
      </c>
      <c r="DM313" s="542">
        <f t="shared" si="251"/>
        <v>110</v>
      </c>
      <c r="DN313" s="594">
        <f t="shared" si="252"/>
        <v>100</v>
      </c>
      <c r="DO313" s="540">
        <f t="shared" si="253"/>
        <v>0.25</v>
      </c>
      <c r="DP313" s="597">
        <f t="shared" si="279"/>
        <v>0.25</v>
      </c>
      <c r="DQ313" s="538">
        <f t="shared" si="254"/>
        <v>0.25</v>
      </c>
      <c r="DR313" s="617">
        <f t="shared" si="255"/>
        <v>1</v>
      </c>
      <c r="DS313" s="616">
        <f t="shared" si="256"/>
        <v>0</v>
      </c>
      <c r="DT313" s="259">
        <v>359</v>
      </c>
      <c r="DU313" s="260" t="s">
        <v>269</v>
      </c>
      <c r="DV313" s="259">
        <v>360</v>
      </c>
      <c r="DW313" s="260" t="s">
        <v>268</v>
      </c>
      <c r="DX313" s="259"/>
      <c r="DY313" s="259"/>
      <c r="DZ313" s="259"/>
      <c r="EA313" s="987"/>
      <c r="EB313" s="1041" t="s">
        <v>2883</v>
      </c>
      <c r="EC313" s="802">
        <v>499000000</v>
      </c>
      <c r="EE313" s="1047">
        <v>100</v>
      </c>
    </row>
    <row r="314" spans="4:135" s="534" customFormat="1" ht="96" x14ac:dyDescent="0.3">
      <c r="D314" s="783">
        <v>311</v>
      </c>
      <c r="E314" s="799">
        <v>367</v>
      </c>
      <c r="F314" s="739" t="s">
        <v>201</v>
      </c>
      <c r="G314" s="739" t="s">
        <v>16</v>
      </c>
      <c r="H314" s="739" t="s">
        <v>144</v>
      </c>
      <c r="I314" s="676" t="s">
        <v>940</v>
      </c>
      <c r="J314" s="573" t="s">
        <v>943</v>
      </c>
      <c r="K314" s="573" t="s">
        <v>944</v>
      </c>
      <c r="L314" s="687" t="s">
        <v>2133</v>
      </c>
      <c r="M314" s="571" t="s">
        <v>2017</v>
      </c>
      <c r="N314" s="571">
        <v>510</v>
      </c>
      <c r="O314" s="570">
        <f t="shared" si="278"/>
        <v>1010</v>
      </c>
      <c r="P314" s="569">
        <v>500</v>
      </c>
      <c r="Q314" s="628">
        <v>0.16500000000000001</v>
      </c>
      <c r="R314" s="580">
        <f t="shared" si="234"/>
        <v>3.3000000000000002E-2</v>
      </c>
      <c r="S314" s="627">
        <v>100</v>
      </c>
      <c r="T314" s="625">
        <f t="shared" si="264"/>
        <v>0.2</v>
      </c>
      <c r="U314" s="992">
        <v>100</v>
      </c>
      <c r="V314" s="626">
        <f t="shared" si="265"/>
        <v>100</v>
      </c>
      <c r="W314" s="594">
        <f t="shared" si="266"/>
        <v>100</v>
      </c>
      <c r="X314" s="594">
        <f t="shared" si="235"/>
        <v>100</v>
      </c>
      <c r="Y314" s="594">
        <f t="shared" si="259"/>
        <v>3.3000000000000002E-2</v>
      </c>
      <c r="Z314" s="594">
        <f t="shared" si="236"/>
        <v>100</v>
      </c>
      <c r="AA314" s="593">
        <v>136000000</v>
      </c>
      <c r="AB314" s="593">
        <v>136000000</v>
      </c>
      <c r="AC314" s="593">
        <v>0</v>
      </c>
      <c r="AD314" s="593">
        <v>0</v>
      </c>
      <c r="AE314" s="593">
        <v>0</v>
      </c>
      <c r="AF314" s="593">
        <v>0</v>
      </c>
      <c r="AG314" s="593">
        <v>0</v>
      </c>
      <c r="AH314" s="593">
        <v>0</v>
      </c>
      <c r="AI314" s="593">
        <v>0</v>
      </c>
      <c r="AJ314" s="593">
        <v>0</v>
      </c>
      <c r="AK314" s="593">
        <v>0</v>
      </c>
      <c r="AL314" s="593">
        <v>0</v>
      </c>
      <c r="AM314" s="593">
        <v>0</v>
      </c>
      <c r="AN314" s="593">
        <v>0</v>
      </c>
      <c r="AO314" s="593">
        <v>0</v>
      </c>
      <c r="AP314" s="593">
        <v>0</v>
      </c>
      <c r="AQ314" s="593">
        <v>0</v>
      </c>
      <c r="AR314" s="593">
        <v>0</v>
      </c>
      <c r="AS314" s="593">
        <v>0</v>
      </c>
      <c r="AT314" s="570">
        <f t="shared" si="237"/>
        <v>4.9500000000000002E-2</v>
      </c>
      <c r="AU314" s="571">
        <v>150</v>
      </c>
      <c r="AV314" s="625">
        <f t="shared" si="267"/>
        <v>0.3</v>
      </c>
      <c r="AW314" s="1003">
        <v>124</v>
      </c>
      <c r="AX314" s="604">
        <f t="shared" si="268"/>
        <v>124</v>
      </c>
      <c r="AY314" s="604">
        <f t="shared" si="269"/>
        <v>82.666666666666671</v>
      </c>
      <c r="AZ314" s="604">
        <f t="shared" si="238"/>
        <v>82.666666666666671</v>
      </c>
      <c r="BA314" s="592">
        <f t="shared" si="239"/>
        <v>4.0920000000000005E-2</v>
      </c>
      <c r="BB314" s="592">
        <f t="shared" si="240"/>
        <v>82.666666666666671</v>
      </c>
      <c r="BC314" s="591">
        <v>146000000</v>
      </c>
      <c r="BD314" s="591">
        <v>0</v>
      </c>
      <c r="BE314" s="591">
        <v>146000000</v>
      </c>
      <c r="BF314" s="591">
        <v>0</v>
      </c>
      <c r="BG314" s="591">
        <v>0</v>
      </c>
      <c r="BH314" s="591">
        <v>0</v>
      </c>
      <c r="BI314" s="591">
        <v>0</v>
      </c>
      <c r="BJ314" s="591">
        <v>0</v>
      </c>
      <c r="BK314" s="624">
        <v>79298000</v>
      </c>
      <c r="BL314" s="589">
        <v>79298000</v>
      </c>
      <c r="BM314" s="589">
        <v>0</v>
      </c>
      <c r="BN314" s="589">
        <v>0</v>
      </c>
      <c r="BO314" s="589">
        <v>0</v>
      </c>
      <c r="BP314" s="589">
        <v>0</v>
      </c>
      <c r="BQ314" s="589">
        <v>0</v>
      </c>
      <c r="BR314" s="589">
        <v>0</v>
      </c>
      <c r="BS314" s="589">
        <v>0</v>
      </c>
      <c r="BT314" s="589">
        <v>7450000</v>
      </c>
      <c r="BU314" s="589" t="s">
        <v>2172</v>
      </c>
      <c r="BV314" s="588">
        <f t="shared" si="241"/>
        <v>3.3000000000000002E-2</v>
      </c>
      <c r="BW314" s="588">
        <v>100</v>
      </c>
      <c r="BX314" s="623">
        <f t="shared" si="270"/>
        <v>0.2</v>
      </c>
      <c r="BY314" s="607">
        <v>1</v>
      </c>
      <c r="BZ314" s="629">
        <v>0</v>
      </c>
      <c r="CA314" s="1024">
        <v>82</v>
      </c>
      <c r="CB314" s="557">
        <f t="shared" si="271"/>
        <v>82</v>
      </c>
      <c r="CC314" s="557">
        <f t="shared" si="272"/>
        <v>82</v>
      </c>
      <c r="CD314" s="622">
        <f t="shared" si="242"/>
        <v>82</v>
      </c>
      <c r="CE314" s="621">
        <f t="shared" si="243"/>
        <v>2.7060000000000001E-2</v>
      </c>
      <c r="CF314" s="605">
        <f t="shared" si="244"/>
        <v>82</v>
      </c>
      <c r="CG314" s="621">
        <f t="shared" si="245"/>
        <v>2.7060000000000001E-2</v>
      </c>
      <c r="CH314" s="553">
        <f t="shared" si="246"/>
        <v>4.9500000000000002E-2</v>
      </c>
      <c r="CI314" s="552">
        <v>150</v>
      </c>
      <c r="CJ314" s="551">
        <f t="shared" si="273"/>
        <v>0.3</v>
      </c>
      <c r="CK314" s="1048">
        <v>40</v>
      </c>
      <c r="CL314" s="533">
        <f t="shared" si="274"/>
        <v>110</v>
      </c>
      <c r="CM314" s="619">
        <f t="shared" si="275"/>
        <v>40</v>
      </c>
      <c r="CN314" s="619">
        <f t="shared" si="276"/>
        <v>26.666666666666668</v>
      </c>
      <c r="CO314" s="549">
        <f t="shared" si="247"/>
        <v>26.666666666666668</v>
      </c>
      <c r="CP314" s="619">
        <f t="shared" si="248"/>
        <v>1.32E-2</v>
      </c>
      <c r="CQ314" s="619">
        <f t="shared" si="249"/>
        <v>1.32E-2</v>
      </c>
      <c r="CR314" s="546">
        <v>155000000</v>
      </c>
      <c r="CS314" s="546">
        <v>155000000</v>
      </c>
      <c r="CT314" s="546">
        <v>0</v>
      </c>
      <c r="CU314" s="546">
        <v>0</v>
      </c>
      <c r="CV314" s="546">
        <v>0</v>
      </c>
      <c r="CW314" s="546">
        <v>0</v>
      </c>
      <c r="CX314" s="546">
        <v>0</v>
      </c>
      <c r="CY314" s="546">
        <v>0</v>
      </c>
      <c r="CZ314" s="618">
        <v>0</v>
      </c>
      <c r="DA314" s="618">
        <v>0</v>
      </c>
      <c r="DB314" s="618">
        <v>0</v>
      </c>
      <c r="DC314" s="618">
        <v>0</v>
      </c>
      <c r="DD314" s="618">
        <v>0</v>
      </c>
      <c r="DE314" s="618">
        <v>0</v>
      </c>
      <c r="DF314" s="618">
        <v>0</v>
      </c>
      <c r="DG314" s="618">
        <v>0</v>
      </c>
      <c r="DH314" s="618">
        <v>0</v>
      </c>
      <c r="DI314" s="618">
        <v>0</v>
      </c>
      <c r="DJ314" s="618">
        <v>0</v>
      </c>
      <c r="DK314" s="1051">
        <f t="shared" si="277"/>
        <v>346</v>
      </c>
      <c r="DL314" s="543">
        <f t="shared" si="250"/>
        <v>0.16500000000000001</v>
      </c>
      <c r="DM314" s="542">
        <f t="shared" si="251"/>
        <v>69.2</v>
      </c>
      <c r="DN314" s="594">
        <f t="shared" si="252"/>
        <v>69.2</v>
      </c>
      <c r="DO314" s="540">
        <f t="shared" si="253"/>
        <v>0.11418</v>
      </c>
      <c r="DP314" s="597">
        <f t="shared" si="279"/>
        <v>0.11418</v>
      </c>
      <c r="DQ314" s="538">
        <f t="shared" si="254"/>
        <v>0.11418</v>
      </c>
      <c r="DR314" s="617">
        <f t="shared" si="255"/>
        <v>1</v>
      </c>
      <c r="DS314" s="616">
        <f t="shared" si="256"/>
        <v>0</v>
      </c>
      <c r="DT314" s="259">
        <v>359</v>
      </c>
      <c r="DU314" s="260" t="s">
        <v>269</v>
      </c>
      <c r="DV314" s="259">
        <v>360</v>
      </c>
      <c r="DW314" s="260" t="s">
        <v>268</v>
      </c>
      <c r="DX314" s="259"/>
      <c r="DY314" s="259"/>
      <c r="DZ314" s="259"/>
      <c r="EA314" s="987"/>
      <c r="EB314" s="1041" t="s">
        <v>2884</v>
      </c>
      <c r="EC314" s="802">
        <v>150000000</v>
      </c>
      <c r="EE314" s="1047">
        <v>69</v>
      </c>
    </row>
    <row r="315" spans="4:135" s="534" customFormat="1" ht="76.5" x14ac:dyDescent="0.3">
      <c r="D315" s="783">
        <v>312</v>
      </c>
      <c r="E315" s="799">
        <v>368</v>
      </c>
      <c r="F315" s="739" t="s">
        <v>201</v>
      </c>
      <c r="G315" s="739" t="s">
        <v>16</v>
      </c>
      <c r="H315" s="739" t="s">
        <v>144</v>
      </c>
      <c r="I315" s="676" t="s">
        <v>945</v>
      </c>
      <c r="J315" s="573" t="s">
        <v>946</v>
      </c>
      <c r="K315" s="573" t="s">
        <v>947</v>
      </c>
      <c r="L315" s="687" t="s">
        <v>2023</v>
      </c>
      <c r="M315" s="571" t="s">
        <v>2017</v>
      </c>
      <c r="N315" s="571">
        <v>21</v>
      </c>
      <c r="O315" s="570">
        <f t="shared" si="278"/>
        <v>25</v>
      </c>
      <c r="P315" s="569">
        <v>4</v>
      </c>
      <c r="Q315" s="628">
        <v>8.8999999999999996E-2</v>
      </c>
      <c r="R315" s="580">
        <f t="shared" si="234"/>
        <v>2.2249999999999999E-2</v>
      </c>
      <c r="S315" s="627">
        <v>1</v>
      </c>
      <c r="T315" s="625">
        <f t="shared" si="264"/>
        <v>0.25</v>
      </c>
      <c r="U315" s="992">
        <v>1</v>
      </c>
      <c r="V315" s="626">
        <f t="shared" si="265"/>
        <v>1</v>
      </c>
      <c r="W315" s="594">
        <f t="shared" si="266"/>
        <v>100</v>
      </c>
      <c r="X315" s="594">
        <f t="shared" si="235"/>
        <v>100</v>
      </c>
      <c r="Y315" s="594">
        <f t="shared" si="259"/>
        <v>2.2250000000000002E-2</v>
      </c>
      <c r="Z315" s="594">
        <f t="shared" si="236"/>
        <v>100</v>
      </c>
      <c r="AA315" s="593">
        <v>0</v>
      </c>
      <c r="AB315" s="593">
        <v>0</v>
      </c>
      <c r="AC315" s="593">
        <v>0</v>
      </c>
      <c r="AD315" s="593">
        <v>0</v>
      </c>
      <c r="AE315" s="593">
        <v>0</v>
      </c>
      <c r="AF315" s="593">
        <v>0</v>
      </c>
      <c r="AG315" s="593">
        <v>0</v>
      </c>
      <c r="AH315" s="593">
        <v>0</v>
      </c>
      <c r="AI315" s="593">
        <v>0</v>
      </c>
      <c r="AJ315" s="593">
        <v>0</v>
      </c>
      <c r="AK315" s="593">
        <v>0</v>
      </c>
      <c r="AL315" s="593">
        <v>0</v>
      </c>
      <c r="AM315" s="593">
        <v>0</v>
      </c>
      <c r="AN315" s="593">
        <v>0</v>
      </c>
      <c r="AO315" s="593">
        <v>0</v>
      </c>
      <c r="AP315" s="593">
        <v>0</v>
      </c>
      <c r="AQ315" s="593">
        <v>0</v>
      </c>
      <c r="AR315" s="593">
        <v>0</v>
      </c>
      <c r="AS315" s="593">
        <v>0</v>
      </c>
      <c r="AT315" s="570">
        <f t="shared" si="237"/>
        <v>2.2249999999999999E-2</v>
      </c>
      <c r="AU315" s="571">
        <v>1</v>
      </c>
      <c r="AV315" s="625">
        <f t="shared" si="267"/>
        <v>0.25</v>
      </c>
      <c r="AW315" s="1003">
        <v>0</v>
      </c>
      <c r="AX315" s="604">
        <f t="shared" si="268"/>
        <v>0</v>
      </c>
      <c r="AY315" s="604">
        <f t="shared" si="269"/>
        <v>0</v>
      </c>
      <c r="AZ315" s="604">
        <f t="shared" si="238"/>
        <v>0</v>
      </c>
      <c r="BA315" s="592">
        <f t="shared" si="239"/>
        <v>0</v>
      </c>
      <c r="BB315" s="592">
        <f t="shared" si="240"/>
        <v>0</v>
      </c>
      <c r="BC315" s="591">
        <v>122000000</v>
      </c>
      <c r="BD315" s="591">
        <v>0</v>
      </c>
      <c r="BE315" s="591">
        <v>97000000</v>
      </c>
      <c r="BF315" s="591">
        <v>0</v>
      </c>
      <c r="BG315" s="591">
        <v>0</v>
      </c>
      <c r="BH315" s="591">
        <v>0</v>
      </c>
      <c r="BI315" s="591">
        <v>0</v>
      </c>
      <c r="BJ315" s="591">
        <v>25000000</v>
      </c>
      <c r="BK315" s="624">
        <v>0</v>
      </c>
      <c r="BL315" s="589">
        <v>0</v>
      </c>
      <c r="BM315" s="589">
        <v>0</v>
      </c>
      <c r="BN315" s="589">
        <v>0</v>
      </c>
      <c r="BO315" s="589">
        <v>0</v>
      </c>
      <c r="BP315" s="589">
        <v>0</v>
      </c>
      <c r="BQ315" s="589">
        <v>0</v>
      </c>
      <c r="BR315" s="589">
        <v>0</v>
      </c>
      <c r="BS315" s="589">
        <v>0</v>
      </c>
      <c r="BT315" s="589">
        <v>0</v>
      </c>
      <c r="BU315" s="589">
        <v>0</v>
      </c>
      <c r="BV315" s="588">
        <f t="shared" si="241"/>
        <v>2.2249999999999999E-2</v>
      </c>
      <c r="BW315" s="588">
        <v>1</v>
      </c>
      <c r="BX315" s="623">
        <f t="shared" si="270"/>
        <v>0.25</v>
      </c>
      <c r="BY315" s="639">
        <v>0</v>
      </c>
      <c r="BZ315" s="638">
        <v>0</v>
      </c>
      <c r="CA315" s="1018">
        <v>1</v>
      </c>
      <c r="CB315" s="557">
        <f t="shared" si="271"/>
        <v>1</v>
      </c>
      <c r="CC315" s="557">
        <f t="shared" si="272"/>
        <v>100</v>
      </c>
      <c r="CD315" s="622">
        <f t="shared" si="242"/>
        <v>100</v>
      </c>
      <c r="CE315" s="621">
        <f t="shared" si="243"/>
        <v>2.2250000000000002E-2</v>
      </c>
      <c r="CF315" s="605">
        <f t="shared" si="244"/>
        <v>100</v>
      </c>
      <c r="CG315" s="621">
        <f t="shared" si="245"/>
        <v>2.2250000000000002E-2</v>
      </c>
      <c r="CH315" s="553">
        <f t="shared" si="246"/>
        <v>2.2249999999999999E-2</v>
      </c>
      <c r="CI315" s="552">
        <v>1</v>
      </c>
      <c r="CJ315" s="551">
        <f t="shared" si="273"/>
        <v>0.25</v>
      </c>
      <c r="CK315" s="875">
        <v>0</v>
      </c>
      <c r="CL315" s="533">
        <f t="shared" si="274"/>
        <v>1</v>
      </c>
      <c r="CM315" s="619">
        <f t="shared" si="275"/>
        <v>0</v>
      </c>
      <c r="CN315" s="619">
        <f t="shared" si="276"/>
        <v>0</v>
      </c>
      <c r="CO315" s="549">
        <f t="shared" si="247"/>
        <v>0</v>
      </c>
      <c r="CP315" s="619">
        <f t="shared" si="248"/>
        <v>0</v>
      </c>
      <c r="CQ315" s="619">
        <f t="shared" si="249"/>
        <v>0</v>
      </c>
      <c r="CR315" s="546">
        <v>128000000</v>
      </c>
      <c r="CS315" s="546">
        <v>103000000</v>
      </c>
      <c r="CT315" s="546">
        <v>0</v>
      </c>
      <c r="CU315" s="546">
        <v>0</v>
      </c>
      <c r="CV315" s="546">
        <v>0</v>
      </c>
      <c r="CW315" s="546">
        <v>0</v>
      </c>
      <c r="CX315" s="546">
        <v>0</v>
      </c>
      <c r="CY315" s="546">
        <v>25000000</v>
      </c>
      <c r="CZ315" s="618">
        <v>0</v>
      </c>
      <c r="DA315" s="618">
        <v>0</v>
      </c>
      <c r="DB315" s="618">
        <v>0</v>
      </c>
      <c r="DC315" s="618">
        <v>0</v>
      </c>
      <c r="DD315" s="618">
        <v>0</v>
      </c>
      <c r="DE315" s="618">
        <v>0</v>
      </c>
      <c r="DF315" s="618">
        <v>0</v>
      </c>
      <c r="DG315" s="618">
        <v>0</v>
      </c>
      <c r="DH315" s="618">
        <v>0</v>
      </c>
      <c r="DI315" s="618">
        <v>0</v>
      </c>
      <c r="DJ315" s="618">
        <v>0</v>
      </c>
      <c r="DK315" s="1051">
        <f t="shared" si="277"/>
        <v>2</v>
      </c>
      <c r="DL315" s="543">
        <f t="shared" si="250"/>
        <v>8.8999999999999996E-2</v>
      </c>
      <c r="DM315" s="542">
        <f t="shared" si="251"/>
        <v>50</v>
      </c>
      <c r="DN315" s="594">
        <f t="shared" si="252"/>
        <v>50</v>
      </c>
      <c r="DO315" s="540">
        <f t="shared" si="253"/>
        <v>4.4500000000000005E-2</v>
      </c>
      <c r="DP315" s="597">
        <f t="shared" si="279"/>
        <v>4.4500000000000005E-2</v>
      </c>
      <c r="DQ315" s="538">
        <f t="shared" si="254"/>
        <v>4.4500000000000005E-2</v>
      </c>
      <c r="DR315" s="617">
        <f t="shared" si="255"/>
        <v>1</v>
      </c>
      <c r="DS315" s="616">
        <f t="shared" si="256"/>
        <v>0</v>
      </c>
      <c r="DT315" s="259">
        <v>360</v>
      </c>
      <c r="DU315" s="260" t="s">
        <v>268</v>
      </c>
      <c r="DV315" s="259"/>
      <c r="DW315" s="260" t="s">
        <v>242</v>
      </c>
      <c r="DX315" s="259"/>
      <c r="DY315" s="259"/>
      <c r="DZ315" s="259"/>
      <c r="EA315" s="987"/>
      <c r="EB315" s="1041" t="s">
        <v>2885</v>
      </c>
      <c r="EC315" s="802">
        <v>125000000</v>
      </c>
      <c r="EE315" s="1047">
        <v>50</v>
      </c>
    </row>
    <row r="316" spans="4:135" s="534" customFormat="1" ht="76.5" x14ac:dyDescent="0.3">
      <c r="D316" s="783">
        <v>313</v>
      </c>
      <c r="E316" s="800">
        <v>369</v>
      </c>
      <c r="F316" s="791" t="s">
        <v>201</v>
      </c>
      <c r="G316" s="791" t="s">
        <v>16</v>
      </c>
      <c r="H316" s="791" t="s">
        <v>144</v>
      </c>
      <c r="I316" s="792" t="s">
        <v>945</v>
      </c>
      <c r="J316" s="573" t="s">
        <v>948</v>
      </c>
      <c r="K316" s="573" t="s">
        <v>949</v>
      </c>
      <c r="L316" s="687" t="s">
        <v>2171</v>
      </c>
      <c r="M316" s="571" t="s">
        <v>2017</v>
      </c>
      <c r="N316" s="571">
        <v>0</v>
      </c>
      <c r="O316" s="570">
        <f t="shared" si="278"/>
        <v>3</v>
      </c>
      <c r="P316" s="569">
        <v>3</v>
      </c>
      <c r="Q316" s="628">
        <v>0.16500000000000001</v>
      </c>
      <c r="R316" s="580">
        <f t="shared" si="234"/>
        <v>0</v>
      </c>
      <c r="S316" s="627">
        <v>0</v>
      </c>
      <c r="T316" s="625">
        <f t="shared" si="264"/>
        <v>0</v>
      </c>
      <c r="U316" s="992">
        <v>0</v>
      </c>
      <c r="V316" s="626">
        <f t="shared" si="265"/>
        <v>0</v>
      </c>
      <c r="W316" s="594">
        <f t="shared" si="266"/>
        <v>0</v>
      </c>
      <c r="X316" s="594">
        <f t="shared" si="235"/>
        <v>0</v>
      </c>
      <c r="Y316" s="594">
        <f t="shared" si="259"/>
        <v>0</v>
      </c>
      <c r="Z316" s="594">
        <f t="shared" si="236"/>
        <v>0</v>
      </c>
      <c r="AA316" s="593">
        <v>0</v>
      </c>
      <c r="AB316" s="593">
        <v>0</v>
      </c>
      <c r="AC316" s="593">
        <v>0</v>
      </c>
      <c r="AD316" s="593">
        <v>0</v>
      </c>
      <c r="AE316" s="593">
        <v>0</v>
      </c>
      <c r="AF316" s="593">
        <v>0</v>
      </c>
      <c r="AG316" s="593">
        <v>0</v>
      </c>
      <c r="AH316" s="593">
        <v>0</v>
      </c>
      <c r="AI316" s="593">
        <v>0</v>
      </c>
      <c r="AJ316" s="593">
        <v>0</v>
      </c>
      <c r="AK316" s="593">
        <v>0</v>
      </c>
      <c r="AL316" s="593">
        <v>0</v>
      </c>
      <c r="AM316" s="593">
        <v>0</v>
      </c>
      <c r="AN316" s="593">
        <v>0</v>
      </c>
      <c r="AO316" s="593">
        <v>0</v>
      </c>
      <c r="AP316" s="593">
        <v>0</v>
      </c>
      <c r="AQ316" s="593">
        <v>0</v>
      </c>
      <c r="AR316" s="593">
        <v>0</v>
      </c>
      <c r="AS316" s="593">
        <v>0</v>
      </c>
      <c r="AT316" s="570">
        <f t="shared" si="237"/>
        <v>5.5E-2</v>
      </c>
      <c r="AU316" s="571">
        <v>1</v>
      </c>
      <c r="AV316" s="625">
        <f t="shared" si="267"/>
        <v>0.33333333333333331</v>
      </c>
      <c r="AW316" s="1003">
        <v>0</v>
      </c>
      <c r="AX316" s="604">
        <f t="shared" si="268"/>
        <v>0</v>
      </c>
      <c r="AY316" s="604">
        <f t="shared" si="269"/>
        <v>0</v>
      </c>
      <c r="AZ316" s="604">
        <f t="shared" si="238"/>
        <v>0</v>
      </c>
      <c r="BA316" s="592">
        <f t="shared" si="239"/>
        <v>0</v>
      </c>
      <c r="BB316" s="592">
        <f t="shared" si="240"/>
        <v>0</v>
      </c>
      <c r="BC316" s="591">
        <v>291000000</v>
      </c>
      <c r="BD316" s="591">
        <v>0</v>
      </c>
      <c r="BE316" s="591">
        <v>291000000</v>
      </c>
      <c r="BF316" s="591">
        <v>0</v>
      </c>
      <c r="BG316" s="591">
        <v>0</v>
      </c>
      <c r="BH316" s="591">
        <v>0</v>
      </c>
      <c r="BI316" s="591">
        <v>0</v>
      </c>
      <c r="BJ316" s="591">
        <v>0</v>
      </c>
      <c r="BK316" s="624">
        <v>0</v>
      </c>
      <c r="BL316" s="589">
        <v>0</v>
      </c>
      <c r="BM316" s="589">
        <v>0</v>
      </c>
      <c r="BN316" s="589">
        <v>0</v>
      </c>
      <c r="BO316" s="589">
        <v>0</v>
      </c>
      <c r="BP316" s="589">
        <v>0</v>
      </c>
      <c r="BQ316" s="589">
        <v>0</v>
      </c>
      <c r="BR316" s="589">
        <v>0</v>
      </c>
      <c r="BS316" s="589">
        <v>0</v>
      </c>
      <c r="BT316" s="589">
        <v>0</v>
      </c>
      <c r="BU316" s="589">
        <v>0</v>
      </c>
      <c r="BV316" s="588">
        <f t="shared" si="241"/>
        <v>5.5E-2</v>
      </c>
      <c r="BW316" s="588">
        <v>1</v>
      </c>
      <c r="BX316" s="623">
        <f t="shared" si="270"/>
        <v>0.33333333333333331</v>
      </c>
      <c r="BY316" s="639">
        <v>0</v>
      </c>
      <c r="BZ316" s="638">
        <v>0</v>
      </c>
      <c r="CA316" s="1018">
        <v>1</v>
      </c>
      <c r="CB316" s="557">
        <f t="shared" si="271"/>
        <v>1</v>
      </c>
      <c r="CC316" s="557">
        <f t="shared" si="272"/>
        <v>100</v>
      </c>
      <c r="CD316" s="622">
        <f t="shared" si="242"/>
        <v>100</v>
      </c>
      <c r="CE316" s="621">
        <f t="shared" si="243"/>
        <v>5.5E-2</v>
      </c>
      <c r="CF316" s="605">
        <f t="shared" si="244"/>
        <v>100</v>
      </c>
      <c r="CG316" s="621">
        <f t="shared" si="245"/>
        <v>5.5E-2</v>
      </c>
      <c r="CH316" s="553">
        <f t="shared" si="246"/>
        <v>5.5E-2</v>
      </c>
      <c r="CI316" s="552">
        <v>1</v>
      </c>
      <c r="CJ316" s="551">
        <f t="shared" si="273"/>
        <v>0.33333333333333331</v>
      </c>
      <c r="CK316" s="1048">
        <v>0</v>
      </c>
      <c r="CL316" s="533">
        <f t="shared" si="274"/>
        <v>1</v>
      </c>
      <c r="CM316" s="619">
        <f t="shared" si="275"/>
        <v>0</v>
      </c>
      <c r="CN316" s="619">
        <f t="shared" si="276"/>
        <v>0</v>
      </c>
      <c r="CO316" s="549">
        <f t="shared" si="247"/>
        <v>0</v>
      </c>
      <c r="CP316" s="619">
        <f t="shared" si="248"/>
        <v>0</v>
      </c>
      <c r="CQ316" s="619">
        <f t="shared" si="249"/>
        <v>0</v>
      </c>
      <c r="CR316" s="546">
        <v>308000000</v>
      </c>
      <c r="CS316" s="546">
        <v>308000000</v>
      </c>
      <c r="CT316" s="546">
        <v>0</v>
      </c>
      <c r="CU316" s="546">
        <v>0</v>
      </c>
      <c r="CV316" s="546">
        <v>0</v>
      </c>
      <c r="CW316" s="546">
        <v>0</v>
      </c>
      <c r="CX316" s="546">
        <v>0</v>
      </c>
      <c r="CY316" s="546">
        <v>0</v>
      </c>
      <c r="CZ316" s="618">
        <v>0</v>
      </c>
      <c r="DA316" s="618">
        <v>0</v>
      </c>
      <c r="DB316" s="618">
        <v>0</v>
      </c>
      <c r="DC316" s="618">
        <v>0</v>
      </c>
      <c r="DD316" s="618">
        <v>0</v>
      </c>
      <c r="DE316" s="618">
        <v>0</v>
      </c>
      <c r="DF316" s="618">
        <v>0</v>
      </c>
      <c r="DG316" s="618">
        <v>0</v>
      </c>
      <c r="DH316" s="618">
        <v>0</v>
      </c>
      <c r="DI316" s="618">
        <v>0</v>
      </c>
      <c r="DJ316" s="618">
        <v>0</v>
      </c>
      <c r="DK316" s="1051">
        <f t="shared" si="277"/>
        <v>1</v>
      </c>
      <c r="DL316" s="543">
        <f t="shared" si="250"/>
        <v>0.16500000000000001</v>
      </c>
      <c r="DM316" s="542">
        <f t="shared" si="251"/>
        <v>33.333333333333336</v>
      </c>
      <c r="DN316" s="594">
        <f t="shared" si="252"/>
        <v>33.333333333333336</v>
      </c>
      <c r="DO316" s="540">
        <f t="shared" si="253"/>
        <v>5.5000000000000007E-2</v>
      </c>
      <c r="DP316" s="597">
        <f t="shared" si="279"/>
        <v>5.5000000000000007E-2</v>
      </c>
      <c r="DQ316" s="538">
        <f t="shared" si="254"/>
        <v>5.5000000000000007E-2</v>
      </c>
      <c r="DR316" s="617">
        <f t="shared" si="255"/>
        <v>1</v>
      </c>
      <c r="DS316" s="616">
        <f t="shared" si="256"/>
        <v>0</v>
      </c>
      <c r="DT316" s="259">
        <v>359</v>
      </c>
      <c r="DU316" s="260" t="s">
        <v>269</v>
      </c>
      <c r="DV316" s="259"/>
      <c r="DW316" s="260" t="s">
        <v>242</v>
      </c>
      <c r="DX316" s="259"/>
      <c r="DY316" s="259"/>
      <c r="DZ316" s="259"/>
      <c r="EA316" s="987"/>
      <c r="EB316" s="1041" t="s">
        <v>2886</v>
      </c>
      <c r="EC316" s="802">
        <v>299000000</v>
      </c>
      <c r="EE316" s="1047">
        <v>33</v>
      </c>
    </row>
    <row r="317" spans="4:135" s="534" customFormat="1" ht="96" x14ac:dyDescent="0.3">
      <c r="D317" s="783">
        <v>314</v>
      </c>
      <c r="E317" s="799">
        <v>370</v>
      </c>
      <c r="F317" s="739" t="s">
        <v>201</v>
      </c>
      <c r="G317" s="739" t="s">
        <v>16</v>
      </c>
      <c r="H317" s="739" t="s">
        <v>144</v>
      </c>
      <c r="I317" s="676" t="s">
        <v>945</v>
      </c>
      <c r="J317" s="573" t="s">
        <v>950</v>
      </c>
      <c r="K317" s="573" t="s">
        <v>951</v>
      </c>
      <c r="L317" s="687" t="s">
        <v>1593</v>
      </c>
      <c r="M317" s="571" t="s">
        <v>2032</v>
      </c>
      <c r="N317" s="571">
        <v>116</v>
      </c>
      <c r="O317" s="570">
        <f>+P317</f>
        <v>116</v>
      </c>
      <c r="P317" s="569">
        <v>116</v>
      </c>
      <c r="Q317" s="628">
        <v>0.16500000000000001</v>
      </c>
      <c r="R317" s="580">
        <f t="shared" si="234"/>
        <v>4.1250000000000002E-2</v>
      </c>
      <c r="S317" s="571">
        <v>116</v>
      </c>
      <c r="T317" s="625">
        <f t="shared" si="264"/>
        <v>0.25</v>
      </c>
      <c r="U317" s="995">
        <v>116</v>
      </c>
      <c r="V317" s="626">
        <f t="shared" si="265"/>
        <v>29</v>
      </c>
      <c r="W317" s="594">
        <f t="shared" si="266"/>
        <v>100</v>
      </c>
      <c r="X317" s="594">
        <f t="shared" si="235"/>
        <v>100</v>
      </c>
      <c r="Y317" s="594">
        <f t="shared" si="259"/>
        <v>4.1250000000000002E-2</v>
      </c>
      <c r="Z317" s="594">
        <f t="shared" si="236"/>
        <v>100</v>
      </c>
      <c r="AA317" s="593">
        <v>750000000</v>
      </c>
      <c r="AB317" s="593">
        <v>750000000</v>
      </c>
      <c r="AC317" s="593">
        <v>0</v>
      </c>
      <c r="AD317" s="593">
        <v>0</v>
      </c>
      <c r="AE317" s="593">
        <v>0</v>
      </c>
      <c r="AF317" s="593">
        <v>0</v>
      </c>
      <c r="AG317" s="593">
        <v>0</v>
      </c>
      <c r="AH317" s="593">
        <v>0</v>
      </c>
      <c r="AI317" s="593">
        <v>380175000</v>
      </c>
      <c r="AJ317" s="593">
        <v>380175000</v>
      </c>
      <c r="AK317" s="593">
        <v>0</v>
      </c>
      <c r="AL317" s="593">
        <v>0</v>
      </c>
      <c r="AM317" s="593">
        <v>0</v>
      </c>
      <c r="AN317" s="593">
        <v>0</v>
      </c>
      <c r="AO317" s="593">
        <v>0</v>
      </c>
      <c r="AP317" s="593">
        <v>0</v>
      </c>
      <c r="AQ317" s="593">
        <v>0</v>
      </c>
      <c r="AR317" s="593">
        <v>2400903000</v>
      </c>
      <c r="AS317" s="593" t="s">
        <v>2170</v>
      </c>
      <c r="AT317" s="570">
        <f t="shared" si="237"/>
        <v>4.1250000000000002E-2</v>
      </c>
      <c r="AU317" s="571">
        <v>116</v>
      </c>
      <c r="AV317" s="625">
        <f t="shared" si="267"/>
        <v>0.25</v>
      </c>
      <c r="AW317" s="1003">
        <v>116</v>
      </c>
      <c r="AX317" s="604">
        <f t="shared" si="268"/>
        <v>29</v>
      </c>
      <c r="AY317" s="604">
        <f t="shared" si="269"/>
        <v>100</v>
      </c>
      <c r="AZ317" s="604">
        <f t="shared" si="238"/>
        <v>100</v>
      </c>
      <c r="BA317" s="592">
        <f t="shared" si="239"/>
        <v>4.1250000000000002E-2</v>
      </c>
      <c r="BB317" s="592">
        <f t="shared" si="240"/>
        <v>100</v>
      </c>
      <c r="BC317" s="591">
        <v>679000000</v>
      </c>
      <c r="BD317" s="591">
        <v>0</v>
      </c>
      <c r="BE317" s="591">
        <v>679000000</v>
      </c>
      <c r="BF317" s="591">
        <v>0</v>
      </c>
      <c r="BG317" s="591">
        <v>0</v>
      </c>
      <c r="BH317" s="591">
        <v>0</v>
      </c>
      <c r="BI317" s="591">
        <v>0</v>
      </c>
      <c r="BJ317" s="591">
        <v>0</v>
      </c>
      <c r="BK317" s="624">
        <v>635264080</v>
      </c>
      <c r="BL317" s="589">
        <v>635264080</v>
      </c>
      <c r="BM317" s="589">
        <v>0</v>
      </c>
      <c r="BN317" s="589">
        <v>0</v>
      </c>
      <c r="BO317" s="589">
        <v>0</v>
      </c>
      <c r="BP317" s="589">
        <v>0</v>
      </c>
      <c r="BQ317" s="589">
        <v>0</v>
      </c>
      <c r="BR317" s="589">
        <v>0</v>
      </c>
      <c r="BS317" s="589">
        <v>0</v>
      </c>
      <c r="BT317" s="589">
        <v>5277391318</v>
      </c>
      <c r="BU317" s="589" t="s">
        <v>2169</v>
      </c>
      <c r="BV317" s="588">
        <f t="shared" si="241"/>
        <v>4.1250000000000002E-2</v>
      </c>
      <c r="BW317" s="588">
        <v>116</v>
      </c>
      <c r="BX317" s="623">
        <f t="shared" si="270"/>
        <v>0.25</v>
      </c>
      <c r="BY317" s="637">
        <v>35</v>
      </c>
      <c r="BZ317" s="644">
        <v>58</v>
      </c>
      <c r="CA317" s="1018">
        <v>116</v>
      </c>
      <c r="CB317" s="557">
        <f t="shared" si="271"/>
        <v>29</v>
      </c>
      <c r="CC317" s="557">
        <f t="shared" si="272"/>
        <v>100</v>
      </c>
      <c r="CD317" s="622">
        <f t="shared" si="242"/>
        <v>100</v>
      </c>
      <c r="CE317" s="621">
        <f t="shared" si="243"/>
        <v>4.1250000000000002E-2</v>
      </c>
      <c r="CF317" s="605">
        <f t="shared" si="244"/>
        <v>100</v>
      </c>
      <c r="CG317" s="621">
        <f t="shared" si="245"/>
        <v>4.1250000000000002E-2</v>
      </c>
      <c r="CH317" s="553">
        <f t="shared" si="246"/>
        <v>4.1250000000000002E-2</v>
      </c>
      <c r="CI317" s="552">
        <v>116</v>
      </c>
      <c r="CJ317" s="551">
        <f t="shared" si="273"/>
        <v>0.25</v>
      </c>
      <c r="CK317" s="1049">
        <v>0</v>
      </c>
      <c r="CL317" s="533">
        <f t="shared" si="274"/>
        <v>116</v>
      </c>
      <c r="CM317" s="619">
        <f t="shared" si="275"/>
        <v>0</v>
      </c>
      <c r="CN317" s="619">
        <f t="shared" si="276"/>
        <v>0</v>
      </c>
      <c r="CO317" s="619">
        <f t="shared" si="247"/>
        <v>0</v>
      </c>
      <c r="CP317" s="619">
        <f t="shared" si="248"/>
        <v>0</v>
      </c>
      <c r="CQ317" s="619">
        <f t="shared" si="249"/>
        <v>0</v>
      </c>
      <c r="CR317" s="546">
        <v>720000000</v>
      </c>
      <c r="CS317" s="546">
        <v>720000000</v>
      </c>
      <c r="CT317" s="546">
        <v>0</v>
      </c>
      <c r="CU317" s="546">
        <v>0</v>
      </c>
      <c r="CV317" s="546">
        <v>0</v>
      </c>
      <c r="CW317" s="546">
        <v>0</v>
      </c>
      <c r="CX317" s="546">
        <v>0</v>
      </c>
      <c r="CY317" s="546">
        <v>0</v>
      </c>
      <c r="CZ317" s="618">
        <v>0</v>
      </c>
      <c r="DA317" s="618">
        <v>0</v>
      </c>
      <c r="DB317" s="618">
        <v>0</v>
      </c>
      <c r="DC317" s="618">
        <v>0</v>
      </c>
      <c r="DD317" s="618">
        <v>0</v>
      </c>
      <c r="DE317" s="618">
        <v>0</v>
      </c>
      <c r="DF317" s="618">
        <v>0</v>
      </c>
      <c r="DG317" s="618">
        <v>0</v>
      </c>
      <c r="DH317" s="618">
        <v>0</v>
      </c>
      <c r="DI317" s="618">
        <v>0</v>
      </c>
      <c r="DJ317" s="618">
        <v>0</v>
      </c>
      <c r="DK317" s="1051">
        <f t="shared" si="277"/>
        <v>87</v>
      </c>
      <c r="DL317" s="543">
        <f t="shared" si="250"/>
        <v>0.16500000000000001</v>
      </c>
      <c r="DM317" s="542">
        <f t="shared" si="251"/>
        <v>75</v>
      </c>
      <c r="DN317" s="594">
        <f t="shared" si="252"/>
        <v>75</v>
      </c>
      <c r="DO317" s="540">
        <f t="shared" si="253"/>
        <v>0.12375</v>
      </c>
      <c r="DP317" s="597">
        <f>+IF(M317="M",DO317,0)</f>
        <v>0.12375</v>
      </c>
      <c r="DQ317" s="538">
        <f t="shared" si="254"/>
        <v>0.12375</v>
      </c>
      <c r="DR317" s="617">
        <f t="shared" si="255"/>
        <v>1</v>
      </c>
      <c r="DS317" s="616">
        <f t="shared" si="256"/>
        <v>0</v>
      </c>
      <c r="DT317" s="259">
        <v>359</v>
      </c>
      <c r="DU317" s="260" t="s">
        <v>269</v>
      </c>
      <c r="DV317" s="259">
        <v>360</v>
      </c>
      <c r="DW317" s="260" t="s">
        <v>268</v>
      </c>
      <c r="DX317" s="259"/>
      <c r="DY317" s="259"/>
      <c r="DZ317" s="259"/>
      <c r="EA317" s="987"/>
      <c r="EB317" s="1041" t="s">
        <v>2887</v>
      </c>
      <c r="EC317" s="802">
        <v>699000000</v>
      </c>
      <c r="EE317" s="1059">
        <v>75</v>
      </c>
    </row>
    <row r="318" spans="4:135" s="534" customFormat="1" ht="96" x14ac:dyDescent="0.3">
      <c r="D318" s="783">
        <v>315</v>
      </c>
      <c r="E318" s="799">
        <v>371</v>
      </c>
      <c r="F318" s="739" t="s">
        <v>201</v>
      </c>
      <c r="G318" s="739" t="s">
        <v>16</v>
      </c>
      <c r="H318" s="739" t="s">
        <v>144</v>
      </c>
      <c r="I318" s="676" t="s">
        <v>945</v>
      </c>
      <c r="J318" s="573" t="s">
        <v>952</v>
      </c>
      <c r="K318" s="573" t="s">
        <v>953</v>
      </c>
      <c r="L318" s="687" t="s">
        <v>2168</v>
      </c>
      <c r="M318" s="571" t="s">
        <v>2017</v>
      </c>
      <c r="N318" s="571">
        <v>800</v>
      </c>
      <c r="O318" s="570">
        <f>+N318+P318</f>
        <v>1000</v>
      </c>
      <c r="P318" s="569">
        <v>200</v>
      </c>
      <c r="Q318" s="628">
        <v>0.16500000000000001</v>
      </c>
      <c r="R318" s="580">
        <f t="shared" si="234"/>
        <v>4.1250000000000002E-2</v>
      </c>
      <c r="S318" s="571">
        <v>50</v>
      </c>
      <c r="T318" s="625">
        <f t="shared" si="264"/>
        <v>0.25</v>
      </c>
      <c r="U318" s="995">
        <v>99</v>
      </c>
      <c r="V318" s="626">
        <f t="shared" si="265"/>
        <v>99</v>
      </c>
      <c r="W318" s="594">
        <f t="shared" si="266"/>
        <v>198</v>
      </c>
      <c r="X318" s="594">
        <f t="shared" si="235"/>
        <v>100</v>
      </c>
      <c r="Y318" s="594">
        <f t="shared" si="259"/>
        <v>4.1250000000000002E-2</v>
      </c>
      <c r="Z318" s="594">
        <f t="shared" si="236"/>
        <v>100</v>
      </c>
      <c r="AA318" s="593">
        <v>125000000</v>
      </c>
      <c r="AB318" s="593">
        <v>110000000</v>
      </c>
      <c r="AC318" s="593">
        <v>0</v>
      </c>
      <c r="AD318" s="593">
        <v>0</v>
      </c>
      <c r="AE318" s="593">
        <v>0</v>
      </c>
      <c r="AF318" s="593">
        <v>0</v>
      </c>
      <c r="AG318" s="593">
        <v>0</v>
      </c>
      <c r="AH318" s="593">
        <v>15000000</v>
      </c>
      <c r="AI318" s="593">
        <v>110000000</v>
      </c>
      <c r="AJ318" s="593">
        <v>110000000</v>
      </c>
      <c r="AK318" s="593">
        <v>0</v>
      </c>
      <c r="AL318" s="593">
        <v>0</v>
      </c>
      <c r="AM318" s="593">
        <v>0</v>
      </c>
      <c r="AN318" s="593">
        <v>0</v>
      </c>
      <c r="AO318" s="593">
        <v>0</v>
      </c>
      <c r="AP318" s="593">
        <v>0</v>
      </c>
      <c r="AQ318" s="593">
        <v>0</v>
      </c>
      <c r="AR318" s="593">
        <v>15000000</v>
      </c>
      <c r="AS318" s="593" t="s">
        <v>2167</v>
      </c>
      <c r="AT318" s="570">
        <f t="shared" si="237"/>
        <v>4.1250000000000002E-2</v>
      </c>
      <c r="AU318" s="571">
        <v>50</v>
      </c>
      <c r="AV318" s="625">
        <f t="shared" si="267"/>
        <v>0.25</v>
      </c>
      <c r="AW318" s="1003">
        <v>66</v>
      </c>
      <c r="AX318" s="604">
        <f t="shared" si="268"/>
        <v>66</v>
      </c>
      <c r="AY318" s="604">
        <f t="shared" si="269"/>
        <v>132</v>
      </c>
      <c r="AZ318" s="604">
        <f t="shared" si="238"/>
        <v>100</v>
      </c>
      <c r="BA318" s="592">
        <f t="shared" si="239"/>
        <v>4.1250000000000002E-2</v>
      </c>
      <c r="BB318" s="592">
        <f t="shared" si="240"/>
        <v>100</v>
      </c>
      <c r="BC318" s="591">
        <v>242000000</v>
      </c>
      <c r="BD318" s="591">
        <v>0</v>
      </c>
      <c r="BE318" s="591">
        <v>242000000</v>
      </c>
      <c r="BF318" s="591">
        <v>0</v>
      </c>
      <c r="BG318" s="591">
        <v>0</v>
      </c>
      <c r="BH318" s="591">
        <v>0</v>
      </c>
      <c r="BI318" s="591">
        <v>0</v>
      </c>
      <c r="BJ318" s="591">
        <v>0</v>
      </c>
      <c r="BK318" s="624">
        <v>0</v>
      </c>
      <c r="BL318" s="589">
        <v>0</v>
      </c>
      <c r="BM318" s="589">
        <v>0</v>
      </c>
      <c r="BN318" s="589">
        <v>0</v>
      </c>
      <c r="BO318" s="589">
        <v>0</v>
      </c>
      <c r="BP318" s="589">
        <v>0</v>
      </c>
      <c r="BQ318" s="589">
        <v>0</v>
      </c>
      <c r="BR318" s="589">
        <v>0</v>
      </c>
      <c r="BS318" s="589">
        <v>0</v>
      </c>
      <c r="BT318" s="589">
        <v>0</v>
      </c>
      <c r="BU318" s="589">
        <v>0</v>
      </c>
      <c r="BV318" s="588">
        <f t="shared" si="241"/>
        <v>4.1250000000000002E-2</v>
      </c>
      <c r="BW318" s="588">
        <v>50</v>
      </c>
      <c r="BX318" s="623">
        <f t="shared" si="270"/>
        <v>0.25</v>
      </c>
      <c r="BY318" s="587">
        <v>45</v>
      </c>
      <c r="BZ318" s="645">
        <v>0</v>
      </c>
      <c r="CA318" s="1024">
        <v>66</v>
      </c>
      <c r="CB318" s="557">
        <f t="shared" si="271"/>
        <v>66</v>
      </c>
      <c r="CC318" s="557">
        <f t="shared" si="272"/>
        <v>132</v>
      </c>
      <c r="CD318" s="622">
        <f t="shared" si="242"/>
        <v>100</v>
      </c>
      <c r="CE318" s="621">
        <f t="shared" si="243"/>
        <v>4.1250000000000002E-2</v>
      </c>
      <c r="CF318" s="605">
        <f t="shared" si="244"/>
        <v>100</v>
      </c>
      <c r="CG318" s="621">
        <f t="shared" si="245"/>
        <v>5.4450000000000005E-2</v>
      </c>
      <c r="CH318" s="553">
        <f t="shared" si="246"/>
        <v>4.1250000000000002E-2</v>
      </c>
      <c r="CI318" s="552">
        <v>50</v>
      </c>
      <c r="CJ318" s="551">
        <f t="shared" si="273"/>
        <v>0.25</v>
      </c>
      <c r="CK318" s="1049">
        <v>0</v>
      </c>
      <c r="CL318" s="533">
        <f t="shared" si="274"/>
        <v>50</v>
      </c>
      <c r="CM318" s="619">
        <f t="shared" si="275"/>
        <v>0</v>
      </c>
      <c r="CN318" s="619">
        <f t="shared" si="276"/>
        <v>0</v>
      </c>
      <c r="CO318" s="549">
        <f t="shared" si="247"/>
        <v>0</v>
      </c>
      <c r="CP318" s="619">
        <f t="shared" si="248"/>
        <v>0</v>
      </c>
      <c r="CQ318" s="619">
        <f t="shared" si="249"/>
        <v>0</v>
      </c>
      <c r="CR318" s="546">
        <v>257000000</v>
      </c>
      <c r="CS318" s="546">
        <v>257000000</v>
      </c>
      <c r="CT318" s="546">
        <v>0</v>
      </c>
      <c r="CU318" s="546">
        <v>0</v>
      </c>
      <c r="CV318" s="546">
        <v>0</v>
      </c>
      <c r="CW318" s="546">
        <v>0</v>
      </c>
      <c r="CX318" s="546">
        <v>0</v>
      </c>
      <c r="CY318" s="546">
        <v>0</v>
      </c>
      <c r="CZ318" s="618">
        <v>0</v>
      </c>
      <c r="DA318" s="618">
        <v>0</v>
      </c>
      <c r="DB318" s="618">
        <v>0</v>
      </c>
      <c r="DC318" s="618">
        <v>0</v>
      </c>
      <c r="DD318" s="618">
        <v>0</v>
      </c>
      <c r="DE318" s="618">
        <v>0</v>
      </c>
      <c r="DF318" s="618">
        <v>0</v>
      </c>
      <c r="DG318" s="618">
        <v>0</v>
      </c>
      <c r="DH318" s="618">
        <v>0</v>
      </c>
      <c r="DI318" s="618">
        <v>0</v>
      </c>
      <c r="DJ318" s="618">
        <v>0</v>
      </c>
      <c r="DK318" s="1051">
        <f t="shared" si="277"/>
        <v>231</v>
      </c>
      <c r="DL318" s="543">
        <f t="shared" si="250"/>
        <v>0.16500000000000001</v>
      </c>
      <c r="DM318" s="542">
        <f t="shared" si="251"/>
        <v>115.5</v>
      </c>
      <c r="DN318" s="594">
        <f t="shared" si="252"/>
        <v>100</v>
      </c>
      <c r="DO318" s="540">
        <f t="shared" si="253"/>
        <v>0.16500000000000001</v>
      </c>
      <c r="DP318" s="597">
        <f>+IF(((DN318*Q318)/100)&lt;Q318, ((DN318*Q318)/100),Q318)</f>
        <v>0.16500000000000001</v>
      </c>
      <c r="DQ318" s="538">
        <f t="shared" si="254"/>
        <v>0.16500000000000001</v>
      </c>
      <c r="DR318" s="617">
        <f t="shared" si="255"/>
        <v>1</v>
      </c>
      <c r="DS318" s="616">
        <f t="shared" si="256"/>
        <v>0</v>
      </c>
      <c r="DT318" s="259">
        <v>359</v>
      </c>
      <c r="DU318" s="260" t="s">
        <v>269</v>
      </c>
      <c r="DV318" s="259">
        <v>360</v>
      </c>
      <c r="DW318" s="260" t="s">
        <v>268</v>
      </c>
      <c r="DX318" s="259"/>
      <c r="DY318" s="259"/>
      <c r="DZ318" s="259"/>
      <c r="EA318" s="987"/>
      <c r="EB318" s="1041" t="s">
        <v>2888</v>
      </c>
      <c r="EC318" s="802">
        <v>250000000</v>
      </c>
      <c r="EE318" s="1047">
        <v>100</v>
      </c>
    </row>
    <row r="319" spans="4:135" s="534" customFormat="1" ht="76.5" x14ac:dyDescent="0.3">
      <c r="D319" s="783">
        <v>316</v>
      </c>
      <c r="E319" s="799">
        <v>372</v>
      </c>
      <c r="F319" s="739" t="s">
        <v>201</v>
      </c>
      <c r="G319" s="739" t="s">
        <v>16</v>
      </c>
      <c r="H319" s="739" t="s">
        <v>144</v>
      </c>
      <c r="I319" s="676" t="s">
        <v>945</v>
      </c>
      <c r="J319" s="573" t="s">
        <v>954</v>
      </c>
      <c r="K319" s="573" t="s">
        <v>955</v>
      </c>
      <c r="L319" s="687" t="s">
        <v>1593</v>
      </c>
      <c r="M319" s="571" t="s">
        <v>2032</v>
      </c>
      <c r="N319" s="571">
        <v>116</v>
      </c>
      <c r="O319" s="570">
        <f>+P319</f>
        <v>116</v>
      </c>
      <c r="P319" s="569">
        <v>116</v>
      </c>
      <c r="Q319" s="628">
        <v>0.16500000000000001</v>
      </c>
      <c r="R319" s="580">
        <f t="shared" si="234"/>
        <v>4.1250000000000002E-2</v>
      </c>
      <c r="S319" s="571">
        <v>116</v>
      </c>
      <c r="T319" s="625">
        <f t="shared" si="264"/>
        <v>0.25</v>
      </c>
      <c r="U319" s="995">
        <v>116</v>
      </c>
      <c r="V319" s="626">
        <f t="shared" si="265"/>
        <v>29</v>
      </c>
      <c r="W319" s="594">
        <f t="shared" si="266"/>
        <v>100</v>
      </c>
      <c r="X319" s="594">
        <f t="shared" si="235"/>
        <v>100</v>
      </c>
      <c r="Y319" s="594">
        <f t="shared" si="259"/>
        <v>4.1250000000000002E-2</v>
      </c>
      <c r="Z319" s="594">
        <f t="shared" si="236"/>
        <v>100</v>
      </c>
      <c r="AA319" s="593">
        <v>0</v>
      </c>
      <c r="AB319" s="593">
        <v>0</v>
      </c>
      <c r="AC319" s="593">
        <v>0</v>
      </c>
      <c r="AD319" s="593">
        <v>0</v>
      </c>
      <c r="AE319" s="593">
        <v>0</v>
      </c>
      <c r="AF319" s="593">
        <v>0</v>
      </c>
      <c r="AG319" s="593">
        <v>0</v>
      </c>
      <c r="AH319" s="593">
        <v>0</v>
      </c>
      <c r="AI319" s="593">
        <v>0</v>
      </c>
      <c r="AJ319" s="593">
        <v>0</v>
      </c>
      <c r="AK319" s="593">
        <v>0</v>
      </c>
      <c r="AL319" s="593">
        <v>0</v>
      </c>
      <c r="AM319" s="593">
        <v>0</v>
      </c>
      <c r="AN319" s="593">
        <v>0</v>
      </c>
      <c r="AO319" s="593">
        <v>0</v>
      </c>
      <c r="AP319" s="593">
        <v>0</v>
      </c>
      <c r="AQ319" s="593">
        <v>0</v>
      </c>
      <c r="AR319" s="593">
        <v>0</v>
      </c>
      <c r="AS319" s="593">
        <v>0</v>
      </c>
      <c r="AT319" s="570">
        <f t="shared" si="237"/>
        <v>4.1250000000000002E-2</v>
      </c>
      <c r="AU319" s="571">
        <v>116</v>
      </c>
      <c r="AV319" s="625">
        <f t="shared" si="267"/>
        <v>0.25</v>
      </c>
      <c r="AW319" s="1003">
        <v>116</v>
      </c>
      <c r="AX319" s="604">
        <f t="shared" si="268"/>
        <v>29</v>
      </c>
      <c r="AY319" s="604">
        <f t="shared" si="269"/>
        <v>100</v>
      </c>
      <c r="AZ319" s="604">
        <f t="shared" si="238"/>
        <v>100</v>
      </c>
      <c r="BA319" s="592">
        <f t="shared" si="239"/>
        <v>4.1250000000000002E-2</v>
      </c>
      <c r="BB319" s="592">
        <f t="shared" si="240"/>
        <v>100</v>
      </c>
      <c r="BC319" s="591">
        <v>97000000</v>
      </c>
      <c r="BD319" s="591">
        <v>0</v>
      </c>
      <c r="BE319" s="591">
        <v>97000000</v>
      </c>
      <c r="BF319" s="591">
        <v>0</v>
      </c>
      <c r="BG319" s="591">
        <v>0</v>
      </c>
      <c r="BH319" s="591">
        <v>0</v>
      </c>
      <c r="BI319" s="591">
        <v>0</v>
      </c>
      <c r="BJ319" s="591">
        <v>0</v>
      </c>
      <c r="BK319" s="624">
        <v>0</v>
      </c>
      <c r="BL319" s="589">
        <v>0</v>
      </c>
      <c r="BM319" s="589">
        <v>0</v>
      </c>
      <c r="BN319" s="589">
        <v>0</v>
      </c>
      <c r="BO319" s="589">
        <v>0</v>
      </c>
      <c r="BP319" s="589">
        <v>0</v>
      </c>
      <c r="BQ319" s="589">
        <v>0</v>
      </c>
      <c r="BR319" s="589">
        <v>0</v>
      </c>
      <c r="BS319" s="589">
        <v>0</v>
      </c>
      <c r="BT319" s="589">
        <v>0</v>
      </c>
      <c r="BU319" s="589">
        <v>0</v>
      </c>
      <c r="BV319" s="588">
        <f t="shared" si="241"/>
        <v>4.1250000000000002E-2</v>
      </c>
      <c r="BW319" s="588">
        <v>116</v>
      </c>
      <c r="BX319" s="623">
        <f t="shared" si="270"/>
        <v>0.25</v>
      </c>
      <c r="BY319" s="637">
        <v>0</v>
      </c>
      <c r="BZ319" s="644">
        <v>0</v>
      </c>
      <c r="CA319" s="1018">
        <v>116</v>
      </c>
      <c r="CB319" s="557">
        <f t="shared" si="271"/>
        <v>29</v>
      </c>
      <c r="CC319" s="557">
        <f t="shared" si="272"/>
        <v>100</v>
      </c>
      <c r="CD319" s="622">
        <f t="shared" si="242"/>
        <v>100</v>
      </c>
      <c r="CE319" s="621">
        <f t="shared" si="243"/>
        <v>4.1250000000000002E-2</v>
      </c>
      <c r="CF319" s="605">
        <f t="shared" si="244"/>
        <v>100</v>
      </c>
      <c r="CG319" s="621">
        <f t="shared" si="245"/>
        <v>4.1250000000000002E-2</v>
      </c>
      <c r="CH319" s="553">
        <f t="shared" si="246"/>
        <v>4.1250000000000002E-2</v>
      </c>
      <c r="CI319" s="552">
        <v>116</v>
      </c>
      <c r="CJ319" s="551">
        <f t="shared" si="273"/>
        <v>0.25</v>
      </c>
      <c r="CK319" s="1049">
        <v>0</v>
      </c>
      <c r="CL319" s="533">
        <f t="shared" si="274"/>
        <v>116</v>
      </c>
      <c r="CM319" s="619">
        <f t="shared" si="275"/>
        <v>0</v>
      </c>
      <c r="CN319" s="619">
        <f t="shared" si="276"/>
        <v>0</v>
      </c>
      <c r="CO319" s="619">
        <f t="shared" si="247"/>
        <v>0</v>
      </c>
      <c r="CP319" s="619">
        <f t="shared" si="248"/>
        <v>0</v>
      </c>
      <c r="CQ319" s="619">
        <f t="shared" si="249"/>
        <v>0</v>
      </c>
      <c r="CR319" s="546">
        <v>103000000</v>
      </c>
      <c r="CS319" s="546">
        <v>103000000</v>
      </c>
      <c r="CT319" s="546">
        <v>0</v>
      </c>
      <c r="CU319" s="546">
        <v>0</v>
      </c>
      <c r="CV319" s="546">
        <v>0</v>
      </c>
      <c r="CW319" s="546">
        <v>0</v>
      </c>
      <c r="CX319" s="546">
        <v>0</v>
      </c>
      <c r="CY319" s="546">
        <v>0</v>
      </c>
      <c r="CZ319" s="618">
        <v>0</v>
      </c>
      <c r="DA319" s="618">
        <v>0</v>
      </c>
      <c r="DB319" s="618">
        <v>0</v>
      </c>
      <c r="DC319" s="618">
        <v>0</v>
      </c>
      <c r="DD319" s="618">
        <v>0</v>
      </c>
      <c r="DE319" s="618">
        <v>0</v>
      </c>
      <c r="DF319" s="618">
        <v>0</v>
      </c>
      <c r="DG319" s="618">
        <v>0</v>
      </c>
      <c r="DH319" s="618">
        <v>0</v>
      </c>
      <c r="DI319" s="618">
        <v>0</v>
      </c>
      <c r="DJ319" s="618">
        <v>0</v>
      </c>
      <c r="DK319" s="1051">
        <f t="shared" si="277"/>
        <v>87</v>
      </c>
      <c r="DL319" s="543">
        <f t="shared" si="250"/>
        <v>0.16500000000000001</v>
      </c>
      <c r="DM319" s="542">
        <f t="shared" si="251"/>
        <v>75</v>
      </c>
      <c r="DN319" s="594">
        <f t="shared" si="252"/>
        <v>75</v>
      </c>
      <c r="DO319" s="540">
        <f t="shared" si="253"/>
        <v>0.12375</v>
      </c>
      <c r="DP319" s="597">
        <f>+IF(M319="M",DO319,0)</f>
        <v>0.12375</v>
      </c>
      <c r="DQ319" s="538">
        <f t="shared" si="254"/>
        <v>0.12375</v>
      </c>
      <c r="DR319" s="617">
        <f t="shared" si="255"/>
        <v>1</v>
      </c>
      <c r="DS319" s="616">
        <f t="shared" si="256"/>
        <v>0</v>
      </c>
      <c r="DT319" s="259">
        <v>359</v>
      </c>
      <c r="DU319" s="260" t="s">
        <v>269</v>
      </c>
      <c r="DV319" s="259"/>
      <c r="DW319" s="260" t="s">
        <v>242</v>
      </c>
      <c r="DX319" s="259"/>
      <c r="DY319" s="259"/>
      <c r="DZ319" s="259"/>
      <c r="EA319" s="987"/>
      <c r="EB319" s="1041" t="s">
        <v>2889</v>
      </c>
      <c r="EC319" s="802">
        <v>100000000</v>
      </c>
      <c r="EE319" s="1059">
        <v>75</v>
      </c>
    </row>
    <row r="320" spans="4:135" s="534" customFormat="1" ht="76.5" x14ac:dyDescent="0.3">
      <c r="D320" s="783">
        <v>317</v>
      </c>
      <c r="E320" s="799">
        <v>373</v>
      </c>
      <c r="F320" s="739" t="s">
        <v>201</v>
      </c>
      <c r="G320" s="739" t="s">
        <v>16</v>
      </c>
      <c r="H320" s="739" t="s">
        <v>144</v>
      </c>
      <c r="I320" s="676" t="s">
        <v>945</v>
      </c>
      <c r="J320" s="573" t="s">
        <v>956</v>
      </c>
      <c r="K320" s="573" t="s">
        <v>957</v>
      </c>
      <c r="L320" s="687" t="s">
        <v>2030</v>
      </c>
      <c r="M320" s="571" t="s">
        <v>2032</v>
      </c>
      <c r="N320" s="571">
        <v>1</v>
      </c>
      <c r="O320" s="570">
        <f>+P320</f>
        <v>1</v>
      </c>
      <c r="P320" s="569">
        <v>1</v>
      </c>
      <c r="Q320" s="628">
        <v>0.16500000000000001</v>
      </c>
      <c r="R320" s="580">
        <f t="shared" si="234"/>
        <v>4.1250000000000002E-2</v>
      </c>
      <c r="S320" s="571">
        <v>1</v>
      </c>
      <c r="T320" s="625">
        <f t="shared" si="264"/>
        <v>0.25</v>
      </c>
      <c r="U320" s="995">
        <v>1</v>
      </c>
      <c r="V320" s="626">
        <f t="shared" si="265"/>
        <v>0.25</v>
      </c>
      <c r="W320" s="594">
        <f t="shared" si="266"/>
        <v>100</v>
      </c>
      <c r="X320" s="594">
        <f t="shared" si="235"/>
        <v>100</v>
      </c>
      <c r="Y320" s="594">
        <f t="shared" si="259"/>
        <v>4.1250000000000002E-2</v>
      </c>
      <c r="Z320" s="594">
        <f t="shared" si="236"/>
        <v>100</v>
      </c>
      <c r="AA320" s="593">
        <v>0</v>
      </c>
      <c r="AB320" s="593">
        <v>0</v>
      </c>
      <c r="AC320" s="593">
        <v>0</v>
      </c>
      <c r="AD320" s="593">
        <v>0</v>
      </c>
      <c r="AE320" s="593">
        <v>0</v>
      </c>
      <c r="AF320" s="593">
        <v>0</v>
      </c>
      <c r="AG320" s="593">
        <v>0</v>
      </c>
      <c r="AH320" s="593">
        <v>0</v>
      </c>
      <c r="AI320" s="593">
        <v>0</v>
      </c>
      <c r="AJ320" s="593">
        <v>0</v>
      </c>
      <c r="AK320" s="593">
        <v>0</v>
      </c>
      <c r="AL320" s="593">
        <v>0</v>
      </c>
      <c r="AM320" s="593">
        <v>0</v>
      </c>
      <c r="AN320" s="593">
        <v>0</v>
      </c>
      <c r="AO320" s="593">
        <v>0</v>
      </c>
      <c r="AP320" s="593">
        <v>0</v>
      </c>
      <c r="AQ320" s="593">
        <v>0</v>
      </c>
      <c r="AR320" s="593">
        <v>0</v>
      </c>
      <c r="AS320" s="593">
        <v>0</v>
      </c>
      <c r="AT320" s="570">
        <f t="shared" si="237"/>
        <v>4.1250000000000002E-2</v>
      </c>
      <c r="AU320" s="571">
        <v>1</v>
      </c>
      <c r="AV320" s="625">
        <f t="shared" si="267"/>
        <v>0.25</v>
      </c>
      <c r="AW320" s="1003">
        <v>1</v>
      </c>
      <c r="AX320" s="604">
        <f t="shared" si="268"/>
        <v>0.25</v>
      </c>
      <c r="AY320" s="604">
        <f t="shared" si="269"/>
        <v>100</v>
      </c>
      <c r="AZ320" s="604">
        <f t="shared" si="238"/>
        <v>100</v>
      </c>
      <c r="BA320" s="592">
        <f t="shared" si="239"/>
        <v>4.1250000000000002E-2</v>
      </c>
      <c r="BB320" s="592">
        <f t="shared" si="240"/>
        <v>100</v>
      </c>
      <c r="BC320" s="591">
        <v>0</v>
      </c>
      <c r="BD320" s="591">
        <v>0</v>
      </c>
      <c r="BE320" s="591">
        <v>0</v>
      </c>
      <c r="BF320" s="591">
        <v>0</v>
      </c>
      <c r="BG320" s="591">
        <v>0</v>
      </c>
      <c r="BH320" s="591">
        <v>0</v>
      </c>
      <c r="BI320" s="591">
        <v>0</v>
      </c>
      <c r="BJ320" s="591">
        <v>0</v>
      </c>
      <c r="BK320" s="624">
        <v>0</v>
      </c>
      <c r="BL320" s="589">
        <v>0</v>
      </c>
      <c r="BM320" s="589">
        <v>0</v>
      </c>
      <c r="BN320" s="589">
        <v>0</v>
      </c>
      <c r="BO320" s="589">
        <v>0</v>
      </c>
      <c r="BP320" s="589">
        <v>0</v>
      </c>
      <c r="BQ320" s="589">
        <v>0</v>
      </c>
      <c r="BR320" s="589">
        <v>0</v>
      </c>
      <c r="BS320" s="589">
        <v>0</v>
      </c>
      <c r="BT320" s="589">
        <v>0</v>
      </c>
      <c r="BU320" s="589">
        <v>0</v>
      </c>
      <c r="BV320" s="588">
        <f t="shared" si="241"/>
        <v>4.1250000000000002E-2</v>
      </c>
      <c r="BW320" s="588">
        <v>1</v>
      </c>
      <c r="BX320" s="623">
        <f t="shared" si="270"/>
        <v>0.25</v>
      </c>
      <c r="BY320" s="637">
        <v>0</v>
      </c>
      <c r="BZ320" s="644">
        <v>0</v>
      </c>
      <c r="CA320" s="1018">
        <v>1</v>
      </c>
      <c r="CB320" s="557">
        <f t="shared" si="271"/>
        <v>0.25</v>
      </c>
      <c r="CC320" s="557">
        <f t="shared" si="272"/>
        <v>100</v>
      </c>
      <c r="CD320" s="622">
        <f t="shared" si="242"/>
        <v>100</v>
      </c>
      <c r="CE320" s="621">
        <f t="shared" si="243"/>
        <v>4.1250000000000002E-2</v>
      </c>
      <c r="CF320" s="605">
        <f t="shared" si="244"/>
        <v>100</v>
      </c>
      <c r="CG320" s="621">
        <f t="shared" si="245"/>
        <v>4.1250000000000002E-2</v>
      </c>
      <c r="CH320" s="553">
        <f t="shared" si="246"/>
        <v>4.1250000000000002E-2</v>
      </c>
      <c r="CI320" s="552">
        <v>1</v>
      </c>
      <c r="CJ320" s="551">
        <f t="shared" si="273"/>
        <v>0.25</v>
      </c>
      <c r="CK320" s="1049">
        <v>1</v>
      </c>
      <c r="CL320" s="533">
        <f t="shared" si="274"/>
        <v>0</v>
      </c>
      <c r="CM320" s="619">
        <f t="shared" si="275"/>
        <v>0.25</v>
      </c>
      <c r="CN320" s="619">
        <f t="shared" si="276"/>
        <v>100</v>
      </c>
      <c r="CO320" s="619">
        <f t="shared" si="247"/>
        <v>100</v>
      </c>
      <c r="CP320" s="619">
        <f t="shared" si="248"/>
        <v>4.1250000000000002E-2</v>
      </c>
      <c r="CQ320" s="619">
        <f t="shared" si="249"/>
        <v>4.1250000000000002E-2</v>
      </c>
      <c r="CR320" s="546">
        <v>0</v>
      </c>
      <c r="CS320" s="546">
        <v>0</v>
      </c>
      <c r="CT320" s="546">
        <v>0</v>
      </c>
      <c r="CU320" s="546">
        <v>0</v>
      </c>
      <c r="CV320" s="546">
        <v>0</v>
      </c>
      <c r="CW320" s="546">
        <v>0</v>
      </c>
      <c r="CX320" s="546">
        <v>0</v>
      </c>
      <c r="CY320" s="546">
        <v>0</v>
      </c>
      <c r="CZ320" s="618">
        <v>0</v>
      </c>
      <c r="DA320" s="618">
        <v>0</v>
      </c>
      <c r="DB320" s="618">
        <v>0</v>
      </c>
      <c r="DC320" s="618">
        <v>0</v>
      </c>
      <c r="DD320" s="618">
        <v>0</v>
      </c>
      <c r="DE320" s="618">
        <v>0</v>
      </c>
      <c r="DF320" s="618">
        <v>0</v>
      </c>
      <c r="DG320" s="618">
        <v>0</v>
      </c>
      <c r="DH320" s="618">
        <v>0</v>
      </c>
      <c r="DI320" s="618">
        <v>0</v>
      </c>
      <c r="DJ320" s="618">
        <v>0</v>
      </c>
      <c r="DK320" s="1034">
        <f t="shared" si="277"/>
        <v>1</v>
      </c>
      <c r="DL320" s="543">
        <f t="shared" si="250"/>
        <v>0.16500000000000001</v>
      </c>
      <c r="DM320" s="542">
        <f t="shared" si="251"/>
        <v>100</v>
      </c>
      <c r="DN320" s="594">
        <f t="shared" si="252"/>
        <v>100</v>
      </c>
      <c r="DO320" s="540">
        <f t="shared" si="253"/>
        <v>0.16500000000000001</v>
      </c>
      <c r="DP320" s="597">
        <f>+IF(M320="M",DO320,0)</f>
        <v>0.16500000000000001</v>
      </c>
      <c r="DQ320" s="538">
        <f t="shared" si="254"/>
        <v>0.16500000000000001</v>
      </c>
      <c r="DR320" s="617">
        <f t="shared" si="255"/>
        <v>1</v>
      </c>
      <c r="DS320" s="616">
        <f t="shared" si="256"/>
        <v>0</v>
      </c>
      <c r="DT320" s="259">
        <v>359</v>
      </c>
      <c r="DU320" s="260" t="s">
        <v>269</v>
      </c>
      <c r="DV320" s="259"/>
      <c r="DW320" s="260" t="s">
        <v>242</v>
      </c>
      <c r="DX320" s="259"/>
      <c r="DY320" s="259"/>
      <c r="DZ320" s="259"/>
      <c r="EA320" s="987"/>
      <c r="EB320" s="1041" t="s">
        <v>2890</v>
      </c>
      <c r="EC320" s="802">
        <v>0</v>
      </c>
      <c r="EE320" s="1047">
        <v>100</v>
      </c>
    </row>
    <row r="321" spans="4:135" s="534" customFormat="1" ht="76.5" x14ac:dyDescent="0.3">
      <c r="D321" s="783">
        <v>318</v>
      </c>
      <c r="E321" s="799">
        <v>374</v>
      </c>
      <c r="F321" s="739" t="s">
        <v>201</v>
      </c>
      <c r="G321" s="739" t="s">
        <v>16</v>
      </c>
      <c r="H321" s="739" t="s">
        <v>144</v>
      </c>
      <c r="I321" s="676" t="s">
        <v>945</v>
      </c>
      <c r="J321" s="573" t="s">
        <v>958</v>
      </c>
      <c r="K321" s="573" t="s">
        <v>959</v>
      </c>
      <c r="L321" s="687" t="s">
        <v>1593</v>
      </c>
      <c r="M321" s="571" t="s">
        <v>2032</v>
      </c>
      <c r="N321" s="571">
        <v>50</v>
      </c>
      <c r="O321" s="570">
        <f>+P321</f>
        <v>116</v>
      </c>
      <c r="P321" s="569">
        <v>116</v>
      </c>
      <c r="Q321" s="628">
        <v>0.16500000000000001</v>
      </c>
      <c r="R321" s="580">
        <f t="shared" si="234"/>
        <v>4.1250000000000002E-2</v>
      </c>
      <c r="S321" s="571">
        <v>116</v>
      </c>
      <c r="T321" s="625">
        <f t="shared" si="264"/>
        <v>0.25</v>
      </c>
      <c r="U321" s="995">
        <v>116</v>
      </c>
      <c r="V321" s="626">
        <f t="shared" si="265"/>
        <v>29</v>
      </c>
      <c r="W321" s="594">
        <f t="shared" si="266"/>
        <v>100</v>
      </c>
      <c r="X321" s="594">
        <f t="shared" si="235"/>
        <v>100</v>
      </c>
      <c r="Y321" s="594">
        <f t="shared" si="259"/>
        <v>4.1250000000000002E-2</v>
      </c>
      <c r="Z321" s="594">
        <f t="shared" si="236"/>
        <v>100</v>
      </c>
      <c r="AA321" s="593">
        <v>0</v>
      </c>
      <c r="AB321" s="593">
        <v>0</v>
      </c>
      <c r="AC321" s="593">
        <v>0</v>
      </c>
      <c r="AD321" s="593">
        <v>0</v>
      </c>
      <c r="AE321" s="593">
        <v>0</v>
      </c>
      <c r="AF321" s="593">
        <v>0</v>
      </c>
      <c r="AG321" s="593">
        <v>0</v>
      </c>
      <c r="AH321" s="593">
        <v>0</v>
      </c>
      <c r="AI321" s="593">
        <v>0</v>
      </c>
      <c r="AJ321" s="593">
        <v>0</v>
      </c>
      <c r="AK321" s="593">
        <v>0</v>
      </c>
      <c r="AL321" s="593">
        <v>0</v>
      </c>
      <c r="AM321" s="593">
        <v>0</v>
      </c>
      <c r="AN321" s="593">
        <v>0</v>
      </c>
      <c r="AO321" s="593">
        <v>0</v>
      </c>
      <c r="AP321" s="593">
        <v>0</v>
      </c>
      <c r="AQ321" s="593">
        <v>0</v>
      </c>
      <c r="AR321" s="593">
        <v>0</v>
      </c>
      <c r="AS321" s="593">
        <v>0</v>
      </c>
      <c r="AT321" s="570">
        <f t="shared" si="237"/>
        <v>4.1250000000000002E-2</v>
      </c>
      <c r="AU321" s="571">
        <v>116</v>
      </c>
      <c r="AV321" s="625">
        <f t="shared" si="267"/>
        <v>0.25</v>
      </c>
      <c r="AW321" s="1003">
        <v>116</v>
      </c>
      <c r="AX321" s="604">
        <f t="shared" si="268"/>
        <v>29</v>
      </c>
      <c r="AY321" s="604">
        <f t="shared" si="269"/>
        <v>100</v>
      </c>
      <c r="AZ321" s="604">
        <f t="shared" si="238"/>
        <v>100</v>
      </c>
      <c r="BA321" s="592">
        <f t="shared" si="239"/>
        <v>4.1250000000000002E-2</v>
      </c>
      <c r="BB321" s="592">
        <f t="shared" si="240"/>
        <v>100</v>
      </c>
      <c r="BC321" s="591">
        <v>0</v>
      </c>
      <c r="BD321" s="591">
        <v>0</v>
      </c>
      <c r="BE321" s="591">
        <v>0</v>
      </c>
      <c r="BF321" s="591">
        <v>0</v>
      </c>
      <c r="BG321" s="591">
        <v>0</v>
      </c>
      <c r="BH321" s="591">
        <v>0</v>
      </c>
      <c r="BI321" s="591">
        <v>0</v>
      </c>
      <c r="BJ321" s="591">
        <v>0</v>
      </c>
      <c r="BK321" s="624">
        <v>0</v>
      </c>
      <c r="BL321" s="589">
        <v>0</v>
      </c>
      <c r="BM321" s="589">
        <v>0</v>
      </c>
      <c r="BN321" s="589">
        <v>0</v>
      </c>
      <c r="BO321" s="589">
        <v>0</v>
      </c>
      <c r="BP321" s="589">
        <v>0</v>
      </c>
      <c r="BQ321" s="589">
        <v>0</v>
      </c>
      <c r="BR321" s="589">
        <v>0</v>
      </c>
      <c r="BS321" s="589">
        <v>0</v>
      </c>
      <c r="BT321" s="589">
        <v>0</v>
      </c>
      <c r="BU321" s="589">
        <v>0</v>
      </c>
      <c r="BV321" s="588">
        <f t="shared" si="241"/>
        <v>4.1250000000000002E-2</v>
      </c>
      <c r="BW321" s="588">
        <v>116</v>
      </c>
      <c r="BX321" s="623">
        <f t="shared" si="270"/>
        <v>0.25</v>
      </c>
      <c r="BY321" s="637">
        <v>0</v>
      </c>
      <c r="BZ321" s="644">
        <v>0</v>
      </c>
      <c r="CA321" s="1018">
        <v>116</v>
      </c>
      <c r="CB321" s="557">
        <f t="shared" si="271"/>
        <v>29</v>
      </c>
      <c r="CC321" s="557">
        <f t="shared" si="272"/>
        <v>100</v>
      </c>
      <c r="CD321" s="622">
        <f t="shared" si="242"/>
        <v>100</v>
      </c>
      <c r="CE321" s="621">
        <f t="shared" si="243"/>
        <v>4.1250000000000002E-2</v>
      </c>
      <c r="CF321" s="605">
        <f t="shared" si="244"/>
        <v>100</v>
      </c>
      <c r="CG321" s="621">
        <f t="shared" si="245"/>
        <v>4.1250000000000002E-2</v>
      </c>
      <c r="CH321" s="553">
        <f t="shared" si="246"/>
        <v>4.1250000000000002E-2</v>
      </c>
      <c r="CI321" s="552">
        <v>116</v>
      </c>
      <c r="CJ321" s="551">
        <f t="shared" si="273"/>
        <v>0.25</v>
      </c>
      <c r="CK321" s="1049">
        <v>0</v>
      </c>
      <c r="CL321" s="533">
        <f t="shared" si="274"/>
        <v>116</v>
      </c>
      <c r="CM321" s="619">
        <f t="shared" si="275"/>
        <v>0</v>
      </c>
      <c r="CN321" s="619">
        <f t="shared" si="276"/>
        <v>0</v>
      </c>
      <c r="CO321" s="619">
        <f t="shared" si="247"/>
        <v>0</v>
      </c>
      <c r="CP321" s="619">
        <f t="shared" si="248"/>
        <v>0</v>
      </c>
      <c r="CQ321" s="619">
        <f t="shared" si="249"/>
        <v>0</v>
      </c>
      <c r="CR321" s="546">
        <v>0</v>
      </c>
      <c r="CS321" s="546">
        <v>0</v>
      </c>
      <c r="CT321" s="546">
        <v>0</v>
      </c>
      <c r="CU321" s="546">
        <v>0</v>
      </c>
      <c r="CV321" s="546">
        <v>0</v>
      </c>
      <c r="CW321" s="546">
        <v>0</v>
      </c>
      <c r="CX321" s="546">
        <v>0</v>
      </c>
      <c r="CY321" s="546">
        <v>0</v>
      </c>
      <c r="CZ321" s="618">
        <v>0</v>
      </c>
      <c r="DA321" s="618">
        <v>0</v>
      </c>
      <c r="DB321" s="618">
        <v>0</v>
      </c>
      <c r="DC321" s="618">
        <v>0</v>
      </c>
      <c r="DD321" s="618">
        <v>0</v>
      </c>
      <c r="DE321" s="618">
        <v>0</v>
      </c>
      <c r="DF321" s="618">
        <v>0</v>
      </c>
      <c r="DG321" s="618">
        <v>0</v>
      </c>
      <c r="DH321" s="618">
        <v>0</v>
      </c>
      <c r="DI321" s="618">
        <v>0</v>
      </c>
      <c r="DJ321" s="618">
        <v>0</v>
      </c>
      <c r="DK321" s="1051">
        <f t="shared" si="277"/>
        <v>87</v>
      </c>
      <c r="DL321" s="543">
        <f t="shared" si="250"/>
        <v>0.16500000000000001</v>
      </c>
      <c r="DM321" s="542">
        <f t="shared" si="251"/>
        <v>75</v>
      </c>
      <c r="DN321" s="594">
        <f t="shared" si="252"/>
        <v>75</v>
      </c>
      <c r="DO321" s="540">
        <f t="shared" si="253"/>
        <v>0.12375</v>
      </c>
      <c r="DP321" s="597">
        <f>+IF(M321="M",DO321,0)</f>
        <v>0.12375</v>
      </c>
      <c r="DQ321" s="538">
        <f t="shared" si="254"/>
        <v>0.12375</v>
      </c>
      <c r="DR321" s="617">
        <f t="shared" si="255"/>
        <v>1</v>
      </c>
      <c r="DS321" s="616">
        <f t="shared" si="256"/>
        <v>0</v>
      </c>
      <c r="DT321" s="259">
        <v>359</v>
      </c>
      <c r="DU321" s="260" t="s">
        <v>269</v>
      </c>
      <c r="DV321" s="259"/>
      <c r="DW321" s="260" t="s">
        <v>242</v>
      </c>
      <c r="DX321" s="259"/>
      <c r="DY321" s="259"/>
      <c r="DZ321" s="259"/>
      <c r="EA321" s="987"/>
      <c r="EB321" s="1041" t="s">
        <v>2891</v>
      </c>
      <c r="EC321" s="802">
        <v>0</v>
      </c>
      <c r="EE321" s="1047">
        <v>75</v>
      </c>
    </row>
    <row r="322" spans="4:135" s="534" customFormat="1" ht="51" x14ac:dyDescent="0.3">
      <c r="D322" s="783">
        <v>319</v>
      </c>
      <c r="E322" s="799">
        <v>376</v>
      </c>
      <c r="F322" s="739" t="s">
        <v>201</v>
      </c>
      <c r="G322" s="739" t="s">
        <v>16</v>
      </c>
      <c r="H322" s="739" t="s">
        <v>145</v>
      </c>
      <c r="I322" s="676" t="s">
        <v>960</v>
      </c>
      <c r="J322" s="573" t="s">
        <v>961</v>
      </c>
      <c r="K322" s="573" t="s">
        <v>962</v>
      </c>
      <c r="L322" s="687" t="s">
        <v>2019</v>
      </c>
      <c r="M322" s="571" t="s">
        <v>2017</v>
      </c>
      <c r="N322" s="571">
        <v>795</v>
      </c>
      <c r="O322" s="570">
        <f t="shared" ref="O322:O328" si="280">+N322+P322</f>
        <v>885</v>
      </c>
      <c r="P322" s="569">
        <v>90</v>
      </c>
      <c r="Q322" s="628">
        <v>0.16500000000000001</v>
      </c>
      <c r="R322" s="580">
        <f t="shared" si="234"/>
        <v>0</v>
      </c>
      <c r="S322" s="571">
        <v>0</v>
      </c>
      <c r="T322" s="625">
        <f t="shared" si="264"/>
        <v>0</v>
      </c>
      <c r="U322" s="995">
        <v>0</v>
      </c>
      <c r="V322" s="626">
        <f t="shared" si="265"/>
        <v>0</v>
      </c>
      <c r="W322" s="594">
        <f t="shared" si="266"/>
        <v>0</v>
      </c>
      <c r="X322" s="594">
        <f t="shared" si="235"/>
        <v>0</v>
      </c>
      <c r="Y322" s="594">
        <f t="shared" si="259"/>
        <v>0</v>
      </c>
      <c r="Z322" s="594">
        <f t="shared" si="236"/>
        <v>0</v>
      </c>
      <c r="AA322" s="593">
        <v>0</v>
      </c>
      <c r="AB322" s="593">
        <v>0</v>
      </c>
      <c r="AC322" s="593">
        <v>0</v>
      </c>
      <c r="AD322" s="593">
        <v>0</v>
      </c>
      <c r="AE322" s="593">
        <v>0</v>
      </c>
      <c r="AF322" s="593">
        <v>0</v>
      </c>
      <c r="AG322" s="593">
        <v>0</v>
      </c>
      <c r="AH322" s="593">
        <v>0</v>
      </c>
      <c r="AI322" s="593">
        <v>0</v>
      </c>
      <c r="AJ322" s="593">
        <v>0</v>
      </c>
      <c r="AK322" s="593">
        <v>0</v>
      </c>
      <c r="AL322" s="593">
        <v>0</v>
      </c>
      <c r="AM322" s="593">
        <v>0</v>
      </c>
      <c r="AN322" s="593">
        <v>0</v>
      </c>
      <c r="AO322" s="593">
        <v>0</v>
      </c>
      <c r="AP322" s="593">
        <v>0</v>
      </c>
      <c r="AQ322" s="593">
        <v>0</v>
      </c>
      <c r="AR322" s="593">
        <v>0</v>
      </c>
      <c r="AS322" s="593">
        <v>0</v>
      </c>
      <c r="AT322" s="570">
        <f t="shared" si="237"/>
        <v>5.5E-2</v>
      </c>
      <c r="AU322" s="571">
        <v>30</v>
      </c>
      <c r="AV322" s="625">
        <f t="shared" si="267"/>
        <v>0.33333333333333331</v>
      </c>
      <c r="AW322" s="1003">
        <v>0</v>
      </c>
      <c r="AX322" s="604">
        <f t="shared" si="268"/>
        <v>0</v>
      </c>
      <c r="AY322" s="604">
        <f t="shared" si="269"/>
        <v>0</v>
      </c>
      <c r="AZ322" s="604">
        <f t="shared" si="238"/>
        <v>0</v>
      </c>
      <c r="BA322" s="592">
        <f t="shared" si="239"/>
        <v>0</v>
      </c>
      <c r="BB322" s="592">
        <f t="shared" si="240"/>
        <v>0</v>
      </c>
      <c r="BC322" s="591">
        <v>254000000</v>
      </c>
      <c r="BD322" s="591">
        <v>0</v>
      </c>
      <c r="BE322" s="591">
        <v>97000000</v>
      </c>
      <c r="BF322" s="591">
        <v>0</v>
      </c>
      <c r="BG322" s="591">
        <v>0</v>
      </c>
      <c r="BH322" s="591">
        <v>0</v>
      </c>
      <c r="BI322" s="591">
        <v>0</v>
      </c>
      <c r="BJ322" s="591">
        <v>157000000</v>
      </c>
      <c r="BK322" s="624">
        <v>0</v>
      </c>
      <c r="BL322" s="589">
        <v>0</v>
      </c>
      <c r="BM322" s="589">
        <v>0</v>
      </c>
      <c r="BN322" s="589">
        <v>0</v>
      </c>
      <c r="BO322" s="589">
        <v>0</v>
      </c>
      <c r="BP322" s="589">
        <v>0</v>
      </c>
      <c r="BQ322" s="589">
        <v>0</v>
      </c>
      <c r="BR322" s="589">
        <v>0</v>
      </c>
      <c r="BS322" s="589">
        <v>0</v>
      </c>
      <c r="BT322" s="589">
        <v>0</v>
      </c>
      <c r="BU322" s="589">
        <v>0</v>
      </c>
      <c r="BV322" s="588">
        <f t="shared" si="241"/>
        <v>5.5E-2</v>
      </c>
      <c r="BW322" s="588">
        <v>30</v>
      </c>
      <c r="BX322" s="623">
        <f t="shared" si="270"/>
        <v>0.33333333333333331</v>
      </c>
      <c r="BY322" s="637">
        <v>0</v>
      </c>
      <c r="BZ322" s="644">
        <v>0</v>
      </c>
      <c r="CA322" s="1018">
        <v>90</v>
      </c>
      <c r="CB322" s="557">
        <f t="shared" si="271"/>
        <v>90</v>
      </c>
      <c r="CC322" s="557">
        <f t="shared" si="272"/>
        <v>300</v>
      </c>
      <c r="CD322" s="622">
        <f t="shared" si="242"/>
        <v>100</v>
      </c>
      <c r="CE322" s="621">
        <f t="shared" si="243"/>
        <v>5.5E-2</v>
      </c>
      <c r="CF322" s="605">
        <f t="shared" si="244"/>
        <v>100</v>
      </c>
      <c r="CG322" s="621">
        <f t="shared" si="245"/>
        <v>0.16500000000000001</v>
      </c>
      <c r="CH322" s="553">
        <f t="shared" si="246"/>
        <v>5.5E-2</v>
      </c>
      <c r="CI322" s="552">
        <v>30</v>
      </c>
      <c r="CJ322" s="551">
        <f t="shared" si="273"/>
        <v>0.33333333333333331</v>
      </c>
      <c r="CK322" s="1049">
        <v>0</v>
      </c>
      <c r="CL322" s="533">
        <f t="shared" si="274"/>
        <v>30</v>
      </c>
      <c r="CM322" s="619">
        <f t="shared" si="275"/>
        <v>0</v>
      </c>
      <c r="CN322" s="619">
        <f t="shared" si="276"/>
        <v>0</v>
      </c>
      <c r="CO322" s="549">
        <f t="shared" si="247"/>
        <v>0</v>
      </c>
      <c r="CP322" s="619">
        <f t="shared" si="248"/>
        <v>0</v>
      </c>
      <c r="CQ322" s="619">
        <f t="shared" si="249"/>
        <v>0</v>
      </c>
      <c r="CR322" s="546">
        <v>260000000</v>
      </c>
      <c r="CS322" s="546">
        <v>103000000</v>
      </c>
      <c r="CT322" s="546">
        <v>0</v>
      </c>
      <c r="CU322" s="546">
        <v>0</v>
      </c>
      <c r="CV322" s="546">
        <v>0</v>
      </c>
      <c r="CW322" s="546">
        <v>0</v>
      </c>
      <c r="CX322" s="546">
        <v>0</v>
      </c>
      <c r="CY322" s="546">
        <v>157000000</v>
      </c>
      <c r="CZ322" s="618">
        <v>0</v>
      </c>
      <c r="DA322" s="618">
        <v>0</v>
      </c>
      <c r="DB322" s="618">
        <v>0</v>
      </c>
      <c r="DC322" s="618">
        <v>0</v>
      </c>
      <c r="DD322" s="618">
        <v>0</v>
      </c>
      <c r="DE322" s="618">
        <v>0</v>
      </c>
      <c r="DF322" s="618">
        <v>0</v>
      </c>
      <c r="DG322" s="618">
        <v>0</v>
      </c>
      <c r="DH322" s="618">
        <v>0</v>
      </c>
      <c r="DI322" s="618">
        <v>0</v>
      </c>
      <c r="DJ322" s="618">
        <v>0</v>
      </c>
      <c r="DK322" s="1051">
        <f t="shared" si="277"/>
        <v>90</v>
      </c>
      <c r="DL322" s="543">
        <f t="shared" si="250"/>
        <v>0.16500000000000001</v>
      </c>
      <c r="DM322" s="542">
        <f t="shared" si="251"/>
        <v>100</v>
      </c>
      <c r="DN322" s="594">
        <f t="shared" si="252"/>
        <v>100</v>
      </c>
      <c r="DO322" s="540">
        <f t="shared" si="253"/>
        <v>0.16500000000000001</v>
      </c>
      <c r="DP322" s="597">
        <f t="shared" ref="DP322:DP328" si="281">+IF(((DN322*Q322)/100)&lt;Q322, ((DN322*Q322)/100),Q322)</f>
        <v>0.16500000000000001</v>
      </c>
      <c r="DQ322" s="538">
        <f t="shared" si="254"/>
        <v>0.16500000000000001</v>
      </c>
      <c r="DR322" s="617">
        <f t="shared" si="255"/>
        <v>1</v>
      </c>
      <c r="DS322" s="616">
        <f t="shared" si="256"/>
        <v>0</v>
      </c>
      <c r="DT322" s="259">
        <v>375</v>
      </c>
      <c r="DU322" s="260" t="s">
        <v>267</v>
      </c>
      <c r="DV322" s="259"/>
      <c r="DW322" s="260" t="s">
        <v>242</v>
      </c>
      <c r="DX322" s="259"/>
      <c r="DY322" s="259"/>
      <c r="DZ322" s="259"/>
      <c r="EA322" s="987"/>
      <c r="EB322" s="1041" t="s">
        <v>2892</v>
      </c>
      <c r="EC322" s="802">
        <v>257000000</v>
      </c>
      <c r="EE322" s="1047">
        <v>100</v>
      </c>
    </row>
    <row r="323" spans="4:135" s="534" customFormat="1" ht="117" customHeight="1" x14ac:dyDescent="0.3">
      <c r="D323" s="783">
        <v>320</v>
      </c>
      <c r="E323" s="799">
        <v>377</v>
      </c>
      <c r="F323" s="739" t="s">
        <v>201</v>
      </c>
      <c r="G323" s="739" t="s">
        <v>16</v>
      </c>
      <c r="H323" s="739" t="s">
        <v>145</v>
      </c>
      <c r="I323" s="676" t="s">
        <v>960</v>
      </c>
      <c r="J323" s="573" t="s">
        <v>963</v>
      </c>
      <c r="K323" s="573" t="s">
        <v>964</v>
      </c>
      <c r="L323" s="687" t="s">
        <v>2166</v>
      </c>
      <c r="M323" s="571" t="s">
        <v>2017</v>
      </c>
      <c r="N323" s="571">
        <v>800</v>
      </c>
      <c r="O323" s="570">
        <f t="shared" si="280"/>
        <v>1400</v>
      </c>
      <c r="P323" s="569">
        <v>600</v>
      </c>
      <c r="Q323" s="628">
        <v>0.16500000000000001</v>
      </c>
      <c r="R323" s="580">
        <f t="shared" si="234"/>
        <v>0</v>
      </c>
      <c r="S323" s="571">
        <v>0</v>
      </c>
      <c r="T323" s="625">
        <f t="shared" si="264"/>
        <v>0</v>
      </c>
      <c r="U323" s="995">
        <v>0</v>
      </c>
      <c r="V323" s="626">
        <f t="shared" si="265"/>
        <v>0</v>
      </c>
      <c r="W323" s="594">
        <f t="shared" si="266"/>
        <v>0</v>
      </c>
      <c r="X323" s="594">
        <f t="shared" si="235"/>
        <v>0</v>
      </c>
      <c r="Y323" s="594">
        <f t="shared" si="259"/>
        <v>0</v>
      </c>
      <c r="Z323" s="594">
        <f t="shared" si="236"/>
        <v>0</v>
      </c>
      <c r="AA323" s="593">
        <v>0</v>
      </c>
      <c r="AB323" s="593">
        <v>0</v>
      </c>
      <c r="AC323" s="593">
        <v>0</v>
      </c>
      <c r="AD323" s="593">
        <v>0</v>
      </c>
      <c r="AE323" s="593">
        <v>0</v>
      </c>
      <c r="AF323" s="593">
        <v>0</v>
      </c>
      <c r="AG323" s="593">
        <v>0</v>
      </c>
      <c r="AH323" s="593">
        <v>0</v>
      </c>
      <c r="AI323" s="593">
        <v>0</v>
      </c>
      <c r="AJ323" s="593">
        <v>0</v>
      </c>
      <c r="AK323" s="593">
        <v>0</v>
      </c>
      <c r="AL323" s="593">
        <v>0</v>
      </c>
      <c r="AM323" s="593">
        <v>0</v>
      </c>
      <c r="AN323" s="593">
        <v>0</v>
      </c>
      <c r="AO323" s="593">
        <v>0</v>
      </c>
      <c r="AP323" s="593">
        <v>0</v>
      </c>
      <c r="AQ323" s="593">
        <v>0</v>
      </c>
      <c r="AR323" s="593">
        <v>0</v>
      </c>
      <c r="AS323" s="593">
        <v>0</v>
      </c>
      <c r="AT323" s="570">
        <f t="shared" si="237"/>
        <v>5.5E-2</v>
      </c>
      <c r="AU323" s="571">
        <v>200</v>
      </c>
      <c r="AV323" s="625">
        <f t="shared" si="267"/>
        <v>0.33333333333333331</v>
      </c>
      <c r="AW323" s="1003">
        <v>743</v>
      </c>
      <c r="AX323" s="604">
        <f t="shared" si="268"/>
        <v>743</v>
      </c>
      <c r="AY323" s="604">
        <f t="shared" si="269"/>
        <v>371.5</v>
      </c>
      <c r="AZ323" s="604">
        <f t="shared" si="238"/>
        <v>100</v>
      </c>
      <c r="BA323" s="592">
        <f t="shared" si="239"/>
        <v>5.5E-2</v>
      </c>
      <c r="BB323" s="592">
        <f t="shared" si="240"/>
        <v>100</v>
      </c>
      <c r="BC323" s="591">
        <v>247000000</v>
      </c>
      <c r="BD323" s="591">
        <v>0</v>
      </c>
      <c r="BE323" s="591">
        <v>97000000</v>
      </c>
      <c r="BF323" s="591">
        <v>0</v>
      </c>
      <c r="BG323" s="591">
        <v>0</v>
      </c>
      <c r="BH323" s="591">
        <v>0</v>
      </c>
      <c r="BI323" s="591">
        <v>0</v>
      </c>
      <c r="BJ323" s="591">
        <v>150000000</v>
      </c>
      <c r="BK323" s="624">
        <v>147072942</v>
      </c>
      <c r="BL323" s="589">
        <v>147072942</v>
      </c>
      <c r="BM323" s="589">
        <v>0</v>
      </c>
      <c r="BN323" s="589">
        <v>0</v>
      </c>
      <c r="BO323" s="589">
        <v>0</v>
      </c>
      <c r="BP323" s="589">
        <v>0</v>
      </c>
      <c r="BQ323" s="589">
        <v>0</v>
      </c>
      <c r="BR323" s="589">
        <v>0</v>
      </c>
      <c r="BS323" s="589">
        <v>0</v>
      </c>
      <c r="BT323" s="589">
        <v>508570000</v>
      </c>
      <c r="BU323" s="589" t="s">
        <v>2165</v>
      </c>
      <c r="BV323" s="588">
        <f t="shared" si="241"/>
        <v>5.5E-2</v>
      </c>
      <c r="BW323" s="588">
        <v>200</v>
      </c>
      <c r="BX323" s="623">
        <f t="shared" si="270"/>
        <v>0.33333333333333331</v>
      </c>
      <c r="BY323" s="637">
        <v>0</v>
      </c>
      <c r="BZ323" s="644">
        <v>0</v>
      </c>
      <c r="CA323" s="1018">
        <v>0</v>
      </c>
      <c r="CB323" s="557">
        <f t="shared" si="271"/>
        <v>0</v>
      </c>
      <c r="CC323" s="557">
        <f t="shared" si="272"/>
        <v>0</v>
      </c>
      <c r="CD323" s="622">
        <f t="shared" si="242"/>
        <v>0</v>
      </c>
      <c r="CE323" s="621">
        <f t="shared" si="243"/>
        <v>0</v>
      </c>
      <c r="CF323" s="605">
        <f t="shared" si="244"/>
        <v>0</v>
      </c>
      <c r="CG323" s="621">
        <f t="shared" si="245"/>
        <v>0</v>
      </c>
      <c r="CH323" s="553">
        <f t="shared" si="246"/>
        <v>5.5E-2</v>
      </c>
      <c r="CI323" s="552">
        <v>200</v>
      </c>
      <c r="CJ323" s="551">
        <f t="shared" si="273"/>
        <v>0.33333333333333331</v>
      </c>
      <c r="CK323" s="1049">
        <v>0</v>
      </c>
      <c r="CL323" s="533">
        <f t="shared" si="274"/>
        <v>200</v>
      </c>
      <c r="CM323" s="619">
        <f t="shared" si="275"/>
        <v>0</v>
      </c>
      <c r="CN323" s="619">
        <f t="shared" si="276"/>
        <v>0</v>
      </c>
      <c r="CO323" s="549">
        <f t="shared" si="247"/>
        <v>0</v>
      </c>
      <c r="CP323" s="619">
        <f t="shared" si="248"/>
        <v>0</v>
      </c>
      <c r="CQ323" s="619">
        <f t="shared" si="249"/>
        <v>0</v>
      </c>
      <c r="CR323" s="546">
        <v>253000000</v>
      </c>
      <c r="CS323" s="546">
        <v>103000000</v>
      </c>
      <c r="CT323" s="546">
        <v>0</v>
      </c>
      <c r="CU323" s="546">
        <v>0</v>
      </c>
      <c r="CV323" s="546">
        <v>0</v>
      </c>
      <c r="CW323" s="546">
        <v>0</v>
      </c>
      <c r="CX323" s="546">
        <v>0</v>
      </c>
      <c r="CY323" s="546">
        <v>150000000</v>
      </c>
      <c r="CZ323" s="618">
        <v>0</v>
      </c>
      <c r="DA323" s="618">
        <v>0</v>
      </c>
      <c r="DB323" s="618">
        <v>0</v>
      </c>
      <c r="DC323" s="618">
        <v>0</v>
      </c>
      <c r="DD323" s="618">
        <v>0</v>
      </c>
      <c r="DE323" s="618">
        <v>0</v>
      </c>
      <c r="DF323" s="618">
        <v>0</v>
      </c>
      <c r="DG323" s="618">
        <v>0</v>
      </c>
      <c r="DH323" s="618">
        <v>0</v>
      </c>
      <c r="DI323" s="618">
        <v>0</v>
      </c>
      <c r="DJ323" s="618">
        <v>0</v>
      </c>
      <c r="DK323" s="1051">
        <f t="shared" si="277"/>
        <v>743</v>
      </c>
      <c r="DL323" s="543">
        <f t="shared" si="250"/>
        <v>0.16500000000000001</v>
      </c>
      <c r="DM323" s="542">
        <f t="shared" si="251"/>
        <v>123.83333333333333</v>
      </c>
      <c r="DN323" s="594">
        <f t="shared" si="252"/>
        <v>100</v>
      </c>
      <c r="DO323" s="540">
        <f t="shared" si="253"/>
        <v>0.16500000000000001</v>
      </c>
      <c r="DP323" s="597">
        <f t="shared" si="281"/>
        <v>0.16500000000000001</v>
      </c>
      <c r="DQ323" s="538">
        <f t="shared" si="254"/>
        <v>0.16500000000000001</v>
      </c>
      <c r="DR323" s="617">
        <f t="shared" si="255"/>
        <v>1</v>
      </c>
      <c r="DS323" s="616">
        <f t="shared" si="256"/>
        <v>0</v>
      </c>
      <c r="DT323" s="259">
        <v>375</v>
      </c>
      <c r="DU323" s="260" t="s">
        <v>267</v>
      </c>
      <c r="DV323" s="259"/>
      <c r="DW323" s="260" t="s">
        <v>242</v>
      </c>
      <c r="DX323" s="259"/>
      <c r="DY323" s="259"/>
      <c r="DZ323" s="259"/>
      <c r="EA323" s="987"/>
      <c r="EB323" s="1041" t="s">
        <v>2893</v>
      </c>
      <c r="EC323" s="802">
        <v>250000000</v>
      </c>
      <c r="EE323" s="1047">
        <v>100</v>
      </c>
    </row>
    <row r="324" spans="4:135" s="534" customFormat="1" ht="89.25" x14ac:dyDescent="0.3">
      <c r="D324" s="783">
        <v>321</v>
      </c>
      <c r="E324" s="799">
        <v>378</v>
      </c>
      <c r="F324" s="739" t="s">
        <v>201</v>
      </c>
      <c r="G324" s="739" t="s">
        <v>16</v>
      </c>
      <c r="H324" s="739" t="s">
        <v>145</v>
      </c>
      <c r="I324" s="676" t="s">
        <v>965</v>
      </c>
      <c r="J324" s="573" t="s">
        <v>966</v>
      </c>
      <c r="K324" s="573" t="s">
        <v>967</v>
      </c>
      <c r="L324" s="687" t="s">
        <v>1659</v>
      </c>
      <c r="M324" s="571" t="s">
        <v>2017</v>
      </c>
      <c r="N324" s="571">
        <v>11805</v>
      </c>
      <c r="O324" s="570">
        <f t="shared" si="280"/>
        <v>13830</v>
      </c>
      <c r="P324" s="569">
        <v>2025</v>
      </c>
      <c r="Q324" s="628">
        <v>0.25</v>
      </c>
      <c r="R324" s="580">
        <f t="shared" si="234"/>
        <v>1.2345679012345678E-2</v>
      </c>
      <c r="S324" s="627">
        <v>100</v>
      </c>
      <c r="T324" s="625">
        <f t="shared" si="264"/>
        <v>4.9382716049382713E-2</v>
      </c>
      <c r="U324" s="992">
        <v>265.5</v>
      </c>
      <c r="V324" s="626">
        <f t="shared" si="265"/>
        <v>265.5</v>
      </c>
      <c r="W324" s="594">
        <f t="shared" si="266"/>
        <v>265.5</v>
      </c>
      <c r="X324" s="594">
        <f t="shared" si="235"/>
        <v>100</v>
      </c>
      <c r="Y324" s="594">
        <f t="shared" si="259"/>
        <v>1.2345679012345678E-2</v>
      </c>
      <c r="Z324" s="594">
        <f t="shared" si="236"/>
        <v>100</v>
      </c>
      <c r="AA324" s="593">
        <v>282000000</v>
      </c>
      <c r="AB324" s="593">
        <v>274000000</v>
      </c>
      <c r="AC324" s="593">
        <v>0</v>
      </c>
      <c r="AD324" s="593">
        <v>0</v>
      </c>
      <c r="AE324" s="593">
        <v>0</v>
      </c>
      <c r="AF324" s="593">
        <v>0</v>
      </c>
      <c r="AG324" s="593">
        <v>0</v>
      </c>
      <c r="AH324" s="593">
        <v>8000000</v>
      </c>
      <c r="AI324" s="593">
        <v>273080000</v>
      </c>
      <c r="AJ324" s="593">
        <v>273080000</v>
      </c>
      <c r="AK324" s="593">
        <v>0</v>
      </c>
      <c r="AL324" s="593">
        <v>0</v>
      </c>
      <c r="AM324" s="593">
        <v>0</v>
      </c>
      <c r="AN324" s="593">
        <v>0</v>
      </c>
      <c r="AO324" s="593">
        <v>0</v>
      </c>
      <c r="AP324" s="593">
        <v>0</v>
      </c>
      <c r="AQ324" s="593">
        <v>0</v>
      </c>
      <c r="AR324" s="593">
        <v>50295000</v>
      </c>
      <c r="AS324" s="593" t="s">
        <v>2164</v>
      </c>
      <c r="AT324" s="570">
        <f t="shared" si="237"/>
        <v>7.407407407407407E-2</v>
      </c>
      <c r="AU324" s="571">
        <v>600</v>
      </c>
      <c r="AV324" s="625">
        <f t="shared" si="267"/>
        <v>0.29629629629629628</v>
      </c>
      <c r="AW324" s="1003">
        <v>3867</v>
      </c>
      <c r="AX324" s="604">
        <f t="shared" si="268"/>
        <v>3867</v>
      </c>
      <c r="AY324" s="604">
        <f t="shared" si="269"/>
        <v>644.5</v>
      </c>
      <c r="AZ324" s="604">
        <f t="shared" si="238"/>
        <v>100</v>
      </c>
      <c r="BA324" s="592">
        <f t="shared" si="239"/>
        <v>7.407407407407407E-2</v>
      </c>
      <c r="BB324" s="592">
        <f t="shared" si="240"/>
        <v>100</v>
      </c>
      <c r="BC324" s="591">
        <v>4485000000</v>
      </c>
      <c r="BD324" s="591">
        <v>0</v>
      </c>
      <c r="BE324" s="591">
        <v>485000000</v>
      </c>
      <c r="BF324" s="591">
        <v>0</v>
      </c>
      <c r="BG324" s="591">
        <v>0</v>
      </c>
      <c r="BH324" s="591">
        <v>0</v>
      </c>
      <c r="BI324" s="591">
        <v>0</v>
      </c>
      <c r="BJ324" s="591">
        <v>4000000000</v>
      </c>
      <c r="BK324" s="624">
        <v>1406918408</v>
      </c>
      <c r="BL324" s="589">
        <v>1406918408</v>
      </c>
      <c r="BM324" s="589">
        <v>0</v>
      </c>
      <c r="BN324" s="589">
        <v>0</v>
      </c>
      <c r="BO324" s="589">
        <v>0</v>
      </c>
      <c r="BP324" s="589">
        <v>0</v>
      </c>
      <c r="BQ324" s="589">
        <v>0</v>
      </c>
      <c r="BR324" s="589">
        <v>0</v>
      </c>
      <c r="BS324" s="589">
        <v>0</v>
      </c>
      <c r="BT324" s="589">
        <v>348939917</v>
      </c>
      <c r="BU324" s="589" t="s">
        <v>2163</v>
      </c>
      <c r="BV324" s="588">
        <f t="shared" si="241"/>
        <v>7.407407407407407E-2</v>
      </c>
      <c r="BW324" s="588">
        <v>600</v>
      </c>
      <c r="BX324" s="623">
        <f t="shared" si="270"/>
        <v>0.29629629629629628</v>
      </c>
      <c r="BY324" s="639">
        <v>86.32</v>
      </c>
      <c r="BZ324" s="638">
        <v>0</v>
      </c>
      <c r="CA324" s="1020">
        <v>333.42001342773437</v>
      </c>
      <c r="CB324" s="557">
        <f t="shared" si="271"/>
        <v>333.42001342773437</v>
      </c>
      <c r="CC324" s="557">
        <f t="shared" si="272"/>
        <v>55.570002237955727</v>
      </c>
      <c r="CD324" s="622">
        <f t="shared" si="242"/>
        <v>55.570002237955727</v>
      </c>
      <c r="CE324" s="621">
        <f t="shared" si="243"/>
        <v>4.116296462070794E-2</v>
      </c>
      <c r="CF324" s="605">
        <f t="shared" si="244"/>
        <v>55.570002237955727</v>
      </c>
      <c r="CG324" s="621">
        <f t="shared" si="245"/>
        <v>4.116296462070794E-2</v>
      </c>
      <c r="CH324" s="553">
        <f t="shared" si="246"/>
        <v>8.9506172839506168E-2</v>
      </c>
      <c r="CI324" s="552">
        <v>725</v>
      </c>
      <c r="CJ324" s="551">
        <f t="shared" si="273"/>
        <v>0.35802469135802467</v>
      </c>
      <c r="CK324" s="1049">
        <v>103</v>
      </c>
      <c r="CL324" s="533">
        <f t="shared" si="274"/>
        <v>622</v>
      </c>
      <c r="CM324" s="619">
        <f t="shared" si="275"/>
        <v>103</v>
      </c>
      <c r="CN324" s="619">
        <f t="shared" si="276"/>
        <v>14.206896551724139</v>
      </c>
      <c r="CO324" s="549">
        <f t="shared" si="247"/>
        <v>14.206896551724139</v>
      </c>
      <c r="CP324" s="619">
        <f t="shared" si="248"/>
        <v>1.271604938271605E-2</v>
      </c>
      <c r="CQ324" s="619">
        <f t="shared" si="249"/>
        <v>1.271604938271605E-2</v>
      </c>
      <c r="CR324" s="546">
        <v>4514000000</v>
      </c>
      <c r="CS324" s="546">
        <v>514000000</v>
      </c>
      <c r="CT324" s="546">
        <v>0</v>
      </c>
      <c r="CU324" s="546">
        <v>0</v>
      </c>
      <c r="CV324" s="546">
        <v>0</v>
      </c>
      <c r="CW324" s="546">
        <v>0</v>
      </c>
      <c r="CX324" s="546">
        <v>0</v>
      </c>
      <c r="CY324" s="546">
        <v>4000000000</v>
      </c>
      <c r="CZ324" s="618">
        <v>0</v>
      </c>
      <c r="DA324" s="618">
        <v>0</v>
      </c>
      <c r="DB324" s="618">
        <v>0</v>
      </c>
      <c r="DC324" s="618">
        <v>0</v>
      </c>
      <c r="DD324" s="618">
        <v>0</v>
      </c>
      <c r="DE324" s="618">
        <v>0</v>
      </c>
      <c r="DF324" s="618">
        <v>0</v>
      </c>
      <c r="DG324" s="618">
        <v>0</v>
      </c>
      <c r="DH324" s="618">
        <v>0</v>
      </c>
      <c r="DI324" s="618">
        <v>0</v>
      </c>
      <c r="DJ324" s="618">
        <v>0</v>
      </c>
      <c r="DK324" s="1034">
        <f t="shared" si="277"/>
        <v>4568.9200134277344</v>
      </c>
      <c r="DL324" s="543">
        <f t="shared" si="250"/>
        <v>0.25</v>
      </c>
      <c r="DM324" s="542">
        <f t="shared" si="251"/>
        <v>225.62567967544368</v>
      </c>
      <c r="DN324" s="594">
        <f t="shared" si="252"/>
        <v>100</v>
      </c>
      <c r="DO324" s="540">
        <f t="shared" si="253"/>
        <v>0.25</v>
      </c>
      <c r="DP324" s="597">
        <f t="shared" si="281"/>
        <v>0.25</v>
      </c>
      <c r="DQ324" s="538">
        <f t="shared" si="254"/>
        <v>0.25</v>
      </c>
      <c r="DR324" s="617">
        <f t="shared" si="255"/>
        <v>1</v>
      </c>
      <c r="DS324" s="616">
        <f t="shared" si="256"/>
        <v>0</v>
      </c>
      <c r="DT324" s="259">
        <v>375</v>
      </c>
      <c r="DU324" s="260" t="s">
        <v>267</v>
      </c>
      <c r="DV324" s="259"/>
      <c r="DW324" s="260" t="s">
        <v>242</v>
      </c>
      <c r="DX324" s="259"/>
      <c r="DY324" s="259"/>
      <c r="DZ324" s="259"/>
      <c r="EA324" s="987"/>
      <c r="EB324" s="1041" t="s">
        <v>2894</v>
      </c>
      <c r="EC324" s="802">
        <v>4499000000</v>
      </c>
      <c r="EE324" s="1047">
        <v>100</v>
      </c>
    </row>
    <row r="325" spans="4:135" s="534" customFormat="1" ht="117.75" customHeight="1" x14ac:dyDescent="0.3">
      <c r="D325" s="783">
        <v>322</v>
      </c>
      <c r="E325" s="798">
        <v>379</v>
      </c>
      <c r="F325" s="793" t="s">
        <v>201</v>
      </c>
      <c r="G325" s="793" t="s">
        <v>16</v>
      </c>
      <c r="H325" s="793" t="s">
        <v>145</v>
      </c>
      <c r="I325" s="794" t="s">
        <v>968</v>
      </c>
      <c r="J325" s="573" t="s">
        <v>969</v>
      </c>
      <c r="K325" s="573" t="s">
        <v>970</v>
      </c>
      <c r="L325" s="687" t="s">
        <v>2019</v>
      </c>
      <c r="M325" s="571" t="s">
        <v>2017</v>
      </c>
      <c r="N325" s="571">
        <v>526</v>
      </c>
      <c r="O325" s="570">
        <f t="shared" si="280"/>
        <v>926</v>
      </c>
      <c r="P325" s="569">
        <v>400</v>
      </c>
      <c r="Q325" s="628">
        <v>0.16500000000000001</v>
      </c>
      <c r="R325" s="580">
        <f t="shared" ref="R325:R388" si="282">+Q325*T325</f>
        <v>0</v>
      </c>
      <c r="S325" s="627">
        <v>0</v>
      </c>
      <c r="T325" s="625">
        <f t="shared" si="264"/>
        <v>0</v>
      </c>
      <c r="U325" s="992">
        <v>0</v>
      </c>
      <c r="V325" s="626">
        <f t="shared" si="265"/>
        <v>0</v>
      </c>
      <c r="W325" s="594">
        <f t="shared" si="266"/>
        <v>0</v>
      </c>
      <c r="X325" s="594">
        <f t="shared" ref="X325:X388" si="283">+IF(W325&lt;100,W325,100)</f>
        <v>0</v>
      </c>
      <c r="Y325" s="594">
        <f t="shared" si="259"/>
        <v>0</v>
      </c>
      <c r="Z325" s="594">
        <f t="shared" ref="Z325:Z388" si="284">+IF(U325&gt;S325,100,X325)</f>
        <v>0</v>
      </c>
      <c r="AA325" s="593">
        <v>0</v>
      </c>
      <c r="AB325" s="593">
        <v>0</v>
      </c>
      <c r="AC325" s="593">
        <v>0</v>
      </c>
      <c r="AD325" s="593">
        <v>0</v>
      </c>
      <c r="AE325" s="593">
        <v>0</v>
      </c>
      <c r="AF325" s="593">
        <v>0</v>
      </c>
      <c r="AG325" s="593">
        <v>0</v>
      </c>
      <c r="AH325" s="593">
        <v>0</v>
      </c>
      <c r="AI325" s="593">
        <v>0</v>
      </c>
      <c r="AJ325" s="593">
        <v>0</v>
      </c>
      <c r="AK325" s="593">
        <v>0</v>
      </c>
      <c r="AL325" s="593">
        <v>0</v>
      </c>
      <c r="AM325" s="593">
        <v>0</v>
      </c>
      <c r="AN325" s="593">
        <v>0</v>
      </c>
      <c r="AO325" s="593">
        <v>0</v>
      </c>
      <c r="AP325" s="593">
        <v>0</v>
      </c>
      <c r="AQ325" s="593">
        <v>0</v>
      </c>
      <c r="AR325" s="593">
        <v>0</v>
      </c>
      <c r="AS325" s="593">
        <v>0</v>
      </c>
      <c r="AT325" s="570">
        <f t="shared" ref="AT325:AT388" si="285">+Q325*AV325</f>
        <v>4.1250000000000002E-2</v>
      </c>
      <c r="AU325" s="571">
        <v>100</v>
      </c>
      <c r="AV325" s="625">
        <f t="shared" si="267"/>
        <v>0.25</v>
      </c>
      <c r="AW325" s="1003">
        <v>283</v>
      </c>
      <c r="AX325" s="604">
        <f t="shared" si="268"/>
        <v>283</v>
      </c>
      <c r="AY325" s="604">
        <f t="shared" si="269"/>
        <v>283</v>
      </c>
      <c r="AZ325" s="604">
        <f t="shared" ref="AZ325:AZ388" si="286">+IF(AY325&lt;100,AY325,100)</f>
        <v>100</v>
      </c>
      <c r="BA325" s="592">
        <f t="shared" ref="BA325:BA388" si="287">+(AZ325*AT325)/100</f>
        <v>4.1250000000000002E-2</v>
      </c>
      <c r="BB325" s="592">
        <f t="shared" ref="BB325:BB388" si="288">+IF(AW325&gt;AU325,100,AZ325)</f>
        <v>100</v>
      </c>
      <c r="BC325" s="591">
        <v>126000000</v>
      </c>
      <c r="BD325" s="591">
        <v>0</v>
      </c>
      <c r="BE325" s="591">
        <v>39000000</v>
      </c>
      <c r="BF325" s="591">
        <v>0</v>
      </c>
      <c r="BG325" s="591">
        <v>0</v>
      </c>
      <c r="BH325" s="591">
        <v>0</v>
      </c>
      <c r="BI325" s="591">
        <v>0</v>
      </c>
      <c r="BJ325" s="591">
        <v>87000000</v>
      </c>
      <c r="BK325" s="624">
        <v>39000000</v>
      </c>
      <c r="BL325" s="589">
        <v>39000000</v>
      </c>
      <c r="BM325" s="589">
        <v>0</v>
      </c>
      <c r="BN325" s="589">
        <v>0</v>
      </c>
      <c r="BO325" s="589">
        <v>0</v>
      </c>
      <c r="BP325" s="589">
        <v>0</v>
      </c>
      <c r="BQ325" s="589">
        <v>0</v>
      </c>
      <c r="BR325" s="589">
        <v>0</v>
      </c>
      <c r="BS325" s="589">
        <v>0</v>
      </c>
      <c r="BT325" s="589">
        <v>7700000</v>
      </c>
      <c r="BU325" s="589" t="s">
        <v>2162</v>
      </c>
      <c r="BV325" s="588">
        <f t="shared" ref="BV325:BV388" si="289">+Q325*BX325</f>
        <v>6.1874999999999999E-2</v>
      </c>
      <c r="BW325" s="588">
        <v>150</v>
      </c>
      <c r="BX325" s="623">
        <f t="shared" si="270"/>
        <v>0.375</v>
      </c>
      <c r="BY325" s="640">
        <v>150</v>
      </c>
      <c r="BZ325" s="656">
        <v>150</v>
      </c>
      <c r="CA325" s="1019">
        <v>150</v>
      </c>
      <c r="CB325" s="557">
        <f t="shared" si="271"/>
        <v>150</v>
      </c>
      <c r="CC325" s="557">
        <f t="shared" si="272"/>
        <v>100</v>
      </c>
      <c r="CD325" s="622">
        <f t="shared" ref="CD325:CD388" si="290">+IF(CC325&lt;100,CC325,100)</f>
        <v>100</v>
      </c>
      <c r="CE325" s="621">
        <f t="shared" ref="CE325:CE388" si="291">+(CD325*BV325)/100</f>
        <v>6.1874999999999999E-2</v>
      </c>
      <c r="CF325" s="605">
        <f t="shared" ref="CF325:CF388" si="292">+IF(BZ325&gt;BW325,100,CD325)</f>
        <v>100</v>
      </c>
      <c r="CG325" s="621">
        <f t="shared" ref="CG325:CG388" si="293">(CC325*BV325)/100</f>
        <v>6.1874999999999999E-2</v>
      </c>
      <c r="CH325" s="553">
        <f t="shared" ref="CH325:CH388" si="294">+Q325*CJ325</f>
        <v>6.1874999999999999E-2</v>
      </c>
      <c r="CI325" s="552">
        <v>150</v>
      </c>
      <c r="CJ325" s="551">
        <f t="shared" si="273"/>
        <v>0.375</v>
      </c>
      <c r="CK325" s="1049">
        <v>0</v>
      </c>
      <c r="CL325" s="533">
        <f t="shared" si="274"/>
        <v>150</v>
      </c>
      <c r="CM325" s="619">
        <f t="shared" si="275"/>
        <v>0</v>
      </c>
      <c r="CN325" s="619">
        <f t="shared" si="276"/>
        <v>0</v>
      </c>
      <c r="CO325" s="549">
        <f t="shared" ref="CO325:CO388" si="295">+IF(CN325&lt;100,CN325,100)</f>
        <v>0</v>
      </c>
      <c r="CP325" s="619">
        <f t="shared" ref="CP325:CP388" si="296">+(CO325*CH325)/100</f>
        <v>0</v>
      </c>
      <c r="CQ325" s="619">
        <f t="shared" ref="CQ325:CQ388" si="297">+(CN325*CH325)/100</f>
        <v>0</v>
      </c>
      <c r="CR325" s="546">
        <v>128000000</v>
      </c>
      <c r="CS325" s="546">
        <v>41000000</v>
      </c>
      <c r="CT325" s="546">
        <v>0</v>
      </c>
      <c r="CU325" s="546">
        <v>0</v>
      </c>
      <c r="CV325" s="546">
        <v>0</v>
      </c>
      <c r="CW325" s="546">
        <v>0</v>
      </c>
      <c r="CX325" s="546">
        <v>0</v>
      </c>
      <c r="CY325" s="546">
        <v>87000000</v>
      </c>
      <c r="CZ325" s="618">
        <v>0</v>
      </c>
      <c r="DA325" s="618">
        <v>0</v>
      </c>
      <c r="DB325" s="618">
        <v>0</v>
      </c>
      <c r="DC325" s="618">
        <v>0</v>
      </c>
      <c r="DD325" s="618">
        <v>0</v>
      </c>
      <c r="DE325" s="618">
        <v>0</v>
      </c>
      <c r="DF325" s="618">
        <v>0</v>
      </c>
      <c r="DG325" s="618">
        <v>0</v>
      </c>
      <c r="DH325" s="618">
        <v>0</v>
      </c>
      <c r="DI325" s="618">
        <v>0</v>
      </c>
      <c r="DJ325" s="618">
        <v>0</v>
      </c>
      <c r="DK325" s="1051">
        <f t="shared" si="277"/>
        <v>433</v>
      </c>
      <c r="DL325" s="543">
        <f t="shared" ref="DL325:DL388" si="298">+R325+AT325+BV325+CH325</f>
        <v>0.16499999999999998</v>
      </c>
      <c r="DM325" s="542">
        <f t="shared" ref="DM325:DM388" si="299">+DK325*100/P325</f>
        <v>108.25</v>
      </c>
      <c r="DN325" s="594">
        <f t="shared" ref="DN325:DN388" si="300">+IF(DM325&lt;100,DM325,100)</f>
        <v>100</v>
      </c>
      <c r="DO325" s="540">
        <f t="shared" ref="DO325:DO388" si="301">+(DN325*Q325)/100</f>
        <v>0.16500000000000001</v>
      </c>
      <c r="DP325" s="597">
        <f t="shared" si="281"/>
        <v>0.16500000000000001</v>
      </c>
      <c r="DQ325" s="538">
        <f t="shared" ref="DQ325:DQ388" si="302">+IF(DL325&lt;DP325,DL325,DP325)</f>
        <v>0.16500000000000001</v>
      </c>
      <c r="DR325" s="617">
        <f t="shared" ref="DR325:DR388" si="303">+T325+AV325+BX325+CJ325</f>
        <v>1</v>
      </c>
      <c r="DS325" s="616">
        <f t="shared" ref="DS325:DS388" si="304">+Q325-R325-AT325-BV325-CH325</f>
        <v>0</v>
      </c>
      <c r="DT325" s="259">
        <v>360</v>
      </c>
      <c r="DU325" s="260" t="s">
        <v>268</v>
      </c>
      <c r="DV325" s="259"/>
      <c r="DW325" s="260" t="s">
        <v>242</v>
      </c>
      <c r="DX325" s="259"/>
      <c r="DY325" s="259"/>
      <c r="DZ325" s="259"/>
      <c r="EA325" s="987"/>
      <c r="EB325" s="1041" t="s">
        <v>2895</v>
      </c>
      <c r="EC325" s="802">
        <v>127000000</v>
      </c>
      <c r="EE325" s="1047">
        <v>100</v>
      </c>
    </row>
    <row r="326" spans="4:135" s="534" customFormat="1" ht="108" customHeight="1" x14ac:dyDescent="0.3">
      <c r="D326" s="783">
        <v>323</v>
      </c>
      <c r="E326" s="799">
        <v>380</v>
      </c>
      <c r="F326" s="739" t="s">
        <v>201</v>
      </c>
      <c r="G326" s="739" t="s">
        <v>16</v>
      </c>
      <c r="H326" s="739" t="s">
        <v>145</v>
      </c>
      <c r="I326" s="676" t="s">
        <v>971</v>
      </c>
      <c r="J326" s="573" t="s">
        <v>972</v>
      </c>
      <c r="K326" s="573" t="s">
        <v>973</v>
      </c>
      <c r="L326" s="687" t="s">
        <v>1642</v>
      </c>
      <c r="M326" s="571" t="s">
        <v>2017</v>
      </c>
      <c r="N326" s="571">
        <v>33746</v>
      </c>
      <c r="O326" s="570">
        <f t="shared" si="280"/>
        <v>38746</v>
      </c>
      <c r="P326" s="569">
        <v>5000</v>
      </c>
      <c r="Q326" s="628">
        <v>0.25</v>
      </c>
      <c r="R326" s="580">
        <f t="shared" si="282"/>
        <v>1.4999999999999999E-2</v>
      </c>
      <c r="S326" s="627">
        <v>300</v>
      </c>
      <c r="T326" s="625">
        <f t="shared" si="264"/>
        <v>0.06</v>
      </c>
      <c r="U326" s="992">
        <v>1332</v>
      </c>
      <c r="V326" s="626">
        <f t="shared" si="265"/>
        <v>1332</v>
      </c>
      <c r="W326" s="594">
        <f t="shared" si="266"/>
        <v>444</v>
      </c>
      <c r="X326" s="594">
        <f t="shared" si="283"/>
        <v>100</v>
      </c>
      <c r="Y326" s="594">
        <f t="shared" si="259"/>
        <v>1.4999999999999999E-2</v>
      </c>
      <c r="Z326" s="594">
        <f t="shared" si="284"/>
        <v>100</v>
      </c>
      <c r="AA326" s="593">
        <v>654000000</v>
      </c>
      <c r="AB326" s="593">
        <v>425000000</v>
      </c>
      <c r="AC326" s="593">
        <v>0</v>
      </c>
      <c r="AD326" s="593">
        <v>0</v>
      </c>
      <c r="AE326" s="593">
        <v>0</v>
      </c>
      <c r="AF326" s="593">
        <v>0</v>
      </c>
      <c r="AG326" s="593">
        <v>0</v>
      </c>
      <c r="AH326" s="593">
        <v>229000000</v>
      </c>
      <c r="AI326" s="593">
        <v>425360000</v>
      </c>
      <c r="AJ326" s="593">
        <v>425360000</v>
      </c>
      <c r="AK326" s="593">
        <v>0</v>
      </c>
      <c r="AL326" s="593">
        <v>0</v>
      </c>
      <c r="AM326" s="593">
        <v>0</v>
      </c>
      <c r="AN326" s="593">
        <v>0</v>
      </c>
      <c r="AO326" s="593">
        <v>0</v>
      </c>
      <c r="AP326" s="593">
        <v>0</v>
      </c>
      <c r="AQ326" s="593">
        <v>0</v>
      </c>
      <c r="AR326" s="593">
        <v>87349000</v>
      </c>
      <c r="AS326" s="593" t="s">
        <v>2161</v>
      </c>
      <c r="AT326" s="570">
        <f t="shared" si="285"/>
        <v>0.1</v>
      </c>
      <c r="AU326" s="571">
        <v>2000</v>
      </c>
      <c r="AV326" s="625">
        <f t="shared" si="267"/>
        <v>0.4</v>
      </c>
      <c r="AW326" s="1003">
        <v>1104</v>
      </c>
      <c r="AX326" s="604">
        <f t="shared" si="268"/>
        <v>1104</v>
      </c>
      <c r="AY326" s="604">
        <f t="shared" si="269"/>
        <v>55.2</v>
      </c>
      <c r="AZ326" s="604">
        <f t="shared" si="286"/>
        <v>55.2</v>
      </c>
      <c r="BA326" s="592">
        <f t="shared" si="287"/>
        <v>5.5200000000000006E-2</v>
      </c>
      <c r="BB326" s="592">
        <f t="shared" si="288"/>
        <v>55.2</v>
      </c>
      <c r="BC326" s="591">
        <v>4311000000</v>
      </c>
      <c r="BD326" s="591">
        <v>0</v>
      </c>
      <c r="BE326" s="591">
        <v>311000000</v>
      </c>
      <c r="BF326" s="591">
        <v>0</v>
      </c>
      <c r="BG326" s="591">
        <v>0</v>
      </c>
      <c r="BH326" s="591">
        <v>0</v>
      </c>
      <c r="BI326" s="591">
        <v>0</v>
      </c>
      <c r="BJ326" s="591">
        <v>4000000000</v>
      </c>
      <c r="BK326" s="624">
        <v>332089434</v>
      </c>
      <c r="BL326" s="589">
        <v>332089434</v>
      </c>
      <c r="BM326" s="589">
        <v>0</v>
      </c>
      <c r="BN326" s="589">
        <v>0</v>
      </c>
      <c r="BO326" s="589">
        <v>0</v>
      </c>
      <c r="BP326" s="589">
        <v>0</v>
      </c>
      <c r="BQ326" s="589">
        <v>0</v>
      </c>
      <c r="BR326" s="589">
        <v>0</v>
      </c>
      <c r="BS326" s="589">
        <v>0</v>
      </c>
      <c r="BT326" s="589">
        <v>210746298</v>
      </c>
      <c r="BU326" s="589" t="s">
        <v>2160</v>
      </c>
      <c r="BV326" s="588">
        <f t="shared" si="289"/>
        <v>0.1</v>
      </c>
      <c r="BW326" s="588">
        <v>2000</v>
      </c>
      <c r="BX326" s="623">
        <f t="shared" si="270"/>
        <v>0.4</v>
      </c>
      <c r="BY326" s="639">
        <v>520</v>
      </c>
      <c r="BZ326" s="638">
        <v>520</v>
      </c>
      <c r="CA326" s="1018">
        <v>1965</v>
      </c>
      <c r="CB326" s="557">
        <f t="shared" si="271"/>
        <v>1965</v>
      </c>
      <c r="CC326" s="557">
        <f t="shared" si="272"/>
        <v>98.25</v>
      </c>
      <c r="CD326" s="622">
        <f t="shared" si="290"/>
        <v>98.25</v>
      </c>
      <c r="CE326" s="621">
        <f t="shared" si="291"/>
        <v>9.8250000000000004E-2</v>
      </c>
      <c r="CF326" s="605">
        <f t="shared" si="292"/>
        <v>98.25</v>
      </c>
      <c r="CG326" s="621">
        <f t="shared" si="293"/>
        <v>9.8250000000000004E-2</v>
      </c>
      <c r="CH326" s="553">
        <f t="shared" si="294"/>
        <v>3.5000000000000003E-2</v>
      </c>
      <c r="CI326" s="552">
        <v>700</v>
      </c>
      <c r="CJ326" s="551">
        <f t="shared" si="273"/>
        <v>0.14000000000000001</v>
      </c>
      <c r="CK326" s="1048">
        <v>520</v>
      </c>
      <c r="CL326" s="533">
        <f t="shared" si="274"/>
        <v>180</v>
      </c>
      <c r="CM326" s="619">
        <f t="shared" si="275"/>
        <v>520</v>
      </c>
      <c r="CN326" s="619">
        <f t="shared" si="276"/>
        <v>74.285714285714292</v>
      </c>
      <c r="CO326" s="549">
        <f t="shared" si="295"/>
        <v>74.285714285714292</v>
      </c>
      <c r="CP326" s="619">
        <f t="shared" si="296"/>
        <v>2.6000000000000006E-2</v>
      </c>
      <c r="CQ326" s="619">
        <f t="shared" si="297"/>
        <v>2.6000000000000006E-2</v>
      </c>
      <c r="CR326" s="546">
        <v>4330000000</v>
      </c>
      <c r="CS326" s="546">
        <v>330000000</v>
      </c>
      <c r="CT326" s="546">
        <v>0</v>
      </c>
      <c r="CU326" s="546">
        <v>0</v>
      </c>
      <c r="CV326" s="546">
        <v>0</v>
      </c>
      <c r="CW326" s="546">
        <v>0</v>
      </c>
      <c r="CX326" s="546">
        <v>0</v>
      </c>
      <c r="CY326" s="546">
        <v>4000000000</v>
      </c>
      <c r="CZ326" s="618">
        <v>0</v>
      </c>
      <c r="DA326" s="618">
        <v>0</v>
      </c>
      <c r="DB326" s="618">
        <v>0</v>
      </c>
      <c r="DC326" s="618">
        <v>0</v>
      </c>
      <c r="DD326" s="618">
        <v>0</v>
      </c>
      <c r="DE326" s="618">
        <v>0</v>
      </c>
      <c r="DF326" s="618">
        <v>0</v>
      </c>
      <c r="DG326" s="618">
        <v>0</v>
      </c>
      <c r="DH326" s="618">
        <v>0</v>
      </c>
      <c r="DI326" s="618">
        <v>0</v>
      </c>
      <c r="DJ326" s="618">
        <v>0</v>
      </c>
      <c r="DK326" s="1051">
        <f t="shared" si="277"/>
        <v>4921</v>
      </c>
      <c r="DL326" s="543">
        <f t="shared" si="298"/>
        <v>0.25</v>
      </c>
      <c r="DM326" s="542">
        <f t="shared" si="299"/>
        <v>98.42</v>
      </c>
      <c r="DN326" s="594">
        <f t="shared" si="300"/>
        <v>98.42</v>
      </c>
      <c r="DO326" s="540">
        <f t="shared" si="301"/>
        <v>0.24604999999999999</v>
      </c>
      <c r="DP326" s="597">
        <f t="shared" si="281"/>
        <v>0.24604999999999999</v>
      </c>
      <c r="DQ326" s="538">
        <f t="shared" si="302"/>
        <v>0.24604999999999999</v>
      </c>
      <c r="DR326" s="617">
        <f t="shared" si="303"/>
        <v>1</v>
      </c>
      <c r="DS326" s="616">
        <f t="shared" si="304"/>
        <v>0</v>
      </c>
      <c r="DT326" s="259">
        <v>375</v>
      </c>
      <c r="DU326" s="260" t="s">
        <v>267</v>
      </c>
      <c r="DV326" s="259"/>
      <c r="DW326" s="260" t="s">
        <v>242</v>
      </c>
      <c r="DX326" s="259"/>
      <c r="DY326" s="259"/>
      <c r="DZ326" s="259"/>
      <c r="EA326" s="987"/>
      <c r="EB326" s="1041" t="s">
        <v>2896</v>
      </c>
      <c r="EC326" s="802">
        <v>4320000000</v>
      </c>
      <c r="EE326" s="1047">
        <v>100</v>
      </c>
    </row>
    <row r="327" spans="4:135" s="534" customFormat="1" ht="76.5" x14ac:dyDescent="0.3">
      <c r="D327" s="783">
        <v>324</v>
      </c>
      <c r="E327" s="799">
        <v>381</v>
      </c>
      <c r="F327" s="574" t="s">
        <v>201</v>
      </c>
      <c r="G327" s="574" t="s">
        <v>16</v>
      </c>
      <c r="H327" s="574" t="s">
        <v>145</v>
      </c>
      <c r="I327" s="574" t="s">
        <v>971</v>
      </c>
      <c r="J327" s="573" t="s">
        <v>1451</v>
      </c>
      <c r="K327" s="573" t="s">
        <v>974</v>
      </c>
      <c r="L327" s="687" t="s">
        <v>2159</v>
      </c>
      <c r="M327" s="571" t="s">
        <v>2017</v>
      </c>
      <c r="N327" s="571">
        <v>0</v>
      </c>
      <c r="O327" s="570">
        <f t="shared" si="280"/>
        <v>15</v>
      </c>
      <c r="P327" s="569">
        <v>15</v>
      </c>
      <c r="Q327" s="631">
        <v>0.16500000000000001</v>
      </c>
      <c r="R327" s="580">
        <f t="shared" si="282"/>
        <v>3.3000000000000002E-2</v>
      </c>
      <c r="S327" s="627">
        <v>3</v>
      </c>
      <c r="T327" s="625">
        <f t="shared" si="264"/>
        <v>0.2</v>
      </c>
      <c r="U327" s="992">
        <v>6</v>
      </c>
      <c r="V327" s="626">
        <f t="shared" si="265"/>
        <v>6</v>
      </c>
      <c r="W327" s="594">
        <f t="shared" si="266"/>
        <v>200</v>
      </c>
      <c r="X327" s="594">
        <f t="shared" si="283"/>
        <v>100</v>
      </c>
      <c r="Y327" s="594">
        <f t="shared" si="259"/>
        <v>3.3000000000000002E-2</v>
      </c>
      <c r="Z327" s="594">
        <f t="shared" si="284"/>
        <v>100</v>
      </c>
      <c r="AA327" s="593">
        <v>1278000000</v>
      </c>
      <c r="AB327" s="593">
        <v>1050000000</v>
      </c>
      <c r="AC327" s="593">
        <v>0</v>
      </c>
      <c r="AD327" s="593">
        <v>0</v>
      </c>
      <c r="AE327" s="593">
        <v>0</v>
      </c>
      <c r="AF327" s="593">
        <v>0</v>
      </c>
      <c r="AG327" s="593">
        <v>0</v>
      </c>
      <c r="AH327" s="593">
        <v>228000000</v>
      </c>
      <c r="AI327" s="593">
        <v>910000000</v>
      </c>
      <c r="AJ327" s="593">
        <v>910000000</v>
      </c>
      <c r="AK327" s="593">
        <v>0</v>
      </c>
      <c r="AL327" s="593">
        <v>0</v>
      </c>
      <c r="AM327" s="593">
        <v>0</v>
      </c>
      <c r="AN327" s="593">
        <v>0</v>
      </c>
      <c r="AO327" s="593">
        <v>0</v>
      </c>
      <c r="AP327" s="593">
        <v>0</v>
      </c>
      <c r="AQ327" s="593">
        <v>0</v>
      </c>
      <c r="AR327" s="593">
        <v>205500000</v>
      </c>
      <c r="AS327" s="593" t="s">
        <v>2158</v>
      </c>
      <c r="AT327" s="630">
        <f t="shared" si="285"/>
        <v>3.3000000000000002E-2</v>
      </c>
      <c r="AU327" s="571">
        <v>3</v>
      </c>
      <c r="AV327" s="625">
        <f t="shared" si="267"/>
        <v>0.2</v>
      </c>
      <c r="AW327" s="1003">
        <v>4</v>
      </c>
      <c r="AX327" s="604">
        <f t="shared" si="268"/>
        <v>4</v>
      </c>
      <c r="AY327" s="604">
        <f t="shared" si="269"/>
        <v>133.33333333333334</v>
      </c>
      <c r="AZ327" s="604">
        <f t="shared" si="286"/>
        <v>100</v>
      </c>
      <c r="BA327" s="592">
        <f t="shared" si="287"/>
        <v>3.3000000000000002E-2</v>
      </c>
      <c r="BB327" s="592">
        <f t="shared" si="288"/>
        <v>100</v>
      </c>
      <c r="BC327" s="591">
        <v>388000000</v>
      </c>
      <c r="BD327" s="591">
        <v>0</v>
      </c>
      <c r="BE327" s="591">
        <v>388000000</v>
      </c>
      <c r="BF327" s="591">
        <v>0</v>
      </c>
      <c r="BG327" s="591">
        <v>0</v>
      </c>
      <c r="BH327" s="591">
        <v>0</v>
      </c>
      <c r="BI327" s="591">
        <v>0</v>
      </c>
      <c r="BJ327" s="591">
        <v>0</v>
      </c>
      <c r="BK327" s="624">
        <v>538000000</v>
      </c>
      <c r="BL327" s="589">
        <v>538000000</v>
      </c>
      <c r="BM327" s="589">
        <v>0</v>
      </c>
      <c r="BN327" s="589">
        <v>0</v>
      </c>
      <c r="BO327" s="589">
        <v>0</v>
      </c>
      <c r="BP327" s="589">
        <v>0</v>
      </c>
      <c r="BQ327" s="589">
        <v>0</v>
      </c>
      <c r="BR327" s="589">
        <v>0</v>
      </c>
      <c r="BS327" s="589">
        <v>0</v>
      </c>
      <c r="BT327" s="589">
        <v>122250000</v>
      </c>
      <c r="BU327" s="589" t="s">
        <v>2157</v>
      </c>
      <c r="BV327" s="588">
        <f t="shared" si="289"/>
        <v>4.4000000000000004E-2</v>
      </c>
      <c r="BW327" s="588">
        <v>4</v>
      </c>
      <c r="BX327" s="623">
        <f t="shared" si="270"/>
        <v>0.26666666666666666</v>
      </c>
      <c r="BY327" s="639">
        <v>0</v>
      </c>
      <c r="BZ327" s="638">
        <v>0</v>
      </c>
      <c r="CA327" s="1018">
        <v>0</v>
      </c>
      <c r="CB327" s="557">
        <f t="shared" si="271"/>
        <v>0</v>
      </c>
      <c r="CC327" s="557">
        <f t="shared" si="272"/>
        <v>0</v>
      </c>
      <c r="CD327" s="622">
        <f t="shared" si="290"/>
        <v>0</v>
      </c>
      <c r="CE327" s="621">
        <f t="shared" si="291"/>
        <v>0</v>
      </c>
      <c r="CF327" s="605">
        <f t="shared" si="292"/>
        <v>0</v>
      </c>
      <c r="CG327" s="621">
        <f t="shared" si="293"/>
        <v>0</v>
      </c>
      <c r="CH327" s="553">
        <f t="shared" si="294"/>
        <v>5.5E-2</v>
      </c>
      <c r="CI327" s="552">
        <v>5</v>
      </c>
      <c r="CJ327" s="551">
        <f t="shared" si="273"/>
        <v>0.33333333333333331</v>
      </c>
      <c r="CK327" s="1048">
        <v>2</v>
      </c>
      <c r="CL327" s="533">
        <f t="shared" si="274"/>
        <v>3</v>
      </c>
      <c r="CM327" s="619">
        <f t="shared" si="275"/>
        <v>2</v>
      </c>
      <c r="CN327" s="619">
        <f t="shared" si="276"/>
        <v>40</v>
      </c>
      <c r="CO327" s="549">
        <f t="shared" si="295"/>
        <v>40</v>
      </c>
      <c r="CP327" s="619">
        <f t="shared" si="296"/>
        <v>2.2000000000000002E-2</v>
      </c>
      <c r="CQ327" s="619">
        <f t="shared" si="297"/>
        <v>2.2000000000000002E-2</v>
      </c>
      <c r="CR327" s="546">
        <v>412000000</v>
      </c>
      <c r="CS327" s="546">
        <v>412000000</v>
      </c>
      <c r="CT327" s="546">
        <v>0</v>
      </c>
      <c r="CU327" s="546">
        <v>0</v>
      </c>
      <c r="CV327" s="546">
        <v>0</v>
      </c>
      <c r="CW327" s="546">
        <v>0</v>
      </c>
      <c r="CX327" s="546">
        <v>0</v>
      </c>
      <c r="CY327" s="546">
        <v>0</v>
      </c>
      <c r="CZ327" s="618">
        <v>0</v>
      </c>
      <c r="DA327" s="618">
        <v>0</v>
      </c>
      <c r="DB327" s="618">
        <v>0</v>
      </c>
      <c r="DC327" s="618">
        <v>0</v>
      </c>
      <c r="DD327" s="618">
        <v>0</v>
      </c>
      <c r="DE327" s="618">
        <v>0</v>
      </c>
      <c r="DF327" s="618">
        <v>0</v>
      </c>
      <c r="DG327" s="618">
        <v>0</v>
      </c>
      <c r="DH327" s="618">
        <v>0</v>
      </c>
      <c r="DI327" s="618">
        <v>0</v>
      </c>
      <c r="DJ327" s="618">
        <v>0</v>
      </c>
      <c r="DK327" s="1051">
        <f t="shared" si="277"/>
        <v>12</v>
      </c>
      <c r="DL327" s="543">
        <f t="shared" si="298"/>
        <v>0.16500000000000001</v>
      </c>
      <c r="DM327" s="542">
        <f t="shared" si="299"/>
        <v>80</v>
      </c>
      <c r="DN327" s="594">
        <f t="shared" si="300"/>
        <v>80</v>
      </c>
      <c r="DO327" s="540">
        <f t="shared" si="301"/>
        <v>0.13200000000000001</v>
      </c>
      <c r="DP327" s="597">
        <f t="shared" si="281"/>
        <v>0.13200000000000001</v>
      </c>
      <c r="DQ327" s="538">
        <f t="shared" si="302"/>
        <v>0.13200000000000001</v>
      </c>
      <c r="DR327" s="617">
        <f t="shared" si="303"/>
        <v>1</v>
      </c>
      <c r="DS327" s="616">
        <f t="shared" si="304"/>
        <v>0</v>
      </c>
      <c r="DT327" s="259">
        <v>375</v>
      </c>
      <c r="DU327" s="260" t="s">
        <v>267</v>
      </c>
      <c r="DV327" s="259"/>
      <c r="DW327" s="260" t="s">
        <v>242</v>
      </c>
      <c r="DX327" s="259"/>
      <c r="DY327" s="259"/>
      <c r="DZ327" s="259"/>
      <c r="EA327" s="987"/>
      <c r="EB327" s="1041" t="s">
        <v>2897</v>
      </c>
      <c r="EC327" s="802">
        <v>400000000</v>
      </c>
      <c r="EE327" s="1047">
        <v>80</v>
      </c>
    </row>
    <row r="328" spans="4:135" s="534" customFormat="1" ht="96" x14ac:dyDescent="0.3">
      <c r="D328" s="783">
        <v>325</v>
      </c>
      <c r="E328" s="799">
        <v>382</v>
      </c>
      <c r="F328" s="739" t="s">
        <v>201</v>
      </c>
      <c r="G328" s="739" t="s">
        <v>16</v>
      </c>
      <c r="H328" s="739" t="s">
        <v>145</v>
      </c>
      <c r="I328" s="676" t="s">
        <v>1413</v>
      </c>
      <c r="J328" s="573" t="s">
        <v>975</v>
      </c>
      <c r="K328" s="573" t="s">
        <v>976</v>
      </c>
      <c r="L328" s="687" t="s">
        <v>2019</v>
      </c>
      <c r="M328" s="571" t="s">
        <v>2017</v>
      </c>
      <c r="N328" s="571">
        <v>12</v>
      </c>
      <c r="O328" s="570">
        <f t="shared" si="280"/>
        <v>47</v>
      </c>
      <c r="P328" s="569">
        <v>35</v>
      </c>
      <c r="Q328" s="628">
        <v>0.16500000000000001</v>
      </c>
      <c r="R328" s="580">
        <f t="shared" si="282"/>
        <v>3.7714285714285714E-2</v>
      </c>
      <c r="S328" s="627">
        <v>8</v>
      </c>
      <c r="T328" s="625">
        <f t="shared" si="264"/>
        <v>0.22857142857142856</v>
      </c>
      <c r="U328" s="992">
        <v>17</v>
      </c>
      <c r="V328" s="626">
        <f t="shared" si="265"/>
        <v>17</v>
      </c>
      <c r="W328" s="594">
        <f t="shared" si="266"/>
        <v>212.5</v>
      </c>
      <c r="X328" s="594">
        <f t="shared" si="283"/>
        <v>100</v>
      </c>
      <c r="Y328" s="594">
        <f t="shared" si="259"/>
        <v>3.7714285714285714E-2</v>
      </c>
      <c r="Z328" s="594">
        <f t="shared" si="284"/>
        <v>100</v>
      </c>
      <c r="AA328" s="593">
        <v>240000000</v>
      </c>
      <c r="AB328" s="593">
        <v>240000000</v>
      </c>
      <c r="AC328" s="593">
        <v>0</v>
      </c>
      <c r="AD328" s="593">
        <v>0</v>
      </c>
      <c r="AE328" s="593">
        <v>0</v>
      </c>
      <c r="AF328" s="593">
        <v>0</v>
      </c>
      <c r="AG328" s="593">
        <v>0</v>
      </c>
      <c r="AH328" s="593">
        <v>0</v>
      </c>
      <c r="AI328" s="593">
        <v>0</v>
      </c>
      <c r="AJ328" s="593">
        <v>0</v>
      </c>
      <c r="AK328" s="593">
        <v>0</v>
      </c>
      <c r="AL328" s="593">
        <v>0</v>
      </c>
      <c r="AM328" s="593">
        <v>0</v>
      </c>
      <c r="AN328" s="593">
        <v>0</v>
      </c>
      <c r="AO328" s="593">
        <v>0</v>
      </c>
      <c r="AP328" s="593">
        <v>0</v>
      </c>
      <c r="AQ328" s="593">
        <v>0</v>
      </c>
      <c r="AR328" s="593">
        <v>0</v>
      </c>
      <c r="AS328" s="593">
        <v>0</v>
      </c>
      <c r="AT328" s="570">
        <f t="shared" si="285"/>
        <v>4.7142857142857139E-2</v>
      </c>
      <c r="AU328" s="571">
        <v>10</v>
      </c>
      <c r="AV328" s="625">
        <f t="shared" si="267"/>
        <v>0.2857142857142857</v>
      </c>
      <c r="AW328" s="1003">
        <v>10</v>
      </c>
      <c r="AX328" s="604">
        <f t="shared" si="268"/>
        <v>10</v>
      </c>
      <c r="AY328" s="604">
        <f t="shared" si="269"/>
        <v>100</v>
      </c>
      <c r="AZ328" s="604">
        <f t="shared" si="286"/>
        <v>100</v>
      </c>
      <c r="BA328" s="592">
        <f t="shared" si="287"/>
        <v>4.7142857142857132E-2</v>
      </c>
      <c r="BB328" s="592">
        <f t="shared" si="288"/>
        <v>100</v>
      </c>
      <c r="BC328" s="591">
        <v>1791000000</v>
      </c>
      <c r="BD328" s="591">
        <v>0</v>
      </c>
      <c r="BE328" s="591">
        <v>291000000</v>
      </c>
      <c r="BF328" s="591">
        <v>0</v>
      </c>
      <c r="BG328" s="591">
        <v>0</v>
      </c>
      <c r="BH328" s="591">
        <v>0</v>
      </c>
      <c r="BI328" s="591">
        <v>0</v>
      </c>
      <c r="BJ328" s="591">
        <v>1500000000</v>
      </c>
      <c r="BK328" s="624">
        <v>242932396</v>
      </c>
      <c r="BL328" s="589">
        <v>242932396</v>
      </c>
      <c r="BM328" s="589">
        <v>0</v>
      </c>
      <c r="BN328" s="589">
        <v>0</v>
      </c>
      <c r="BO328" s="589">
        <v>0</v>
      </c>
      <c r="BP328" s="589">
        <v>0</v>
      </c>
      <c r="BQ328" s="589">
        <v>0</v>
      </c>
      <c r="BR328" s="589">
        <v>0</v>
      </c>
      <c r="BS328" s="589">
        <v>0</v>
      </c>
      <c r="BT328" s="589">
        <v>4725000</v>
      </c>
      <c r="BU328" s="589" t="s">
        <v>2156</v>
      </c>
      <c r="BV328" s="588">
        <f t="shared" si="289"/>
        <v>4.7142857142857139E-2</v>
      </c>
      <c r="BW328" s="588">
        <v>10</v>
      </c>
      <c r="BX328" s="623">
        <f t="shared" si="270"/>
        <v>0.2857142857142857</v>
      </c>
      <c r="BY328" s="639">
        <v>1</v>
      </c>
      <c r="BZ328" s="638">
        <v>1</v>
      </c>
      <c r="CA328" s="1018">
        <v>6</v>
      </c>
      <c r="CB328" s="557">
        <f t="shared" si="271"/>
        <v>6</v>
      </c>
      <c r="CC328" s="557">
        <f t="shared" si="272"/>
        <v>60</v>
      </c>
      <c r="CD328" s="622">
        <f t="shared" si="290"/>
        <v>60</v>
      </c>
      <c r="CE328" s="621">
        <f t="shared" si="291"/>
        <v>2.8285714285714282E-2</v>
      </c>
      <c r="CF328" s="605">
        <f t="shared" si="292"/>
        <v>60</v>
      </c>
      <c r="CG328" s="621">
        <f t="shared" si="293"/>
        <v>2.8285714285714282E-2</v>
      </c>
      <c r="CH328" s="553">
        <f t="shared" si="294"/>
        <v>3.3000000000000002E-2</v>
      </c>
      <c r="CI328" s="552">
        <v>7</v>
      </c>
      <c r="CJ328" s="551">
        <f t="shared" si="273"/>
        <v>0.2</v>
      </c>
      <c r="CK328" s="1048">
        <v>2</v>
      </c>
      <c r="CL328" s="533">
        <f t="shared" si="274"/>
        <v>5</v>
      </c>
      <c r="CM328" s="619">
        <f t="shared" si="275"/>
        <v>2</v>
      </c>
      <c r="CN328" s="619">
        <f t="shared" si="276"/>
        <v>28.571428571428573</v>
      </c>
      <c r="CO328" s="549">
        <f t="shared" si="295"/>
        <v>28.571428571428573</v>
      </c>
      <c r="CP328" s="619">
        <f t="shared" si="296"/>
        <v>9.4285714285714303E-3</v>
      </c>
      <c r="CQ328" s="619">
        <f t="shared" si="297"/>
        <v>9.4285714285714303E-3</v>
      </c>
      <c r="CR328" s="546">
        <v>1808000000</v>
      </c>
      <c r="CS328" s="546">
        <v>308000000</v>
      </c>
      <c r="CT328" s="546">
        <v>0</v>
      </c>
      <c r="CU328" s="546">
        <v>0</v>
      </c>
      <c r="CV328" s="546">
        <v>0</v>
      </c>
      <c r="CW328" s="546">
        <v>0</v>
      </c>
      <c r="CX328" s="546">
        <v>0</v>
      </c>
      <c r="CY328" s="546">
        <v>1500000000</v>
      </c>
      <c r="CZ328" s="618">
        <v>0</v>
      </c>
      <c r="DA328" s="618">
        <v>0</v>
      </c>
      <c r="DB328" s="618">
        <v>0</v>
      </c>
      <c r="DC328" s="618">
        <v>0</v>
      </c>
      <c r="DD328" s="618">
        <v>0</v>
      </c>
      <c r="DE328" s="618">
        <v>0</v>
      </c>
      <c r="DF328" s="618">
        <v>0</v>
      </c>
      <c r="DG328" s="618">
        <v>0</v>
      </c>
      <c r="DH328" s="618">
        <v>0</v>
      </c>
      <c r="DI328" s="618">
        <v>0</v>
      </c>
      <c r="DJ328" s="618">
        <v>0</v>
      </c>
      <c r="DK328" s="1051">
        <f t="shared" si="277"/>
        <v>35</v>
      </c>
      <c r="DL328" s="543">
        <f t="shared" si="298"/>
        <v>0.16500000000000001</v>
      </c>
      <c r="DM328" s="542">
        <f t="shared" si="299"/>
        <v>100</v>
      </c>
      <c r="DN328" s="594">
        <f t="shared" si="300"/>
        <v>100</v>
      </c>
      <c r="DO328" s="540">
        <f t="shared" si="301"/>
        <v>0.16500000000000001</v>
      </c>
      <c r="DP328" s="597">
        <f t="shared" si="281"/>
        <v>0.16500000000000001</v>
      </c>
      <c r="DQ328" s="538">
        <f t="shared" si="302"/>
        <v>0.16500000000000001</v>
      </c>
      <c r="DR328" s="617">
        <f t="shared" si="303"/>
        <v>1</v>
      </c>
      <c r="DS328" s="616">
        <f t="shared" si="304"/>
        <v>0</v>
      </c>
      <c r="DT328" s="259">
        <v>359</v>
      </c>
      <c r="DU328" s="260" t="s">
        <v>269</v>
      </c>
      <c r="DV328" s="259">
        <v>360</v>
      </c>
      <c r="DW328" s="260" t="s">
        <v>268</v>
      </c>
      <c r="DX328" s="259"/>
      <c r="DY328" s="259"/>
      <c r="DZ328" s="259"/>
      <c r="EA328" s="987"/>
      <c r="EB328" s="1041" t="s">
        <v>2898</v>
      </c>
      <c r="EC328" s="802">
        <v>1799000000</v>
      </c>
      <c r="EE328" s="1047"/>
    </row>
    <row r="329" spans="4:135" s="534" customFormat="1" ht="108" x14ac:dyDescent="0.3">
      <c r="D329" s="783">
        <v>326</v>
      </c>
      <c r="E329" s="799">
        <v>383</v>
      </c>
      <c r="F329" s="739" t="s">
        <v>201</v>
      </c>
      <c r="G329" s="739" t="s">
        <v>16</v>
      </c>
      <c r="H329" s="739" t="s">
        <v>145</v>
      </c>
      <c r="I329" s="676" t="s">
        <v>1413</v>
      </c>
      <c r="J329" s="573" t="s">
        <v>977</v>
      </c>
      <c r="K329" s="573" t="s">
        <v>978</v>
      </c>
      <c r="L329" s="687" t="s">
        <v>2014</v>
      </c>
      <c r="M329" s="571" t="s">
        <v>2032</v>
      </c>
      <c r="N329" s="571">
        <v>116</v>
      </c>
      <c r="O329" s="570">
        <f>+P329</f>
        <v>116</v>
      </c>
      <c r="P329" s="569">
        <v>116</v>
      </c>
      <c r="Q329" s="628">
        <v>0.16500000000000001</v>
      </c>
      <c r="R329" s="580">
        <f t="shared" si="282"/>
        <v>4.1250000000000002E-2</v>
      </c>
      <c r="S329" s="627">
        <v>116</v>
      </c>
      <c r="T329" s="625">
        <f t="shared" si="264"/>
        <v>0.25</v>
      </c>
      <c r="U329" s="992">
        <v>116</v>
      </c>
      <c r="V329" s="626">
        <f t="shared" si="265"/>
        <v>29</v>
      </c>
      <c r="W329" s="594">
        <f t="shared" si="266"/>
        <v>100</v>
      </c>
      <c r="X329" s="594">
        <f t="shared" si="283"/>
        <v>100</v>
      </c>
      <c r="Y329" s="594">
        <f t="shared" si="259"/>
        <v>4.1250000000000002E-2</v>
      </c>
      <c r="Z329" s="594">
        <f t="shared" si="284"/>
        <v>100</v>
      </c>
      <c r="AA329" s="593">
        <v>200000000</v>
      </c>
      <c r="AB329" s="593">
        <v>200000000</v>
      </c>
      <c r="AC329" s="593">
        <v>0</v>
      </c>
      <c r="AD329" s="593">
        <v>0</v>
      </c>
      <c r="AE329" s="593">
        <v>0</v>
      </c>
      <c r="AF329" s="593">
        <v>0</v>
      </c>
      <c r="AG329" s="593">
        <v>0</v>
      </c>
      <c r="AH329" s="593">
        <v>0</v>
      </c>
      <c r="AI329" s="593">
        <v>200000000</v>
      </c>
      <c r="AJ329" s="593">
        <v>200000000</v>
      </c>
      <c r="AK329" s="593">
        <v>0</v>
      </c>
      <c r="AL329" s="593">
        <v>0</v>
      </c>
      <c r="AM329" s="593">
        <v>0</v>
      </c>
      <c r="AN329" s="593">
        <v>0</v>
      </c>
      <c r="AO329" s="593">
        <v>0</v>
      </c>
      <c r="AP329" s="593">
        <v>0</v>
      </c>
      <c r="AQ329" s="593">
        <v>0</v>
      </c>
      <c r="AR329" s="593">
        <v>0</v>
      </c>
      <c r="AS329" s="593">
        <v>0</v>
      </c>
      <c r="AT329" s="570">
        <f t="shared" si="285"/>
        <v>4.1250000000000002E-2</v>
      </c>
      <c r="AU329" s="571">
        <v>116</v>
      </c>
      <c r="AV329" s="625">
        <f t="shared" si="267"/>
        <v>0.25</v>
      </c>
      <c r="AW329" s="1003">
        <v>116</v>
      </c>
      <c r="AX329" s="604">
        <f t="shared" si="268"/>
        <v>29</v>
      </c>
      <c r="AY329" s="604">
        <f t="shared" si="269"/>
        <v>100</v>
      </c>
      <c r="AZ329" s="604">
        <f t="shared" si="286"/>
        <v>100</v>
      </c>
      <c r="BA329" s="592">
        <f t="shared" si="287"/>
        <v>4.1250000000000002E-2</v>
      </c>
      <c r="BB329" s="592">
        <f t="shared" si="288"/>
        <v>100</v>
      </c>
      <c r="BC329" s="591">
        <v>20000000</v>
      </c>
      <c r="BD329" s="591">
        <v>0</v>
      </c>
      <c r="BE329" s="591">
        <v>20000000</v>
      </c>
      <c r="BF329" s="591">
        <v>0</v>
      </c>
      <c r="BG329" s="591">
        <v>0</v>
      </c>
      <c r="BH329" s="591">
        <v>0</v>
      </c>
      <c r="BI329" s="591">
        <v>0</v>
      </c>
      <c r="BJ329" s="591">
        <v>0</v>
      </c>
      <c r="BK329" s="624">
        <v>0</v>
      </c>
      <c r="BL329" s="589">
        <v>0</v>
      </c>
      <c r="BM329" s="589">
        <v>0</v>
      </c>
      <c r="BN329" s="589">
        <v>0</v>
      </c>
      <c r="BO329" s="589">
        <v>0</v>
      </c>
      <c r="BP329" s="589">
        <v>0</v>
      </c>
      <c r="BQ329" s="589">
        <v>0</v>
      </c>
      <c r="BR329" s="589">
        <v>0</v>
      </c>
      <c r="BS329" s="589">
        <v>0</v>
      </c>
      <c r="BT329" s="589">
        <v>0</v>
      </c>
      <c r="BU329" s="589">
        <v>0</v>
      </c>
      <c r="BV329" s="588">
        <f t="shared" si="289"/>
        <v>4.1250000000000002E-2</v>
      </c>
      <c r="BW329" s="588">
        <v>116</v>
      </c>
      <c r="BX329" s="623">
        <f t="shared" si="270"/>
        <v>0.25</v>
      </c>
      <c r="BY329" s="639">
        <v>0</v>
      </c>
      <c r="BZ329" s="638">
        <v>0</v>
      </c>
      <c r="CA329" s="1018">
        <v>116</v>
      </c>
      <c r="CB329" s="557">
        <f t="shared" si="271"/>
        <v>29</v>
      </c>
      <c r="CC329" s="557">
        <f t="shared" si="272"/>
        <v>100</v>
      </c>
      <c r="CD329" s="622">
        <f t="shared" si="290"/>
        <v>100</v>
      </c>
      <c r="CE329" s="621">
        <f t="shared" si="291"/>
        <v>4.1250000000000002E-2</v>
      </c>
      <c r="CF329" s="605">
        <f t="shared" si="292"/>
        <v>100</v>
      </c>
      <c r="CG329" s="621">
        <f t="shared" si="293"/>
        <v>4.1250000000000002E-2</v>
      </c>
      <c r="CH329" s="553">
        <f t="shared" si="294"/>
        <v>4.1250000000000002E-2</v>
      </c>
      <c r="CI329" s="552">
        <v>116</v>
      </c>
      <c r="CJ329" s="551">
        <f t="shared" si="273"/>
        <v>0.25</v>
      </c>
      <c r="CK329" s="1049">
        <v>0</v>
      </c>
      <c r="CL329" s="533">
        <f t="shared" si="274"/>
        <v>116</v>
      </c>
      <c r="CM329" s="619">
        <f t="shared" si="275"/>
        <v>0</v>
      </c>
      <c r="CN329" s="619">
        <f t="shared" si="276"/>
        <v>0</v>
      </c>
      <c r="CO329" s="619">
        <f t="shared" si="295"/>
        <v>0</v>
      </c>
      <c r="CP329" s="619">
        <f t="shared" si="296"/>
        <v>0</v>
      </c>
      <c r="CQ329" s="619">
        <f t="shared" si="297"/>
        <v>0</v>
      </c>
      <c r="CR329" s="546">
        <v>21000000</v>
      </c>
      <c r="CS329" s="546">
        <v>21000000</v>
      </c>
      <c r="CT329" s="546">
        <v>0</v>
      </c>
      <c r="CU329" s="546">
        <v>0</v>
      </c>
      <c r="CV329" s="546">
        <v>0</v>
      </c>
      <c r="CW329" s="546">
        <v>0</v>
      </c>
      <c r="CX329" s="546">
        <v>0</v>
      </c>
      <c r="CY329" s="546">
        <v>0</v>
      </c>
      <c r="CZ329" s="618">
        <v>0</v>
      </c>
      <c r="DA329" s="618">
        <v>0</v>
      </c>
      <c r="DB329" s="618">
        <v>0</v>
      </c>
      <c r="DC329" s="618">
        <v>0</v>
      </c>
      <c r="DD329" s="618">
        <v>0</v>
      </c>
      <c r="DE329" s="618">
        <v>0</v>
      </c>
      <c r="DF329" s="618">
        <v>0</v>
      </c>
      <c r="DG329" s="618">
        <v>0</v>
      </c>
      <c r="DH329" s="618">
        <v>0</v>
      </c>
      <c r="DI329" s="618">
        <v>0</v>
      </c>
      <c r="DJ329" s="618">
        <v>0</v>
      </c>
      <c r="DK329" s="1051">
        <f t="shared" si="277"/>
        <v>87</v>
      </c>
      <c r="DL329" s="543">
        <f t="shared" si="298"/>
        <v>0.16500000000000001</v>
      </c>
      <c r="DM329" s="542">
        <f t="shared" si="299"/>
        <v>75</v>
      </c>
      <c r="DN329" s="594">
        <f t="shared" si="300"/>
        <v>75</v>
      </c>
      <c r="DO329" s="540">
        <f t="shared" si="301"/>
        <v>0.12375</v>
      </c>
      <c r="DP329" s="597">
        <f>+IF(M329="M",DO329,0)</f>
        <v>0.12375</v>
      </c>
      <c r="DQ329" s="538">
        <f t="shared" si="302"/>
        <v>0.12375</v>
      </c>
      <c r="DR329" s="617">
        <f t="shared" si="303"/>
        <v>1</v>
      </c>
      <c r="DS329" s="616">
        <f t="shared" si="304"/>
        <v>0</v>
      </c>
      <c r="DT329" s="259">
        <v>359</v>
      </c>
      <c r="DU329" s="260" t="s">
        <v>269</v>
      </c>
      <c r="DV329" s="259">
        <v>375</v>
      </c>
      <c r="DW329" s="260" t="s">
        <v>267</v>
      </c>
      <c r="DX329" s="259"/>
      <c r="DY329" s="259"/>
      <c r="DZ329" s="259"/>
      <c r="EA329" s="987"/>
      <c r="EB329" s="1041" t="s">
        <v>2899</v>
      </c>
      <c r="EC329" s="802">
        <v>21000000</v>
      </c>
      <c r="EE329" s="1047">
        <v>75</v>
      </c>
    </row>
    <row r="330" spans="4:135" s="534" customFormat="1" ht="96" x14ac:dyDescent="0.3">
      <c r="D330" s="783">
        <v>327</v>
      </c>
      <c r="E330" s="799">
        <v>384</v>
      </c>
      <c r="F330" s="739" t="s">
        <v>201</v>
      </c>
      <c r="G330" s="739" t="s">
        <v>16</v>
      </c>
      <c r="H330" s="739" t="s">
        <v>145</v>
      </c>
      <c r="I330" s="676" t="s">
        <v>1413</v>
      </c>
      <c r="J330" s="573" t="s">
        <v>979</v>
      </c>
      <c r="K330" s="573" t="s">
        <v>980</v>
      </c>
      <c r="L330" s="687" t="s">
        <v>2115</v>
      </c>
      <c r="M330" s="569" t="s">
        <v>2032</v>
      </c>
      <c r="N330" s="571">
        <v>3</v>
      </c>
      <c r="O330" s="570">
        <f>+P330</f>
        <v>3</v>
      </c>
      <c r="P330" s="569">
        <v>3</v>
      </c>
      <c r="Q330" s="628">
        <v>0.16500000000000001</v>
      </c>
      <c r="R330" s="580">
        <f t="shared" si="282"/>
        <v>4.1250000000000002E-2</v>
      </c>
      <c r="S330" s="627">
        <v>3</v>
      </c>
      <c r="T330" s="625">
        <f t="shared" si="264"/>
        <v>0.25</v>
      </c>
      <c r="U330" s="992">
        <v>3</v>
      </c>
      <c r="V330" s="626">
        <f t="shared" si="265"/>
        <v>0.75</v>
      </c>
      <c r="W330" s="594">
        <f t="shared" si="266"/>
        <v>100</v>
      </c>
      <c r="X330" s="594">
        <f t="shared" si="283"/>
        <v>100</v>
      </c>
      <c r="Y330" s="594">
        <f t="shared" si="259"/>
        <v>4.1250000000000002E-2</v>
      </c>
      <c r="Z330" s="594">
        <f t="shared" si="284"/>
        <v>100</v>
      </c>
      <c r="AA330" s="593">
        <v>0</v>
      </c>
      <c r="AB330" s="593">
        <v>0</v>
      </c>
      <c r="AC330" s="593">
        <v>0</v>
      </c>
      <c r="AD330" s="593">
        <v>0</v>
      </c>
      <c r="AE330" s="593">
        <v>0</v>
      </c>
      <c r="AF330" s="593">
        <v>0</v>
      </c>
      <c r="AG330" s="593">
        <v>0</v>
      </c>
      <c r="AH330" s="593">
        <v>0</v>
      </c>
      <c r="AI330" s="593">
        <v>0</v>
      </c>
      <c r="AJ330" s="593">
        <v>0</v>
      </c>
      <c r="AK330" s="593">
        <v>0</v>
      </c>
      <c r="AL330" s="593">
        <v>0</v>
      </c>
      <c r="AM330" s="593">
        <v>0</v>
      </c>
      <c r="AN330" s="593">
        <v>0</v>
      </c>
      <c r="AO330" s="593">
        <v>0</v>
      </c>
      <c r="AP330" s="593">
        <v>0</v>
      </c>
      <c r="AQ330" s="593">
        <v>0</v>
      </c>
      <c r="AR330" s="593">
        <v>0</v>
      </c>
      <c r="AS330" s="593">
        <v>0</v>
      </c>
      <c r="AT330" s="570">
        <f t="shared" si="285"/>
        <v>4.1250000000000002E-2</v>
      </c>
      <c r="AU330" s="571">
        <v>3</v>
      </c>
      <c r="AV330" s="625">
        <f t="shared" si="267"/>
        <v>0.25</v>
      </c>
      <c r="AW330" s="1003">
        <v>3</v>
      </c>
      <c r="AX330" s="604">
        <f t="shared" si="268"/>
        <v>0.75</v>
      </c>
      <c r="AY330" s="604">
        <f t="shared" si="269"/>
        <v>100</v>
      </c>
      <c r="AZ330" s="604">
        <f t="shared" si="286"/>
        <v>100</v>
      </c>
      <c r="BA330" s="592">
        <f t="shared" si="287"/>
        <v>4.1250000000000002E-2</v>
      </c>
      <c r="BB330" s="592">
        <f t="shared" si="288"/>
        <v>100</v>
      </c>
      <c r="BC330" s="591">
        <v>0</v>
      </c>
      <c r="BD330" s="591">
        <v>0</v>
      </c>
      <c r="BE330" s="591">
        <v>0</v>
      </c>
      <c r="BF330" s="591">
        <v>0</v>
      </c>
      <c r="BG330" s="591">
        <v>0</v>
      </c>
      <c r="BH330" s="591">
        <v>0</v>
      </c>
      <c r="BI330" s="591">
        <v>0</v>
      </c>
      <c r="BJ330" s="591">
        <v>0</v>
      </c>
      <c r="BK330" s="624">
        <v>0</v>
      </c>
      <c r="BL330" s="589">
        <v>0</v>
      </c>
      <c r="BM330" s="589">
        <v>0</v>
      </c>
      <c r="BN330" s="589">
        <v>0</v>
      </c>
      <c r="BO330" s="589">
        <v>0</v>
      </c>
      <c r="BP330" s="589">
        <v>0</v>
      </c>
      <c r="BQ330" s="589">
        <v>0</v>
      </c>
      <c r="BR330" s="589">
        <v>0</v>
      </c>
      <c r="BS330" s="589">
        <v>0</v>
      </c>
      <c r="BT330" s="589">
        <v>0</v>
      </c>
      <c r="BU330" s="589">
        <v>0</v>
      </c>
      <c r="BV330" s="588">
        <f t="shared" si="289"/>
        <v>4.1250000000000002E-2</v>
      </c>
      <c r="BW330" s="588">
        <v>3</v>
      </c>
      <c r="BX330" s="623">
        <f t="shared" si="270"/>
        <v>0.25</v>
      </c>
      <c r="BY330" s="640">
        <v>3</v>
      </c>
      <c r="BZ330" s="656">
        <v>3</v>
      </c>
      <c r="CA330" s="1019">
        <v>3</v>
      </c>
      <c r="CB330" s="557">
        <f t="shared" si="271"/>
        <v>0.75</v>
      </c>
      <c r="CC330" s="557">
        <f t="shared" si="272"/>
        <v>100</v>
      </c>
      <c r="CD330" s="622">
        <f t="shared" si="290"/>
        <v>100</v>
      </c>
      <c r="CE330" s="621">
        <f t="shared" si="291"/>
        <v>4.1250000000000002E-2</v>
      </c>
      <c r="CF330" s="605">
        <f t="shared" si="292"/>
        <v>100</v>
      </c>
      <c r="CG330" s="621">
        <f t="shared" si="293"/>
        <v>4.1250000000000002E-2</v>
      </c>
      <c r="CH330" s="553">
        <f t="shared" si="294"/>
        <v>4.1250000000000002E-2</v>
      </c>
      <c r="CI330" s="552">
        <v>1</v>
      </c>
      <c r="CJ330" s="551">
        <f t="shared" si="273"/>
        <v>0.25</v>
      </c>
      <c r="CK330" s="1049">
        <v>0</v>
      </c>
      <c r="CL330" s="533">
        <f t="shared" si="274"/>
        <v>1</v>
      </c>
      <c r="CM330" s="619">
        <f t="shared" si="275"/>
        <v>0</v>
      </c>
      <c r="CN330" s="619">
        <f t="shared" si="276"/>
        <v>0</v>
      </c>
      <c r="CO330" s="619">
        <f t="shared" si="295"/>
        <v>0</v>
      </c>
      <c r="CP330" s="619">
        <f t="shared" si="296"/>
        <v>0</v>
      </c>
      <c r="CQ330" s="619">
        <f t="shared" si="297"/>
        <v>0</v>
      </c>
      <c r="CR330" s="546">
        <v>0</v>
      </c>
      <c r="CS330" s="546">
        <v>0</v>
      </c>
      <c r="CT330" s="546">
        <v>0</v>
      </c>
      <c r="CU330" s="546">
        <v>0</v>
      </c>
      <c r="CV330" s="546">
        <v>0</v>
      </c>
      <c r="CW330" s="546">
        <v>0</v>
      </c>
      <c r="CX330" s="546">
        <v>0</v>
      </c>
      <c r="CY330" s="546">
        <v>0</v>
      </c>
      <c r="CZ330" s="618">
        <v>0</v>
      </c>
      <c r="DA330" s="618">
        <v>0</v>
      </c>
      <c r="DB330" s="618">
        <v>0</v>
      </c>
      <c r="DC330" s="618">
        <v>0</v>
      </c>
      <c r="DD330" s="618">
        <v>0</v>
      </c>
      <c r="DE330" s="618">
        <v>0</v>
      </c>
      <c r="DF330" s="618">
        <v>0</v>
      </c>
      <c r="DG330" s="618">
        <v>0</v>
      </c>
      <c r="DH330" s="618">
        <v>0</v>
      </c>
      <c r="DI330" s="618">
        <v>0</v>
      </c>
      <c r="DJ330" s="618">
        <v>0</v>
      </c>
      <c r="DK330" s="1034">
        <f t="shared" si="277"/>
        <v>2.25</v>
      </c>
      <c r="DL330" s="543">
        <f t="shared" si="298"/>
        <v>0.16500000000000001</v>
      </c>
      <c r="DM330" s="542">
        <f t="shared" si="299"/>
        <v>75</v>
      </c>
      <c r="DN330" s="594">
        <f t="shared" si="300"/>
        <v>75</v>
      </c>
      <c r="DO330" s="540">
        <f t="shared" si="301"/>
        <v>0.12375</v>
      </c>
      <c r="DP330" s="597">
        <f>+IF(M330="M",DO330,0)</f>
        <v>0.12375</v>
      </c>
      <c r="DQ330" s="538">
        <f t="shared" si="302"/>
        <v>0.12375</v>
      </c>
      <c r="DR330" s="617">
        <f t="shared" si="303"/>
        <v>1</v>
      </c>
      <c r="DS330" s="616">
        <f t="shared" si="304"/>
        <v>0</v>
      </c>
      <c r="DT330" s="259">
        <v>359</v>
      </c>
      <c r="DU330" s="260" t="s">
        <v>269</v>
      </c>
      <c r="DV330" s="259">
        <v>360</v>
      </c>
      <c r="DW330" s="260" t="s">
        <v>268</v>
      </c>
      <c r="DX330" s="259"/>
      <c r="DY330" s="259"/>
      <c r="DZ330" s="259"/>
      <c r="EA330" s="987"/>
      <c r="EB330" s="1041" t="s">
        <v>2900</v>
      </c>
      <c r="EC330" s="802">
        <v>0</v>
      </c>
      <c r="EE330" s="1047">
        <v>75</v>
      </c>
    </row>
    <row r="331" spans="4:135" s="534" customFormat="1" ht="63.75" x14ac:dyDescent="0.3">
      <c r="D331" s="783">
        <v>328</v>
      </c>
      <c r="E331" s="799">
        <v>385</v>
      </c>
      <c r="F331" s="739" t="s">
        <v>201</v>
      </c>
      <c r="G331" s="739" t="s">
        <v>16</v>
      </c>
      <c r="H331" s="739" t="s">
        <v>145</v>
      </c>
      <c r="I331" s="676" t="s">
        <v>1413</v>
      </c>
      <c r="J331" s="573" t="s">
        <v>981</v>
      </c>
      <c r="K331" s="573" t="s">
        <v>982</v>
      </c>
      <c r="L331" s="687" t="s">
        <v>2155</v>
      </c>
      <c r="M331" s="571" t="s">
        <v>2032</v>
      </c>
      <c r="N331" s="571">
        <v>0</v>
      </c>
      <c r="O331" s="570">
        <f>+P331</f>
        <v>1</v>
      </c>
      <c r="P331" s="569">
        <v>1</v>
      </c>
      <c r="Q331" s="628">
        <v>0.16500000000000001</v>
      </c>
      <c r="R331" s="580">
        <f t="shared" si="282"/>
        <v>4.1250000000000002E-2</v>
      </c>
      <c r="S331" s="627">
        <v>1</v>
      </c>
      <c r="T331" s="625">
        <f t="shared" si="264"/>
        <v>0.25</v>
      </c>
      <c r="U331" s="992">
        <v>1</v>
      </c>
      <c r="V331" s="626">
        <f t="shared" si="265"/>
        <v>0.25</v>
      </c>
      <c r="W331" s="594">
        <f t="shared" si="266"/>
        <v>100</v>
      </c>
      <c r="X331" s="594">
        <f t="shared" si="283"/>
        <v>100</v>
      </c>
      <c r="Y331" s="594">
        <f t="shared" si="259"/>
        <v>4.1250000000000002E-2</v>
      </c>
      <c r="Z331" s="594">
        <f t="shared" si="284"/>
        <v>100</v>
      </c>
      <c r="AA331" s="593">
        <v>0</v>
      </c>
      <c r="AB331" s="593">
        <v>0</v>
      </c>
      <c r="AC331" s="593">
        <v>0</v>
      </c>
      <c r="AD331" s="593">
        <v>0</v>
      </c>
      <c r="AE331" s="593">
        <v>0</v>
      </c>
      <c r="AF331" s="593">
        <v>0</v>
      </c>
      <c r="AG331" s="593">
        <v>0</v>
      </c>
      <c r="AH331" s="593">
        <v>0</v>
      </c>
      <c r="AI331" s="593">
        <v>0</v>
      </c>
      <c r="AJ331" s="593">
        <v>0</v>
      </c>
      <c r="AK331" s="593">
        <v>0</v>
      </c>
      <c r="AL331" s="593">
        <v>0</v>
      </c>
      <c r="AM331" s="593">
        <v>0</v>
      </c>
      <c r="AN331" s="593">
        <v>0</v>
      </c>
      <c r="AO331" s="593">
        <v>0</v>
      </c>
      <c r="AP331" s="593">
        <v>0</v>
      </c>
      <c r="AQ331" s="593">
        <v>0</v>
      </c>
      <c r="AR331" s="593">
        <v>0</v>
      </c>
      <c r="AS331" s="593">
        <v>0</v>
      </c>
      <c r="AT331" s="570">
        <f t="shared" si="285"/>
        <v>4.1250000000000002E-2</v>
      </c>
      <c r="AU331" s="571">
        <v>1</v>
      </c>
      <c r="AV331" s="625">
        <f t="shared" si="267"/>
        <v>0.25</v>
      </c>
      <c r="AW331" s="1003">
        <v>1</v>
      </c>
      <c r="AX331" s="604">
        <f t="shared" si="268"/>
        <v>0.25</v>
      </c>
      <c r="AY331" s="604">
        <f t="shared" si="269"/>
        <v>100</v>
      </c>
      <c r="AZ331" s="604">
        <f t="shared" si="286"/>
        <v>100</v>
      </c>
      <c r="BA331" s="592">
        <f t="shared" si="287"/>
        <v>4.1250000000000002E-2</v>
      </c>
      <c r="BB331" s="592">
        <f t="shared" si="288"/>
        <v>100</v>
      </c>
      <c r="BC331" s="591">
        <v>0</v>
      </c>
      <c r="BD331" s="591">
        <v>0</v>
      </c>
      <c r="BE331" s="591">
        <v>0</v>
      </c>
      <c r="BF331" s="591">
        <v>0</v>
      </c>
      <c r="BG331" s="591">
        <v>0</v>
      </c>
      <c r="BH331" s="591">
        <v>0</v>
      </c>
      <c r="BI331" s="591">
        <v>0</v>
      </c>
      <c r="BJ331" s="591">
        <v>0</v>
      </c>
      <c r="BK331" s="624">
        <v>0</v>
      </c>
      <c r="BL331" s="589">
        <v>0</v>
      </c>
      <c r="BM331" s="589">
        <v>0</v>
      </c>
      <c r="BN331" s="589">
        <v>0</v>
      </c>
      <c r="BO331" s="589">
        <v>0</v>
      </c>
      <c r="BP331" s="589">
        <v>0</v>
      </c>
      <c r="BQ331" s="589">
        <v>0</v>
      </c>
      <c r="BR331" s="589">
        <v>0</v>
      </c>
      <c r="BS331" s="589">
        <v>0</v>
      </c>
      <c r="BT331" s="589">
        <v>0</v>
      </c>
      <c r="BU331" s="589">
        <v>0</v>
      </c>
      <c r="BV331" s="588">
        <f t="shared" si="289"/>
        <v>4.1250000000000002E-2</v>
      </c>
      <c r="BW331" s="588">
        <v>1</v>
      </c>
      <c r="BX331" s="623">
        <f t="shared" si="270"/>
        <v>0.25</v>
      </c>
      <c r="BY331" s="640">
        <v>1</v>
      </c>
      <c r="BZ331" s="656">
        <v>1</v>
      </c>
      <c r="CA331" s="1019">
        <v>1</v>
      </c>
      <c r="CB331" s="557">
        <f t="shared" si="271"/>
        <v>0.25</v>
      </c>
      <c r="CC331" s="557">
        <f t="shared" si="272"/>
        <v>100</v>
      </c>
      <c r="CD331" s="622">
        <f t="shared" si="290"/>
        <v>100</v>
      </c>
      <c r="CE331" s="621">
        <f t="shared" si="291"/>
        <v>4.1250000000000002E-2</v>
      </c>
      <c r="CF331" s="605">
        <f t="shared" si="292"/>
        <v>100</v>
      </c>
      <c r="CG331" s="621">
        <f t="shared" si="293"/>
        <v>4.1250000000000002E-2</v>
      </c>
      <c r="CH331" s="553">
        <f t="shared" si="294"/>
        <v>4.1250000000000002E-2</v>
      </c>
      <c r="CI331" s="552">
        <v>1</v>
      </c>
      <c r="CJ331" s="551">
        <f t="shared" si="273"/>
        <v>0.25</v>
      </c>
      <c r="CK331" s="1049">
        <v>1</v>
      </c>
      <c r="CL331" s="533">
        <f t="shared" si="274"/>
        <v>0</v>
      </c>
      <c r="CM331" s="619">
        <f t="shared" si="275"/>
        <v>0.25</v>
      </c>
      <c r="CN331" s="619">
        <f t="shared" si="276"/>
        <v>100</v>
      </c>
      <c r="CO331" s="619">
        <f t="shared" si="295"/>
        <v>100</v>
      </c>
      <c r="CP331" s="619">
        <f t="shared" si="296"/>
        <v>4.1250000000000002E-2</v>
      </c>
      <c r="CQ331" s="619">
        <f t="shared" si="297"/>
        <v>4.1250000000000002E-2</v>
      </c>
      <c r="CR331" s="546">
        <v>0</v>
      </c>
      <c r="CS331" s="546">
        <v>0</v>
      </c>
      <c r="CT331" s="546">
        <v>0</v>
      </c>
      <c r="CU331" s="546">
        <v>0</v>
      </c>
      <c r="CV331" s="546">
        <v>0</v>
      </c>
      <c r="CW331" s="546">
        <v>0</v>
      </c>
      <c r="CX331" s="546">
        <v>0</v>
      </c>
      <c r="CY331" s="546">
        <v>0</v>
      </c>
      <c r="CZ331" s="618">
        <v>0</v>
      </c>
      <c r="DA331" s="618">
        <v>0</v>
      </c>
      <c r="DB331" s="618">
        <v>0</v>
      </c>
      <c r="DC331" s="618">
        <v>0</v>
      </c>
      <c r="DD331" s="618">
        <v>0</v>
      </c>
      <c r="DE331" s="618">
        <v>0</v>
      </c>
      <c r="DF331" s="618">
        <v>0</v>
      </c>
      <c r="DG331" s="618">
        <v>0</v>
      </c>
      <c r="DH331" s="618">
        <v>0</v>
      </c>
      <c r="DI331" s="618">
        <v>0</v>
      </c>
      <c r="DJ331" s="618">
        <v>0</v>
      </c>
      <c r="DK331" s="1034">
        <f t="shared" si="277"/>
        <v>1</v>
      </c>
      <c r="DL331" s="543">
        <f t="shared" si="298"/>
        <v>0.16500000000000001</v>
      </c>
      <c r="DM331" s="542">
        <f t="shared" si="299"/>
        <v>100</v>
      </c>
      <c r="DN331" s="594">
        <f t="shared" si="300"/>
        <v>100</v>
      </c>
      <c r="DO331" s="540">
        <f t="shared" si="301"/>
        <v>0.16500000000000001</v>
      </c>
      <c r="DP331" s="597">
        <f>+IF(M331="M",DO331,0)</f>
        <v>0.16500000000000001</v>
      </c>
      <c r="DQ331" s="538">
        <f t="shared" si="302"/>
        <v>0.16500000000000001</v>
      </c>
      <c r="DR331" s="617">
        <f t="shared" si="303"/>
        <v>1</v>
      </c>
      <c r="DS331" s="616">
        <f t="shared" si="304"/>
        <v>0</v>
      </c>
      <c r="DT331" s="259">
        <v>375</v>
      </c>
      <c r="DU331" s="260" t="s">
        <v>267</v>
      </c>
      <c r="DV331" s="259"/>
      <c r="DW331" s="260" t="s">
        <v>242</v>
      </c>
      <c r="DX331" s="259"/>
      <c r="DY331" s="259"/>
      <c r="DZ331" s="259"/>
      <c r="EA331" s="987"/>
      <c r="EB331" s="1041" t="s">
        <v>2901</v>
      </c>
      <c r="EC331" s="802">
        <v>0</v>
      </c>
      <c r="EE331" s="1047">
        <v>100</v>
      </c>
    </row>
    <row r="332" spans="4:135" s="534" customFormat="1" ht="72" x14ac:dyDescent="0.3">
      <c r="D332" s="783">
        <v>329</v>
      </c>
      <c r="E332" s="799">
        <v>386</v>
      </c>
      <c r="F332" s="739" t="s">
        <v>201</v>
      </c>
      <c r="G332" s="739" t="s">
        <v>16</v>
      </c>
      <c r="H332" s="739" t="s">
        <v>145</v>
      </c>
      <c r="I332" s="676" t="s">
        <v>1413</v>
      </c>
      <c r="J332" s="573" t="s">
        <v>983</v>
      </c>
      <c r="K332" s="573" t="s">
        <v>984</v>
      </c>
      <c r="L332" s="687" t="s">
        <v>2014</v>
      </c>
      <c r="M332" s="571" t="s">
        <v>2032</v>
      </c>
      <c r="N332" s="571">
        <v>0</v>
      </c>
      <c r="O332" s="570">
        <f>+P332</f>
        <v>116</v>
      </c>
      <c r="P332" s="569">
        <v>116</v>
      </c>
      <c r="Q332" s="628">
        <v>0.16500000000000001</v>
      </c>
      <c r="R332" s="580">
        <f t="shared" si="282"/>
        <v>4.1250000000000002E-2</v>
      </c>
      <c r="S332" s="627">
        <v>116</v>
      </c>
      <c r="T332" s="625">
        <f t="shared" si="264"/>
        <v>0.25</v>
      </c>
      <c r="U332" s="992">
        <v>116</v>
      </c>
      <c r="V332" s="626">
        <f t="shared" si="265"/>
        <v>29</v>
      </c>
      <c r="W332" s="594">
        <f t="shared" si="266"/>
        <v>100</v>
      </c>
      <c r="X332" s="594">
        <f t="shared" si="283"/>
        <v>100</v>
      </c>
      <c r="Y332" s="594">
        <f t="shared" si="259"/>
        <v>4.1250000000000002E-2</v>
      </c>
      <c r="Z332" s="594">
        <f t="shared" si="284"/>
        <v>100</v>
      </c>
      <c r="AA332" s="593">
        <v>0</v>
      </c>
      <c r="AB332" s="593">
        <v>0</v>
      </c>
      <c r="AC332" s="593">
        <v>0</v>
      </c>
      <c r="AD332" s="593">
        <v>0</v>
      </c>
      <c r="AE332" s="593">
        <v>0</v>
      </c>
      <c r="AF332" s="593">
        <v>0</v>
      </c>
      <c r="AG332" s="593">
        <v>0</v>
      </c>
      <c r="AH332" s="593">
        <v>0</v>
      </c>
      <c r="AI332" s="593">
        <v>0</v>
      </c>
      <c r="AJ332" s="593">
        <v>0</v>
      </c>
      <c r="AK332" s="593">
        <v>0</v>
      </c>
      <c r="AL332" s="593">
        <v>0</v>
      </c>
      <c r="AM332" s="593">
        <v>0</v>
      </c>
      <c r="AN332" s="593">
        <v>0</v>
      </c>
      <c r="AO332" s="593">
        <v>0</v>
      </c>
      <c r="AP332" s="593">
        <v>0</v>
      </c>
      <c r="AQ332" s="593">
        <v>0</v>
      </c>
      <c r="AR332" s="593">
        <v>0</v>
      </c>
      <c r="AS332" s="593">
        <v>0</v>
      </c>
      <c r="AT332" s="570">
        <f t="shared" si="285"/>
        <v>4.1250000000000002E-2</v>
      </c>
      <c r="AU332" s="571">
        <v>116</v>
      </c>
      <c r="AV332" s="625">
        <f t="shared" si="267"/>
        <v>0.25</v>
      </c>
      <c r="AW332" s="1003">
        <v>116</v>
      </c>
      <c r="AX332" s="604">
        <f t="shared" si="268"/>
        <v>29</v>
      </c>
      <c r="AY332" s="604">
        <f t="shared" si="269"/>
        <v>100</v>
      </c>
      <c r="AZ332" s="604">
        <f t="shared" si="286"/>
        <v>100</v>
      </c>
      <c r="BA332" s="592">
        <f t="shared" si="287"/>
        <v>4.1250000000000002E-2</v>
      </c>
      <c r="BB332" s="592">
        <f t="shared" si="288"/>
        <v>100</v>
      </c>
      <c r="BC332" s="591">
        <v>0</v>
      </c>
      <c r="BD332" s="591">
        <v>0</v>
      </c>
      <c r="BE332" s="591">
        <v>0</v>
      </c>
      <c r="BF332" s="591">
        <v>0</v>
      </c>
      <c r="BG332" s="591">
        <v>0</v>
      </c>
      <c r="BH332" s="591">
        <v>0</v>
      </c>
      <c r="BI332" s="591">
        <v>0</v>
      </c>
      <c r="BJ332" s="591">
        <v>0</v>
      </c>
      <c r="BK332" s="624">
        <v>0</v>
      </c>
      <c r="BL332" s="589">
        <v>0</v>
      </c>
      <c r="BM332" s="589">
        <v>0</v>
      </c>
      <c r="BN332" s="589">
        <v>0</v>
      </c>
      <c r="BO332" s="589">
        <v>0</v>
      </c>
      <c r="BP332" s="589">
        <v>0</v>
      </c>
      <c r="BQ332" s="589">
        <v>0</v>
      </c>
      <c r="BR332" s="589">
        <v>0</v>
      </c>
      <c r="BS332" s="589">
        <v>0</v>
      </c>
      <c r="BT332" s="589">
        <v>0</v>
      </c>
      <c r="BU332" s="589">
        <v>0</v>
      </c>
      <c r="BV332" s="588">
        <f t="shared" si="289"/>
        <v>4.1250000000000002E-2</v>
      </c>
      <c r="BW332" s="588">
        <v>116</v>
      </c>
      <c r="BX332" s="623">
        <f t="shared" si="270"/>
        <v>0.25</v>
      </c>
      <c r="BY332" s="639">
        <v>0</v>
      </c>
      <c r="BZ332" s="638">
        <v>0</v>
      </c>
      <c r="CA332" s="1018">
        <v>116</v>
      </c>
      <c r="CB332" s="557">
        <f t="shared" si="271"/>
        <v>29</v>
      </c>
      <c r="CC332" s="557">
        <f t="shared" si="272"/>
        <v>100</v>
      </c>
      <c r="CD332" s="622">
        <f t="shared" si="290"/>
        <v>100</v>
      </c>
      <c r="CE332" s="621">
        <f t="shared" si="291"/>
        <v>4.1250000000000002E-2</v>
      </c>
      <c r="CF332" s="605">
        <f t="shared" si="292"/>
        <v>100</v>
      </c>
      <c r="CG332" s="621">
        <f t="shared" si="293"/>
        <v>4.1250000000000002E-2</v>
      </c>
      <c r="CH332" s="553">
        <f t="shared" si="294"/>
        <v>4.1250000000000002E-2</v>
      </c>
      <c r="CI332" s="552">
        <v>116</v>
      </c>
      <c r="CJ332" s="551">
        <f t="shared" si="273"/>
        <v>0.25</v>
      </c>
      <c r="CK332" s="1049">
        <v>0</v>
      </c>
      <c r="CL332" s="533">
        <f t="shared" si="274"/>
        <v>116</v>
      </c>
      <c r="CM332" s="619">
        <f t="shared" si="275"/>
        <v>0</v>
      </c>
      <c r="CN332" s="619">
        <f t="shared" si="276"/>
        <v>0</v>
      </c>
      <c r="CO332" s="619">
        <f t="shared" si="295"/>
        <v>0</v>
      </c>
      <c r="CP332" s="619">
        <f t="shared" si="296"/>
        <v>0</v>
      </c>
      <c r="CQ332" s="619">
        <f t="shared" si="297"/>
        <v>0</v>
      </c>
      <c r="CR332" s="546">
        <v>0</v>
      </c>
      <c r="CS332" s="546">
        <v>0</v>
      </c>
      <c r="CT332" s="546">
        <v>0</v>
      </c>
      <c r="CU332" s="546">
        <v>0</v>
      </c>
      <c r="CV332" s="546">
        <v>0</v>
      </c>
      <c r="CW332" s="546">
        <v>0</v>
      </c>
      <c r="CX332" s="546">
        <v>0</v>
      </c>
      <c r="CY332" s="546">
        <v>0</v>
      </c>
      <c r="CZ332" s="618">
        <v>0</v>
      </c>
      <c r="DA332" s="618">
        <v>0</v>
      </c>
      <c r="DB332" s="618">
        <v>0</v>
      </c>
      <c r="DC332" s="618">
        <v>0</v>
      </c>
      <c r="DD332" s="618">
        <v>0</v>
      </c>
      <c r="DE332" s="618">
        <v>0</v>
      </c>
      <c r="DF332" s="618">
        <v>0</v>
      </c>
      <c r="DG332" s="618">
        <v>0</v>
      </c>
      <c r="DH332" s="618">
        <v>0</v>
      </c>
      <c r="DI332" s="618">
        <v>0</v>
      </c>
      <c r="DJ332" s="618">
        <v>0</v>
      </c>
      <c r="DK332" s="1051">
        <f t="shared" si="277"/>
        <v>87</v>
      </c>
      <c r="DL332" s="543">
        <f t="shared" si="298"/>
        <v>0.16500000000000001</v>
      </c>
      <c r="DM332" s="542">
        <f t="shared" si="299"/>
        <v>75</v>
      </c>
      <c r="DN332" s="594">
        <f t="shared" si="300"/>
        <v>75</v>
      </c>
      <c r="DO332" s="540">
        <f t="shared" si="301"/>
        <v>0.12375</v>
      </c>
      <c r="DP332" s="597">
        <f>+IF(M332="M",DO332,0)</f>
        <v>0.12375</v>
      </c>
      <c r="DQ332" s="538">
        <f t="shared" si="302"/>
        <v>0.12375</v>
      </c>
      <c r="DR332" s="617">
        <f t="shared" si="303"/>
        <v>1</v>
      </c>
      <c r="DS332" s="616">
        <f t="shared" si="304"/>
        <v>0</v>
      </c>
      <c r="DT332" s="259">
        <v>359</v>
      </c>
      <c r="DU332" s="260" t="s">
        <v>269</v>
      </c>
      <c r="DV332" s="259"/>
      <c r="DW332" s="260" t="s">
        <v>242</v>
      </c>
      <c r="DX332" s="259"/>
      <c r="DY332" s="259"/>
      <c r="DZ332" s="259"/>
      <c r="EA332" s="987"/>
      <c r="EB332" s="1041" t="s">
        <v>2902</v>
      </c>
      <c r="EC332" s="802">
        <v>0</v>
      </c>
      <c r="EE332" s="1047">
        <v>75</v>
      </c>
    </row>
    <row r="333" spans="4:135" s="534" customFormat="1" ht="72" x14ac:dyDescent="0.3">
      <c r="D333" s="783">
        <v>330</v>
      </c>
      <c r="E333" s="799">
        <v>387</v>
      </c>
      <c r="F333" s="739" t="s">
        <v>201</v>
      </c>
      <c r="G333" s="739" t="s">
        <v>16</v>
      </c>
      <c r="H333" s="739" t="s">
        <v>145</v>
      </c>
      <c r="I333" s="676" t="s">
        <v>1413</v>
      </c>
      <c r="J333" s="573" t="s">
        <v>985</v>
      </c>
      <c r="K333" s="573" t="s">
        <v>986</v>
      </c>
      <c r="L333" s="687" t="s">
        <v>2057</v>
      </c>
      <c r="M333" s="571" t="s">
        <v>2032</v>
      </c>
      <c r="N333" s="571">
        <v>116</v>
      </c>
      <c r="O333" s="570">
        <f>+P333</f>
        <v>116</v>
      </c>
      <c r="P333" s="569">
        <v>116</v>
      </c>
      <c r="Q333" s="628">
        <v>0.16500000000000001</v>
      </c>
      <c r="R333" s="580">
        <f t="shared" si="282"/>
        <v>4.1250000000000002E-2</v>
      </c>
      <c r="S333" s="627">
        <v>116</v>
      </c>
      <c r="T333" s="625">
        <f t="shared" si="264"/>
        <v>0.25</v>
      </c>
      <c r="U333" s="992">
        <v>116</v>
      </c>
      <c r="V333" s="626">
        <f t="shared" si="265"/>
        <v>29</v>
      </c>
      <c r="W333" s="594">
        <f t="shared" si="266"/>
        <v>100</v>
      </c>
      <c r="X333" s="594">
        <f t="shared" si="283"/>
        <v>100</v>
      </c>
      <c r="Y333" s="594">
        <f t="shared" si="259"/>
        <v>4.1250000000000002E-2</v>
      </c>
      <c r="Z333" s="594">
        <f t="shared" si="284"/>
        <v>100</v>
      </c>
      <c r="AA333" s="593">
        <v>0</v>
      </c>
      <c r="AB333" s="593">
        <v>0</v>
      </c>
      <c r="AC333" s="593">
        <v>0</v>
      </c>
      <c r="AD333" s="593">
        <v>0</v>
      </c>
      <c r="AE333" s="593">
        <v>0</v>
      </c>
      <c r="AF333" s="593">
        <v>0</v>
      </c>
      <c r="AG333" s="593">
        <v>0</v>
      </c>
      <c r="AH333" s="593">
        <v>0</v>
      </c>
      <c r="AI333" s="593">
        <v>0</v>
      </c>
      <c r="AJ333" s="593">
        <v>0</v>
      </c>
      <c r="AK333" s="593">
        <v>0</v>
      </c>
      <c r="AL333" s="593">
        <v>0</v>
      </c>
      <c r="AM333" s="593">
        <v>0</v>
      </c>
      <c r="AN333" s="593">
        <v>0</v>
      </c>
      <c r="AO333" s="593">
        <v>0</v>
      </c>
      <c r="AP333" s="593">
        <v>0</v>
      </c>
      <c r="AQ333" s="593">
        <v>0</v>
      </c>
      <c r="AR333" s="593">
        <v>0</v>
      </c>
      <c r="AS333" s="593">
        <v>0</v>
      </c>
      <c r="AT333" s="570">
        <f t="shared" si="285"/>
        <v>4.1250000000000002E-2</v>
      </c>
      <c r="AU333" s="571">
        <v>116</v>
      </c>
      <c r="AV333" s="625">
        <f t="shared" si="267"/>
        <v>0.25</v>
      </c>
      <c r="AW333" s="1003">
        <v>116</v>
      </c>
      <c r="AX333" s="604">
        <f t="shared" si="268"/>
        <v>29</v>
      </c>
      <c r="AY333" s="604">
        <f t="shared" si="269"/>
        <v>100</v>
      </c>
      <c r="AZ333" s="604">
        <f t="shared" si="286"/>
        <v>100</v>
      </c>
      <c r="BA333" s="592">
        <f t="shared" si="287"/>
        <v>4.1250000000000002E-2</v>
      </c>
      <c r="BB333" s="592">
        <f t="shared" si="288"/>
        <v>100</v>
      </c>
      <c r="BC333" s="591">
        <v>0</v>
      </c>
      <c r="BD333" s="591">
        <v>0</v>
      </c>
      <c r="BE333" s="591">
        <v>0</v>
      </c>
      <c r="BF333" s="591">
        <v>0</v>
      </c>
      <c r="BG333" s="591">
        <v>0</v>
      </c>
      <c r="BH333" s="591">
        <v>0</v>
      </c>
      <c r="BI333" s="591">
        <v>0</v>
      </c>
      <c r="BJ333" s="591">
        <v>0</v>
      </c>
      <c r="BK333" s="624">
        <v>0</v>
      </c>
      <c r="BL333" s="589">
        <v>0</v>
      </c>
      <c r="BM333" s="589">
        <v>0</v>
      </c>
      <c r="BN333" s="589">
        <v>0</v>
      </c>
      <c r="BO333" s="589">
        <v>0</v>
      </c>
      <c r="BP333" s="589">
        <v>0</v>
      </c>
      <c r="BQ333" s="589">
        <v>0</v>
      </c>
      <c r="BR333" s="589">
        <v>0</v>
      </c>
      <c r="BS333" s="589">
        <v>0</v>
      </c>
      <c r="BT333" s="589">
        <v>0</v>
      </c>
      <c r="BU333" s="589">
        <v>0</v>
      </c>
      <c r="BV333" s="588">
        <f t="shared" si="289"/>
        <v>4.1250000000000002E-2</v>
      </c>
      <c r="BW333" s="588">
        <v>116</v>
      </c>
      <c r="BX333" s="623">
        <f t="shared" si="270"/>
        <v>0.25</v>
      </c>
      <c r="BY333" s="639">
        <v>0</v>
      </c>
      <c r="BZ333" s="638">
        <v>0</v>
      </c>
      <c r="CA333" s="1018">
        <v>116</v>
      </c>
      <c r="CB333" s="557">
        <f t="shared" si="271"/>
        <v>29</v>
      </c>
      <c r="CC333" s="557">
        <f t="shared" si="272"/>
        <v>100</v>
      </c>
      <c r="CD333" s="622">
        <f t="shared" si="290"/>
        <v>100</v>
      </c>
      <c r="CE333" s="621">
        <f t="shared" si="291"/>
        <v>4.1250000000000002E-2</v>
      </c>
      <c r="CF333" s="605">
        <f t="shared" si="292"/>
        <v>100</v>
      </c>
      <c r="CG333" s="621">
        <f t="shared" si="293"/>
        <v>4.1250000000000002E-2</v>
      </c>
      <c r="CH333" s="553">
        <f t="shared" si="294"/>
        <v>4.1250000000000002E-2</v>
      </c>
      <c r="CI333" s="552">
        <v>116</v>
      </c>
      <c r="CJ333" s="551">
        <f t="shared" si="273"/>
        <v>0.25</v>
      </c>
      <c r="CK333" s="1049">
        <v>116</v>
      </c>
      <c r="CL333" s="533">
        <f t="shared" si="274"/>
        <v>0</v>
      </c>
      <c r="CM333" s="619">
        <f t="shared" si="275"/>
        <v>29</v>
      </c>
      <c r="CN333" s="619">
        <f t="shared" si="276"/>
        <v>100</v>
      </c>
      <c r="CO333" s="619">
        <f t="shared" si="295"/>
        <v>100</v>
      </c>
      <c r="CP333" s="619">
        <f t="shared" si="296"/>
        <v>4.1250000000000002E-2</v>
      </c>
      <c r="CQ333" s="619">
        <f t="shared" si="297"/>
        <v>4.1250000000000002E-2</v>
      </c>
      <c r="CR333" s="546">
        <v>0</v>
      </c>
      <c r="CS333" s="546">
        <v>0</v>
      </c>
      <c r="CT333" s="546">
        <v>0</v>
      </c>
      <c r="CU333" s="546">
        <v>0</v>
      </c>
      <c r="CV333" s="546">
        <v>0</v>
      </c>
      <c r="CW333" s="546">
        <v>0</v>
      </c>
      <c r="CX333" s="546">
        <v>0</v>
      </c>
      <c r="CY333" s="546">
        <v>0</v>
      </c>
      <c r="CZ333" s="618">
        <v>0</v>
      </c>
      <c r="DA333" s="618">
        <v>0</v>
      </c>
      <c r="DB333" s="618">
        <v>0</v>
      </c>
      <c r="DC333" s="618">
        <v>0</v>
      </c>
      <c r="DD333" s="618">
        <v>0</v>
      </c>
      <c r="DE333" s="618">
        <v>0</v>
      </c>
      <c r="DF333" s="618">
        <v>0</v>
      </c>
      <c r="DG333" s="618">
        <v>0</v>
      </c>
      <c r="DH333" s="618">
        <v>0</v>
      </c>
      <c r="DI333" s="618">
        <v>0</v>
      </c>
      <c r="DJ333" s="618">
        <v>0</v>
      </c>
      <c r="DK333" s="1051">
        <f t="shared" si="277"/>
        <v>116</v>
      </c>
      <c r="DL333" s="543">
        <f t="shared" si="298"/>
        <v>0.16500000000000001</v>
      </c>
      <c r="DM333" s="542">
        <f t="shared" si="299"/>
        <v>100</v>
      </c>
      <c r="DN333" s="594">
        <f t="shared" si="300"/>
        <v>100</v>
      </c>
      <c r="DO333" s="540">
        <f t="shared" si="301"/>
        <v>0.16500000000000001</v>
      </c>
      <c r="DP333" s="597">
        <f>+IF(M333="M",DO333,0)</f>
        <v>0.16500000000000001</v>
      </c>
      <c r="DQ333" s="538">
        <f t="shared" si="302"/>
        <v>0.16500000000000001</v>
      </c>
      <c r="DR333" s="617">
        <f t="shared" si="303"/>
        <v>1</v>
      </c>
      <c r="DS333" s="616">
        <f t="shared" si="304"/>
        <v>0</v>
      </c>
      <c r="DT333" s="259">
        <v>359</v>
      </c>
      <c r="DU333" s="260" t="s">
        <v>269</v>
      </c>
      <c r="DV333" s="259"/>
      <c r="DW333" s="260" t="s">
        <v>242</v>
      </c>
      <c r="DX333" s="259"/>
      <c r="DY333" s="259"/>
      <c r="DZ333" s="259"/>
      <c r="EA333" s="987"/>
      <c r="EB333" s="1041" t="s">
        <v>2903</v>
      </c>
      <c r="EC333" s="802">
        <v>0</v>
      </c>
      <c r="EE333" s="1047">
        <v>100</v>
      </c>
    </row>
    <row r="334" spans="4:135" s="534" customFormat="1" ht="76.5" hidden="1" x14ac:dyDescent="0.3">
      <c r="D334" s="783">
        <v>331</v>
      </c>
      <c r="E334" s="799">
        <v>389</v>
      </c>
      <c r="F334" s="739" t="s">
        <v>201</v>
      </c>
      <c r="G334" s="739" t="s">
        <v>13</v>
      </c>
      <c r="H334" s="739" t="s">
        <v>165</v>
      </c>
      <c r="I334" s="676" t="s">
        <v>987</v>
      </c>
      <c r="J334" s="573" t="s">
        <v>988</v>
      </c>
      <c r="K334" s="573" t="s">
        <v>989</v>
      </c>
      <c r="L334" s="687" t="s">
        <v>2154</v>
      </c>
      <c r="M334" s="571" t="s">
        <v>2017</v>
      </c>
      <c r="N334" s="571">
        <v>0</v>
      </c>
      <c r="O334" s="570">
        <f t="shared" ref="O334:O345" si="305">+N334+P334</f>
        <v>1</v>
      </c>
      <c r="P334" s="569">
        <v>1</v>
      </c>
      <c r="Q334" s="628">
        <v>0.16500000000000001</v>
      </c>
      <c r="R334" s="580">
        <f t="shared" si="282"/>
        <v>0</v>
      </c>
      <c r="S334" s="627">
        <v>0</v>
      </c>
      <c r="T334" s="625">
        <f t="shared" si="264"/>
        <v>0</v>
      </c>
      <c r="U334" s="992">
        <v>0.1</v>
      </c>
      <c r="V334" s="626">
        <f t="shared" si="265"/>
        <v>0.1</v>
      </c>
      <c r="W334" s="594">
        <f t="shared" si="266"/>
        <v>0</v>
      </c>
      <c r="X334" s="594">
        <f t="shared" si="283"/>
        <v>0</v>
      </c>
      <c r="Y334" s="594">
        <f t="shared" si="259"/>
        <v>0</v>
      </c>
      <c r="Z334" s="594">
        <f t="shared" si="284"/>
        <v>100</v>
      </c>
      <c r="AA334" s="593">
        <v>0</v>
      </c>
      <c r="AB334" s="593">
        <v>0</v>
      </c>
      <c r="AC334" s="593">
        <v>0</v>
      </c>
      <c r="AD334" s="593">
        <v>0</v>
      </c>
      <c r="AE334" s="593">
        <v>0</v>
      </c>
      <c r="AF334" s="593">
        <v>0</v>
      </c>
      <c r="AG334" s="593">
        <v>0</v>
      </c>
      <c r="AH334" s="593">
        <v>0</v>
      </c>
      <c r="AI334" s="593">
        <v>0</v>
      </c>
      <c r="AJ334" s="593">
        <v>0</v>
      </c>
      <c r="AK334" s="593">
        <v>0</v>
      </c>
      <c r="AL334" s="593">
        <v>0</v>
      </c>
      <c r="AM334" s="593">
        <v>0</v>
      </c>
      <c r="AN334" s="593">
        <v>0</v>
      </c>
      <c r="AO334" s="593">
        <v>0</v>
      </c>
      <c r="AP334" s="593">
        <v>0</v>
      </c>
      <c r="AQ334" s="593">
        <v>0</v>
      </c>
      <c r="AR334" s="593">
        <v>0</v>
      </c>
      <c r="AS334" s="593">
        <v>0</v>
      </c>
      <c r="AT334" s="570">
        <f t="shared" si="285"/>
        <v>0.16500000000000001</v>
      </c>
      <c r="AU334" s="571">
        <v>1</v>
      </c>
      <c r="AV334" s="625">
        <f t="shared" si="267"/>
        <v>1</v>
      </c>
      <c r="AW334" s="1003">
        <v>0.9</v>
      </c>
      <c r="AX334" s="604">
        <f t="shared" si="268"/>
        <v>0.9</v>
      </c>
      <c r="AY334" s="604">
        <f t="shared" si="269"/>
        <v>90</v>
      </c>
      <c r="AZ334" s="604">
        <f t="shared" si="286"/>
        <v>90</v>
      </c>
      <c r="BA334" s="592">
        <f t="shared" si="287"/>
        <v>0.14850000000000002</v>
      </c>
      <c r="BB334" s="592">
        <f t="shared" si="288"/>
        <v>90</v>
      </c>
      <c r="BC334" s="591">
        <v>200000000</v>
      </c>
      <c r="BD334" s="591">
        <v>0</v>
      </c>
      <c r="BE334" s="591">
        <v>200000000</v>
      </c>
      <c r="BF334" s="591">
        <v>0</v>
      </c>
      <c r="BG334" s="591">
        <v>0</v>
      </c>
      <c r="BH334" s="591">
        <v>0</v>
      </c>
      <c r="BI334" s="591">
        <v>0</v>
      </c>
      <c r="BJ334" s="591">
        <v>0</v>
      </c>
      <c r="BK334" s="624">
        <v>200000000</v>
      </c>
      <c r="BL334" s="589">
        <v>200000000</v>
      </c>
      <c r="BM334" s="589">
        <v>0</v>
      </c>
      <c r="BN334" s="589">
        <v>0</v>
      </c>
      <c r="BO334" s="589">
        <v>0</v>
      </c>
      <c r="BP334" s="589">
        <v>0</v>
      </c>
      <c r="BQ334" s="589">
        <v>0</v>
      </c>
      <c r="BR334" s="589">
        <v>0</v>
      </c>
      <c r="BS334" s="589">
        <v>0</v>
      </c>
      <c r="BT334" s="589">
        <v>0</v>
      </c>
      <c r="BU334" s="589">
        <v>0</v>
      </c>
      <c r="BV334" s="588">
        <f t="shared" si="289"/>
        <v>0</v>
      </c>
      <c r="BW334" s="588">
        <v>0</v>
      </c>
      <c r="BX334" s="623">
        <f t="shared" si="270"/>
        <v>0</v>
      </c>
      <c r="BY334" s="640">
        <v>0</v>
      </c>
      <c r="BZ334" s="656">
        <v>0</v>
      </c>
      <c r="CA334" s="1019">
        <v>0</v>
      </c>
      <c r="CB334" s="557">
        <f t="shared" si="271"/>
        <v>0</v>
      </c>
      <c r="CC334" s="557">
        <f t="shared" si="272"/>
        <v>0</v>
      </c>
      <c r="CD334" s="622">
        <f t="shared" si="290"/>
        <v>0</v>
      </c>
      <c r="CE334" s="621">
        <f t="shared" si="291"/>
        <v>0</v>
      </c>
      <c r="CF334" s="605">
        <f t="shared" si="292"/>
        <v>0</v>
      </c>
      <c r="CG334" s="621">
        <f t="shared" si="293"/>
        <v>0</v>
      </c>
      <c r="CH334" s="553">
        <f t="shared" si="294"/>
        <v>0</v>
      </c>
      <c r="CI334" s="552">
        <v>0</v>
      </c>
      <c r="CJ334" s="551">
        <f t="shared" si="273"/>
        <v>0</v>
      </c>
      <c r="CK334" s="871">
        <v>0</v>
      </c>
      <c r="CL334" s="533">
        <f t="shared" si="274"/>
        <v>0</v>
      </c>
      <c r="CM334" s="619">
        <f t="shared" si="275"/>
        <v>0</v>
      </c>
      <c r="CN334" s="619">
        <f t="shared" si="276"/>
        <v>0</v>
      </c>
      <c r="CO334" s="549">
        <f t="shared" si="295"/>
        <v>0</v>
      </c>
      <c r="CP334" s="619">
        <f t="shared" si="296"/>
        <v>0</v>
      </c>
      <c r="CQ334" s="619">
        <f t="shared" si="297"/>
        <v>0</v>
      </c>
      <c r="CR334" s="546">
        <v>0</v>
      </c>
      <c r="CS334" s="546">
        <v>0</v>
      </c>
      <c r="CT334" s="546">
        <v>0</v>
      </c>
      <c r="CU334" s="546">
        <v>0</v>
      </c>
      <c r="CV334" s="546">
        <v>0</v>
      </c>
      <c r="CW334" s="546">
        <v>0</v>
      </c>
      <c r="CX334" s="546">
        <v>0</v>
      </c>
      <c r="CY334" s="546">
        <v>0</v>
      </c>
      <c r="CZ334" s="618">
        <v>0</v>
      </c>
      <c r="DA334" s="618">
        <v>0</v>
      </c>
      <c r="DB334" s="618">
        <v>0</v>
      </c>
      <c r="DC334" s="618">
        <v>0</v>
      </c>
      <c r="DD334" s="618">
        <v>0</v>
      </c>
      <c r="DE334" s="618">
        <v>0</v>
      </c>
      <c r="DF334" s="618">
        <v>0</v>
      </c>
      <c r="DG334" s="618">
        <v>0</v>
      </c>
      <c r="DH334" s="618">
        <v>0</v>
      </c>
      <c r="DI334" s="618">
        <v>0</v>
      </c>
      <c r="DJ334" s="618">
        <v>0</v>
      </c>
      <c r="DK334" s="1034">
        <f t="shared" si="277"/>
        <v>1</v>
      </c>
      <c r="DL334" s="543">
        <f t="shared" si="298"/>
        <v>0.16500000000000001</v>
      </c>
      <c r="DM334" s="542">
        <f t="shared" si="299"/>
        <v>100</v>
      </c>
      <c r="DN334" s="594">
        <f t="shared" si="300"/>
        <v>100</v>
      </c>
      <c r="DO334" s="540">
        <f t="shared" si="301"/>
        <v>0.16500000000000001</v>
      </c>
      <c r="DP334" s="597">
        <f t="shared" ref="DP334:DP345" si="306">+IF(((DN334*Q334)/100)&lt;Q334, ((DN334*Q334)/100),Q334)</f>
        <v>0.16500000000000001</v>
      </c>
      <c r="DQ334" s="538">
        <f t="shared" si="302"/>
        <v>0.16500000000000001</v>
      </c>
      <c r="DR334" s="617">
        <f t="shared" si="303"/>
        <v>1</v>
      </c>
      <c r="DS334" s="616">
        <f t="shared" si="304"/>
        <v>0</v>
      </c>
      <c r="DT334" s="259">
        <v>388</v>
      </c>
      <c r="DU334" s="260" t="s">
        <v>266</v>
      </c>
      <c r="DV334" s="259"/>
      <c r="DW334" s="260" t="s">
        <v>242</v>
      </c>
      <c r="DX334" s="259"/>
      <c r="DY334" s="259"/>
      <c r="DZ334" s="259"/>
      <c r="EA334" s="987"/>
      <c r="EB334" s="1041" t="s">
        <v>2639</v>
      </c>
      <c r="EC334" s="802">
        <v>0</v>
      </c>
      <c r="EE334" s="1047"/>
    </row>
    <row r="335" spans="4:135" s="534" customFormat="1" ht="153" hidden="1" x14ac:dyDescent="0.3">
      <c r="D335" s="783">
        <v>332</v>
      </c>
      <c r="E335" s="799">
        <v>390</v>
      </c>
      <c r="F335" s="574" t="s">
        <v>201</v>
      </c>
      <c r="G335" s="574" t="s">
        <v>13</v>
      </c>
      <c r="H335" s="574" t="s">
        <v>165</v>
      </c>
      <c r="I335" s="574" t="s">
        <v>987</v>
      </c>
      <c r="J335" s="573" t="s">
        <v>1452</v>
      </c>
      <c r="K335" s="573" t="s">
        <v>990</v>
      </c>
      <c r="L335" s="687" t="s">
        <v>2153</v>
      </c>
      <c r="M335" s="571" t="s">
        <v>2017</v>
      </c>
      <c r="N335" s="571">
        <v>0</v>
      </c>
      <c r="O335" s="570">
        <f t="shared" si="305"/>
        <v>46</v>
      </c>
      <c r="P335" s="569">
        <v>46</v>
      </c>
      <c r="Q335" s="631">
        <v>0.16500000000000001</v>
      </c>
      <c r="R335" s="580">
        <f t="shared" si="282"/>
        <v>0</v>
      </c>
      <c r="S335" s="627">
        <v>0</v>
      </c>
      <c r="T335" s="625">
        <f t="shared" si="264"/>
        <v>0</v>
      </c>
      <c r="U335" s="992">
        <v>0</v>
      </c>
      <c r="V335" s="626">
        <f t="shared" si="265"/>
        <v>0</v>
      </c>
      <c r="W335" s="594">
        <f t="shared" si="266"/>
        <v>0</v>
      </c>
      <c r="X335" s="594">
        <f t="shared" si="283"/>
        <v>0</v>
      </c>
      <c r="Y335" s="594">
        <f t="shared" si="259"/>
        <v>0</v>
      </c>
      <c r="Z335" s="594">
        <f t="shared" si="284"/>
        <v>0</v>
      </c>
      <c r="AA335" s="593">
        <v>0</v>
      </c>
      <c r="AB335" s="593">
        <v>0</v>
      </c>
      <c r="AC335" s="593">
        <v>0</v>
      </c>
      <c r="AD335" s="593">
        <v>0</v>
      </c>
      <c r="AE335" s="593">
        <v>0</v>
      </c>
      <c r="AF335" s="593">
        <v>0</v>
      </c>
      <c r="AG335" s="593">
        <v>0</v>
      </c>
      <c r="AH335" s="593">
        <v>0</v>
      </c>
      <c r="AI335" s="593">
        <v>0</v>
      </c>
      <c r="AJ335" s="593">
        <v>0</v>
      </c>
      <c r="AK335" s="593">
        <v>0</v>
      </c>
      <c r="AL335" s="593">
        <v>0</v>
      </c>
      <c r="AM335" s="593">
        <v>0</v>
      </c>
      <c r="AN335" s="593">
        <v>0</v>
      </c>
      <c r="AO335" s="593">
        <v>0</v>
      </c>
      <c r="AP335" s="593">
        <v>0</v>
      </c>
      <c r="AQ335" s="593">
        <v>0</v>
      </c>
      <c r="AR335" s="593">
        <v>0</v>
      </c>
      <c r="AS335" s="593">
        <v>0</v>
      </c>
      <c r="AT335" s="630">
        <f t="shared" si="285"/>
        <v>7.1739130434782614E-3</v>
      </c>
      <c r="AU335" s="571">
        <v>2</v>
      </c>
      <c r="AV335" s="625">
        <f t="shared" si="267"/>
        <v>4.3478260869565216E-2</v>
      </c>
      <c r="AW335" s="1003">
        <v>2</v>
      </c>
      <c r="AX335" s="604">
        <f t="shared" si="268"/>
        <v>2</v>
      </c>
      <c r="AY335" s="604">
        <f t="shared" si="269"/>
        <v>100</v>
      </c>
      <c r="AZ335" s="604">
        <f t="shared" si="286"/>
        <v>100</v>
      </c>
      <c r="BA335" s="592">
        <f t="shared" si="287"/>
        <v>7.1739130434782614E-3</v>
      </c>
      <c r="BB335" s="592">
        <f t="shared" si="288"/>
        <v>100</v>
      </c>
      <c r="BC335" s="591">
        <v>32000000</v>
      </c>
      <c r="BD335" s="591">
        <v>0</v>
      </c>
      <c r="BE335" s="591">
        <v>32000000</v>
      </c>
      <c r="BF335" s="591">
        <v>0</v>
      </c>
      <c r="BG335" s="591">
        <v>0</v>
      </c>
      <c r="BH335" s="591">
        <v>0</v>
      </c>
      <c r="BI335" s="591">
        <v>0</v>
      </c>
      <c r="BJ335" s="591">
        <v>0</v>
      </c>
      <c r="BK335" s="624">
        <v>32000000</v>
      </c>
      <c r="BL335" s="589">
        <v>32000000</v>
      </c>
      <c r="BM335" s="589">
        <v>0</v>
      </c>
      <c r="BN335" s="589">
        <v>0</v>
      </c>
      <c r="BO335" s="589">
        <v>0</v>
      </c>
      <c r="BP335" s="589">
        <v>0</v>
      </c>
      <c r="BQ335" s="589">
        <v>0</v>
      </c>
      <c r="BR335" s="589">
        <v>0</v>
      </c>
      <c r="BS335" s="589">
        <v>0</v>
      </c>
      <c r="BT335" s="589">
        <v>48000000</v>
      </c>
      <c r="BU335" s="589" t="s">
        <v>2152</v>
      </c>
      <c r="BV335" s="588">
        <f t="shared" si="289"/>
        <v>2.1521739130434783E-2</v>
      </c>
      <c r="BW335" s="588">
        <v>6</v>
      </c>
      <c r="BX335" s="623">
        <f t="shared" si="270"/>
        <v>0.13043478260869565</v>
      </c>
      <c r="BY335" s="640">
        <v>6</v>
      </c>
      <c r="BZ335" s="691">
        <v>6</v>
      </c>
      <c r="CA335" s="1026">
        <v>6</v>
      </c>
      <c r="CB335" s="557">
        <f t="shared" si="271"/>
        <v>6</v>
      </c>
      <c r="CC335" s="557">
        <f t="shared" si="272"/>
        <v>100</v>
      </c>
      <c r="CD335" s="622">
        <f t="shared" si="290"/>
        <v>100</v>
      </c>
      <c r="CE335" s="621">
        <f t="shared" si="291"/>
        <v>2.1521739130434779E-2</v>
      </c>
      <c r="CF335" s="605">
        <f t="shared" si="292"/>
        <v>100</v>
      </c>
      <c r="CG335" s="621">
        <f t="shared" si="293"/>
        <v>2.1521739130434779E-2</v>
      </c>
      <c r="CH335" s="553">
        <f t="shared" si="294"/>
        <v>0.13630434782608697</v>
      </c>
      <c r="CI335" s="552">
        <v>38</v>
      </c>
      <c r="CJ335" s="551">
        <f t="shared" si="273"/>
        <v>0.82608695652173914</v>
      </c>
      <c r="CK335" s="874">
        <v>12</v>
      </c>
      <c r="CL335" s="533">
        <f t="shared" si="274"/>
        <v>26</v>
      </c>
      <c r="CM335" s="619">
        <f t="shared" si="275"/>
        <v>12</v>
      </c>
      <c r="CN335" s="619">
        <f t="shared" si="276"/>
        <v>31.578947368421051</v>
      </c>
      <c r="CO335" s="549">
        <f t="shared" si="295"/>
        <v>31.578947368421051</v>
      </c>
      <c r="CP335" s="619">
        <f t="shared" si="296"/>
        <v>4.3043478260869572E-2</v>
      </c>
      <c r="CQ335" s="619">
        <f t="shared" si="297"/>
        <v>4.3043478260869572E-2</v>
      </c>
      <c r="CR335" s="546">
        <v>64000000</v>
      </c>
      <c r="CS335" s="546">
        <v>64000000</v>
      </c>
      <c r="CT335" s="546">
        <v>0</v>
      </c>
      <c r="CU335" s="546">
        <v>0</v>
      </c>
      <c r="CV335" s="546">
        <v>0</v>
      </c>
      <c r="CW335" s="546">
        <v>0</v>
      </c>
      <c r="CX335" s="546">
        <v>0</v>
      </c>
      <c r="CY335" s="546">
        <v>0</v>
      </c>
      <c r="CZ335" s="618">
        <v>0</v>
      </c>
      <c r="DA335" s="618">
        <v>0</v>
      </c>
      <c r="DB335" s="618">
        <v>0</v>
      </c>
      <c r="DC335" s="618">
        <v>0</v>
      </c>
      <c r="DD335" s="618">
        <v>0</v>
      </c>
      <c r="DE335" s="618">
        <v>0</v>
      </c>
      <c r="DF335" s="618">
        <v>0</v>
      </c>
      <c r="DG335" s="618">
        <v>0</v>
      </c>
      <c r="DH335" s="618">
        <v>0</v>
      </c>
      <c r="DI335" s="618">
        <v>0</v>
      </c>
      <c r="DJ335" s="618">
        <v>0</v>
      </c>
      <c r="DK335" s="1034">
        <f t="shared" si="277"/>
        <v>20</v>
      </c>
      <c r="DL335" s="543">
        <f t="shared" si="298"/>
        <v>0.16500000000000001</v>
      </c>
      <c r="DM335" s="542">
        <f t="shared" si="299"/>
        <v>43.478260869565219</v>
      </c>
      <c r="DN335" s="594">
        <f t="shared" si="300"/>
        <v>43.478260869565219</v>
      </c>
      <c r="DO335" s="540">
        <f t="shared" si="301"/>
        <v>7.1739130434782611E-2</v>
      </c>
      <c r="DP335" s="597">
        <f t="shared" si="306"/>
        <v>7.1739130434782611E-2</v>
      </c>
      <c r="DQ335" s="538">
        <f t="shared" si="302"/>
        <v>7.1739130434782611E-2</v>
      </c>
      <c r="DR335" s="617">
        <f t="shared" si="303"/>
        <v>1</v>
      </c>
      <c r="DS335" s="616">
        <f t="shared" si="304"/>
        <v>0</v>
      </c>
      <c r="DT335" s="259">
        <v>388</v>
      </c>
      <c r="DU335" s="260" t="s">
        <v>266</v>
      </c>
      <c r="DV335" s="259"/>
      <c r="DW335" s="260" t="s">
        <v>242</v>
      </c>
      <c r="DX335" s="259"/>
      <c r="DY335" s="259"/>
      <c r="DZ335" s="259"/>
      <c r="EA335" s="987"/>
      <c r="EB335" s="1041" t="s">
        <v>2640</v>
      </c>
      <c r="EC335" s="802">
        <v>64000000</v>
      </c>
      <c r="EE335" s="1047"/>
    </row>
    <row r="336" spans="4:135" s="534" customFormat="1" ht="178.5" hidden="1" x14ac:dyDescent="0.3">
      <c r="D336" s="783">
        <v>333</v>
      </c>
      <c r="E336" s="799">
        <v>391</v>
      </c>
      <c r="F336" s="739" t="s">
        <v>201</v>
      </c>
      <c r="G336" s="739" t="s">
        <v>13</v>
      </c>
      <c r="H336" s="739" t="s">
        <v>165</v>
      </c>
      <c r="I336" s="676" t="s">
        <v>987</v>
      </c>
      <c r="J336" s="573" t="s">
        <v>991</v>
      </c>
      <c r="K336" s="573" t="s">
        <v>992</v>
      </c>
      <c r="L336" s="687" t="s">
        <v>2151</v>
      </c>
      <c r="M336" s="571" t="s">
        <v>2017</v>
      </c>
      <c r="N336" s="571">
        <v>0</v>
      </c>
      <c r="O336" s="570">
        <f t="shared" si="305"/>
        <v>1</v>
      </c>
      <c r="P336" s="569">
        <v>1</v>
      </c>
      <c r="Q336" s="628">
        <v>8.8999999999999996E-2</v>
      </c>
      <c r="R336" s="580">
        <f t="shared" si="282"/>
        <v>0</v>
      </c>
      <c r="S336" s="627">
        <v>0</v>
      </c>
      <c r="T336" s="625">
        <f t="shared" si="264"/>
        <v>0</v>
      </c>
      <c r="U336" s="992">
        <v>0</v>
      </c>
      <c r="V336" s="626">
        <f t="shared" si="265"/>
        <v>0</v>
      </c>
      <c r="W336" s="594">
        <f t="shared" si="266"/>
        <v>0</v>
      </c>
      <c r="X336" s="594">
        <f t="shared" si="283"/>
        <v>0</v>
      </c>
      <c r="Y336" s="594">
        <f t="shared" si="259"/>
        <v>0</v>
      </c>
      <c r="Z336" s="594">
        <f t="shared" si="284"/>
        <v>0</v>
      </c>
      <c r="AA336" s="593">
        <v>0</v>
      </c>
      <c r="AB336" s="593">
        <v>0</v>
      </c>
      <c r="AC336" s="593">
        <v>0</v>
      </c>
      <c r="AD336" s="593">
        <v>0</v>
      </c>
      <c r="AE336" s="593">
        <v>0</v>
      </c>
      <c r="AF336" s="593">
        <v>0</v>
      </c>
      <c r="AG336" s="593">
        <v>0</v>
      </c>
      <c r="AH336" s="593">
        <v>0</v>
      </c>
      <c r="AI336" s="593">
        <v>0</v>
      </c>
      <c r="AJ336" s="593">
        <v>0</v>
      </c>
      <c r="AK336" s="593">
        <v>0</v>
      </c>
      <c r="AL336" s="593">
        <v>0</v>
      </c>
      <c r="AM336" s="593">
        <v>0</v>
      </c>
      <c r="AN336" s="593">
        <v>0</v>
      </c>
      <c r="AO336" s="593">
        <v>0</v>
      </c>
      <c r="AP336" s="593">
        <v>0</v>
      </c>
      <c r="AQ336" s="593">
        <v>0</v>
      </c>
      <c r="AR336" s="593">
        <v>0</v>
      </c>
      <c r="AS336" s="593">
        <v>0</v>
      </c>
      <c r="AT336" s="570">
        <f t="shared" si="285"/>
        <v>2.2249999999999999E-2</v>
      </c>
      <c r="AU336" s="571">
        <v>0.25</v>
      </c>
      <c r="AV336" s="625">
        <f t="shared" si="267"/>
        <v>0.25</v>
      </c>
      <c r="AW336" s="1003">
        <v>0.25</v>
      </c>
      <c r="AX336" s="604">
        <f t="shared" si="268"/>
        <v>0.25</v>
      </c>
      <c r="AY336" s="604">
        <f t="shared" si="269"/>
        <v>100</v>
      </c>
      <c r="AZ336" s="604">
        <f t="shared" si="286"/>
        <v>100</v>
      </c>
      <c r="BA336" s="592">
        <f t="shared" si="287"/>
        <v>2.2250000000000002E-2</v>
      </c>
      <c r="BB336" s="592">
        <f t="shared" si="288"/>
        <v>100</v>
      </c>
      <c r="BC336" s="591">
        <v>30000000</v>
      </c>
      <c r="BD336" s="591">
        <v>0</v>
      </c>
      <c r="BE336" s="591">
        <v>30000000</v>
      </c>
      <c r="BF336" s="591">
        <v>0</v>
      </c>
      <c r="BG336" s="591">
        <v>0</v>
      </c>
      <c r="BH336" s="591">
        <v>0</v>
      </c>
      <c r="BI336" s="591">
        <v>0</v>
      </c>
      <c r="BJ336" s="591">
        <v>0</v>
      </c>
      <c r="BK336" s="624">
        <v>30000000</v>
      </c>
      <c r="BL336" s="589">
        <v>30000000</v>
      </c>
      <c r="BM336" s="589">
        <v>0</v>
      </c>
      <c r="BN336" s="589">
        <v>0</v>
      </c>
      <c r="BO336" s="589">
        <v>0</v>
      </c>
      <c r="BP336" s="589">
        <v>0</v>
      </c>
      <c r="BQ336" s="589">
        <v>0</v>
      </c>
      <c r="BR336" s="589">
        <v>0</v>
      </c>
      <c r="BS336" s="589">
        <v>0</v>
      </c>
      <c r="BT336" s="589">
        <v>80000000</v>
      </c>
      <c r="BU336" s="589" t="s">
        <v>2150</v>
      </c>
      <c r="BV336" s="588">
        <f t="shared" si="289"/>
        <v>3.56E-2</v>
      </c>
      <c r="BW336" s="588">
        <v>0.4</v>
      </c>
      <c r="BX336" s="623">
        <f t="shared" si="270"/>
        <v>0.4</v>
      </c>
      <c r="BY336" s="607">
        <v>0.30000001192092896</v>
      </c>
      <c r="BZ336" s="629">
        <v>0.40000000596046448</v>
      </c>
      <c r="CA336" s="1017">
        <v>0.4</v>
      </c>
      <c r="CB336" s="557">
        <f t="shared" si="271"/>
        <v>0.4</v>
      </c>
      <c r="CC336" s="557">
        <f t="shared" si="272"/>
        <v>100</v>
      </c>
      <c r="CD336" s="622">
        <f t="shared" si="290"/>
        <v>100</v>
      </c>
      <c r="CE336" s="621">
        <f t="shared" si="291"/>
        <v>3.56E-2</v>
      </c>
      <c r="CF336" s="605">
        <f t="shared" si="292"/>
        <v>100</v>
      </c>
      <c r="CG336" s="621">
        <f t="shared" si="293"/>
        <v>3.56E-2</v>
      </c>
      <c r="CH336" s="553">
        <f t="shared" si="294"/>
        <v>3.1149999999999997E-2</v>
      </c>
      <c r="CI336" s="552">
        <v>0.35</v>
      </c>
      <c r="CJ336" s="551">
        <f t="shared" si="273"/>
        <v>0.35</v>
      </c>
      <c r="CK336" s="874">
        <v>0.30000001192092896</v>
      </c>
      <c r="CL336" s="533">
        <f t="shared" si="274"/>
        <v>4.9999988079071023E-2</v>
      </c>
      <c r="CM336" s="619">
        <f t="shared" si="275"/>
        <v>0.30000001192092896</v>
      </c>
      <c r="CN336" s="619">
        <f t="shared" si="276"/>
        <v>85.71428912026542</v>
      </c>
      <c r="CO336" s="549">
        <f t="shared" si="295"/>
        <v>85.71428912026542</v>
      </c>
      <c r="CP336" s="619">
        <f t="shared" si="296"/>
        <v>2.6700001060962677E-2</v>
      </c>
      <c r="CQ336" s="619">
        <f t="shared" si="297"/>
        <v>2.6700001060962677E-2</v>
      </c>
      <c r="CR336" s="546">
        <v>60000000</v>
      </c>
      <c r="CS336" s="546">
        <v>60000000</v>
      </c>
      <c r="CT336" s="546">
        <v>0</v>
      </c>
      <c r="CU336" s="546">
        <v>0</v>
      </c>
      <c r="CV336" s="546">
        <v>0</v>
      </c>
      <c r="CW336" s="546">
        <v>0</v>
      </c>
      <c r="CX336" s="546">
        <v>0</v>
      </c>
      <c r="CY336" s="546">
        <v>0</v>
      </c>
      <c r="CZ336" s="618">
        <v>0</v>
      </c>
      <c r="DA336" s="618">
        <v>0</v>
      </c>
      <c r="DB336" s="618">
        <v>0</v>
      </c>
      <c r="DC336" s="618">
        <v>0</v>
      </c>
      <c r="DD336" s="618">
        <v>0</v>
      </c>
      <c r="DE336" s="618">
        <v>0</v>
      </c>
      <c r="DF336" s="618">
        <v>0</v>
      </c>
      <c r="DG336" s="618">
        <v>0</v>
      </c>
      <c r="DH336" s="618">
        <v>0</v>
      </c>
      <c r="DI336" s="618">
        <v>0</v>
      </c>
      <c r="DJ336" s="618">
        <v>0</v>
      </c>
      <c r="DK336" s="1034">
        <f t="shared" si="277"/>
        <v>0.95000001192092898</v>
      </c>
      <c r="DL336" s="543">
        <f t="shared" si="298"/>
        <v>8.8999999999999996E-2</v>
      </c>
      <c r="DM336" s="542">
        <f t="shared" si="299"/>
        <v>95.000001192092896</v>
      </c>
      <c r="DN336" s="594">
        <f t="shared" si="300"/>
        <v>95.000001192092896</v>
      </c>
      <c r="DO336" s="540">
        <f t="shared" si="301"/>
        <v>8.4550001060962679E-2</v>
      </c>
      <c r="DP336" s="597">
        <f t="shared" si="306"/>
        <v>8.4550001060962679E-2</v>
      </c>
      <c r="DQ336" s="538">
        <f t="shared" si="302"/>
        <v>8.4550001060962679E-2</v>
      </c>
      <c r="DR336" s="617">
        <f t="shared" si="303"/>
        <v>1</v>
      </c>
      <c r="DS336" s="616">
        <f t="shared" si="304"/>
        <v>0</v>
      </c>
      <c r="DT336" s="259">
        <v>388</v>
      </c>
      <c r="DU336" s="260" t="s">
        <v>266</v>
      </c>
      <c r="DV336" s="259"/>
      <c r="DW336" s="260" t="s">
        <v>242</v>
      </c>
      <c r="DX336" s="259"/>
      <c r="DY336" s="259"/>
      <c r="DZ336" s="259"/>
      <c r="EA336" s="987"/>
      <c r="EB336" s="1041" t="s">
        <v>2641</v>
      </c>
      <c r="EC336" s="802">
        <v>60000000</v>
      </c>
      <c r="EE336" s="1047"/>
    </row>
    <row r="337" spans="4:135" s="534" customFormat="1" ht="89.25" hidden="1" x14ac:dyDescent="0.3">
      <c r="D337" s="783">
        <v>334</v>
      </c>
      <c r="E337" s="799">
        <v>392</v>
      </c>
      <c r="F337" s="739" t="s">
        <v>201</v>
      </c>
      <c r="G337" s="739" t="s">
        <v>13</v>
      </c>
      <c r="H337" s="739" t="s">
        <v>165</v>
      </c>
      <c r="I337" s="676" t="s">
        <v>993</v>
      </c>
      <c r="J337" s="573" t="s">
        <v>994</v>
      </c>
      <c r="K337" s="573" t="s">
        <v>995</v>
      </c>
      <c r="L337" s="687" t="s">
        <v>2030</v>
      </c>
      <c r="M337" s="571" t="s">
        <v>2017</v>
      </c>
      <c r="N337" s="571">
        <v>2</v>
      </c>
      <c r="O337" s="570">
        <f t="shared" si="305"/>
        <v>4</v>
      </c>
      <c r="P337" s="569">
        <v>2</v>
      </c>
      <c r="Q337" s="628">
        <v>0.16500000000000001</v>
      </c>
      <c r="R337" s="580">
        <f t="shared" si="282"/>
        <v>0</v>
      </c>
      <c r="S337" s="627">
        <v>0</v>
      </c>
      <c r="T337" s="625">
        <f t="shared" si="264"/>
        <v>0</v>
      </c>
      <c r="U337" s="992">
        <v>0.1</v>
      </c>
      <c r="V337" s="626">
        <f t="shared" si="265"/>
        <v>0.1</v>
      </c>
      <c r="W337" s="594">
        <f t="shared" si="266"/>
        <v>0</v>
      </c>
      <c r="X337" s="594">
        <f t="shared" si="283"/>
        <v>0</v>
      </c>
      <c r="Y337" s="594">
        <f t="shared" si="259"/>
        <v>0</v>
      </c>
      <c r="Z337" s="594">
        <f t="shared" si="284"/>
        <v>100</v>
      </c>
      <c r="AA337" s="593">
        <v>0</v>
      </c>
      <c r="AB337" s="593">
        <v>0</v>
      </c>
      <c r="AC337" s="593">
        <v>0</v>
      </c>
      <c r="AD337" s="593">
        <v>0</v>
      </c>
      <c r="AE337" s="593">
        <v>0</v>
      </c>
      <c r="AF337" s="593">
        <v>0</v>
      </c>
      <c r="AG337" s="593">
        <v>0</v>
      </c>
      <c r="AH337" s="593">
        <v>0</v>
      </c>
      <c r="AI337" s="593">
        <v>7722802000</v>
      </c>
      <c r="AJ337" s="593">
        <v>5279827000</v>
      </c>
      <c r="AK337" s="593">
        <v>28459000</v>
      </c>
      <c r="AL337" s="593">
        <v>2414516000</v>
      </c>
      <c r="AM337" s="593">
        <v>0</v>
      </c>
      <c r="AN337" s="593">
        <v>0</v>
      </c>
      <c r="AO337" s="593">
        <v>0</v>
      </c>
      <c r="AP337" s="593">
        <v>0</v>
      </c>
      <c r="AQ337" s="593">
        <v>0</v>
      </c>
      <c r="AR337" s="593">
        <v>0</v>
      </c>
      <c r="AS337" s="593">
        <v>0</v>
      </c>
      <c r="AT337" s="570">
        <f t="shared" si="285"/>
        <v>4.1250000000000002E-2</v>
      </c>
      <c r="AU337" s="571">
        <v>0.5</v>
      </c>
      <c r="AV337" s="625">
        <f t="shared" si="267"/>
        <v>0.25</v>
      </c>
      <c r="AW337" s="1003">
        <v>0.4</v>
      </c>
      <c r="AX337" s="604">
        <f t="shared" si="268"/>
        <v>0.4</v>
      </c>
      <c r="AY337" s="604">
        <f t="shared" si="269"/>
        <v>80</v>
      </c>
      <c r="AZ337" s="604">
        <f t="shared" si="286"/>
        <v>80</v>
      </c>
      <c r="BA337" s="592">
        <f t="shared" si="287"/>
        <v>3.3000000000000002E-2</v>
      </c>
      <c r="BB337" s="592">
        <f t="shared" si="288"/>
        <v>80</v>
      </c>
      <c r="BC337" s="591">
        <v>0</v>
      </c>
      <c r="BD337" s="591">
        <v>0</v>
      </c>
      <c r="BE337" s="591">
        <v>0</v>
      </c>
      <c r="BF337" s="591">
        <v>0</v>
      </c>
      <c r="BG337" s="591">
        <v>0</v>
      </c>
      <c r="BH337" s="591">
        <v>0</v>
      </c>
      <c r="BI337" s="591">
        <v>0</v>
      </c>
      <c r="BJ337" s="591">
        <v>0</v>
      </c>
      <c r="BK337" s="624">
        <v>0</v>
      </c>
      <c r="BL337" s="589">
        <v>0</v>
      </c>
      <c r="BM337" s="589">
        <v>0</v>
      </c>
      <c r="BN337" s="589">
        <v>0</v>
      </c>
      <c r="BO337" s="589">
        <v>0</v>
      </c>
      <c r="BP337" s="589">
        <v>0</v>
      </c>
      <c r="BQ337" s="589">
        <v>0</v>
      </c>
      <c r="BR337" s="589">
        <v>0</v>
      </c>
      <c r="BS337" s="589">
        <v>0</v>
      </c>
      <c r="BT337" s="589">
        <v>0</v>
      </c>
      <c r="BU337" s="589">
        <v>0</v>
      </c>
      <c r="BV337" s="588">
        <f t="shared" si="289"/>
        <v>4.1250000000000002E-2</v>
      </c>
      <c r="BW337" s="588">
        <v>0.5</v>
      </c>
      <c r="BX337" s="623">
        <f t="shared" si="270"/>
        <v>0.25</v>
      </c>
      <c r="BY337" s="607">
        <v>0.1</v>
      </c>
      <c r="BZ337" s="629">
        <v>0</v>
      </c>
      <c r="CA337" s="1017">
        <v>0.3</v>
      </c>
      <c r="CB337" s="557">
        <f t="shared" si="271"/>
        <v>0.3</v>
      </c>
      <c r="CC337" s="557">
        <f t="shared" si="272"/>
        <v>60</v>
      </c>
      <c r="CD337" s="622">
        <f t="shared" si="290"/>
        <v>60</v>
      </c>
      <c r="CE337" s="621">
        <f t="shared" si="291"/>
        <v>2.4750000000000001E-2</v>
      </c>
      <c r="CF337" s="605">
        <f t="shared" si="292"/>
        <v>60</v>
      </c>
      <c r="CG337" s="621">
        <f t="shared" si="293"/>
        <v>2.4750000000000001E-2</v>
      </c>
      <c r="CH337" s="553">
        <f t="shared" si="294"/>
        <v>8.2500000000000004E-2</v>
      </c>
      <c r="CI337" s="552">
        <v>1</v>
      </c>
      <c r="CJ337" s="551">
        <f t="shared" si="273"/>
        <v>0.5</v>
      </c>
      <c r="CK337" s="874">
        <v>0.5</v>
      </c>
      <c r="CL337" s="533">
        <f t="shared" si="274"/>
        <v>0.5</v>
      </c>
      <c r="CM337" s="619">
        <f t="shared" si="275"/>
        <v>0.5</v>
      </c>
      <c r="CN337" s="619">
        <f t="shared" si="276"/>
        <v>50</v>
      </c>
      <c r="CO337" s="549">
        <f t="shared" si="295"/>
        <v>50</v>
      </c>
      <c r="CP337" s="619">
        <f t="shared" si="296"/>
        <v>4.1250000000000002E-2</v>
      </c>
      <c r="CQ337" s="619">
        <f t="shared" si="297"/>
        <v>4.1250000000000002E-2</v>
      </c>
      <c r="CR337" s="546">
        <v>300000000</v>
      </c>
      <c r="CS337" s="546">
        <v>300000000</v>
      </c>
      <c r="CT337" s="546">
        <v>0</v>
      </c>
      <c r="CU337" s="546">
        <v>0</v>
      </c>
      <c r="CV337" s="546">
        <v>0</v>
      </c>
      <c r="CW337" s="546">
        <v>0</v>
      </c>
      <c r="CX337" s="546">
        <v>0</v>
      </c>
      <c r="CY337" s="546">
        <v>0</v>
      </c>
      <c r="CZ337" s="618">
        <v>0</v>
      </c>
      <c r="DA337" s="618">
        <v>0</v>
      </c>
      <c r="DB337" s="618">
        <v>0</v>
      </c>
      <c r="DC337" s="618">
        <v>0</v>
      </c>
      <c r="DD337" s="618">
        <v>0</v>
      </c>
      <c r="DE337" s="618">
        <v>0</v>
      </c>
      <c r="DF337" s="618">
        <v>0</v>
      </c>
      <c r="DG337" s="618">
        <v>0</v>
      </c>
      <c r="DH337" s="618">
        <v>0</v>
      </c>
      <c r="DI337" s="618">
        <v>0</v>
      </c>
      <c r="DJ337" s="618">
        <v>0</v>
      </c>
      <c r="DK337" s="1034">
        <f t="shared" si="277"/>
        <v>1.3</v>
      </c>
      <c r="DL337" s="543">
        <f t="shared" si="298"/>
        <v>0.16500000000000001</v>
      </c>
      <c r="DM337" s="542">
        <f t="shared" si="299"/>
        <v>65</v>
      </c>
      <c r="DN337" s="594">
        <f t="shared" si="300"/>
        <v>65</v>
      </c>
      <c r="DO337" s="540">
        <f t="shared" si="301"/>
        <v>0.10725</v>
      </c>
      <c r="DP337" s="597">
        <f t="shared" si="306"/>
        <v>0.10725</v>
      </c>
      <c r="DQ337" s="538">
        <f t="shared" si="302"/>
        <v>0.10725</v>
      </c>
      <c r="DR337" s="617">
        <f t="shared" si="303"/>
        <v>1</v>
      </c>
      <c r="DS337" s="616">
        <f t="shared" si="304"/>
        <v>0</v>
      </c>
      <c r="DT337" s="259">
        <v>388</v>
      </c>
      <c r="DU337" s="260" t="s">
        <v>266</v>
      </c>
      <c r="DV337" s="259"/>
      <c r="DW337" s="260" t="s">
        <v>242</v>
      </c>
      <c r="DX337" s="259"/>
      <c r="DY337" s="259"/>
      <c r="DZ337" s="259"/>
      <c r="EA337" s="987"/>
      <c r="EB337" s="1041" t="s">
        <v>2642</v>
      </c>
      <c r="EC337" s="802">
        <v>300000000</v>
      </c>
      <c r="EE337" s="1047"/>
    </row>
    <row r="338" spans="4:135" s="534" customFormat="1" ht="76.5" hidden="1" x14ac:dyDescent="0.3">
      <c r="D338" s="783">
        <v>335</v>
      </c>
      <c r="E338" s="799">
        <v>393</v>
      </c>
      <c r="F338" s="739" t="s">
        <v>201</v>
      </c>
      <c r="G338" s="739" t="s">
        <v>13</v>
      </c>
      <c r="H338" s="739" t="s">
        <v>165</v>
      </c>
      <c r="I338" s="676" t="s">
        <v>993</v>
      </c>
      <c r="J338" s="573" t="s">
        <v>996</v>
      </c>
      <c r="K338" s="573" t="s">
        <v>997</v>
      </c>
      <c r="L338" s="687" t="s">
        <v>2030</v>
      </c>
      <c r="M338" s="571" t="s">
        <v>2017</v>
      </c>
      <c r="N338" s="571">
        <v>0</v>
      </c>
      <c r="O338" s="570">
        <f t="shared" si="305"/>
        <v>2</v>
      </c>
      <c r="P338" s="569">
        <v>2</v>
      </c>
      <c r="Q338" s="628">
        <v>0.16500000000000001</v>
      </c>
      <c r="R338" s="580">
        <f t="shared" si="282"/>
        <v>0</v>
      </c>
      <c r="S338" s="627">
        <v>0</v>
      </c>
      <c r="T338" s="625">
        <f t="shared" si="264"/>
        <v>0</v>
      </c>
      <c r="U338" s="992">
        <v>0.15</v>
      </c>
      <c r="V338" s="626">
        <f t="shared" si="265"/>
        <v>0.15</v>
      </c>
      <c r="W338" s="594">
        <f t="shared" si="266"/>
        <v>0</v>
      </c>
      <c r="X338" s="594">
        <f t="shared" si="283"/>
        <v>0</v>
      </c>
      <c r="Y338" s="594">
        <f t="shared" ref="Y338:Y401" si="307">+(X338*R338)/100</f>
        <v>0</v>
      </c>
      <c r="Z338" s="594">
        <f t="shared" si="284"/>
        <v>100</v>
      </c>
      <c r="AA338" s="593">
        <v>0</v>
      </c>
      <c r="AB338" s="593">
        <v>0</v>
      </c>
      <c r="AC338" s="593">
        <v>0</v>
      </c>
      <c r="AD338" s="593">
        <v>0</v>
      </c>
      <c r="AE338" s="593">
        <v>0</v>
      </c>
      <c r="AF338" s="593">
        <v>0</v>
      </c>
      <c r="AG338" s="593">
        <v>0</v>
      </c>
      <c r="AH338" s="593">
        <v>0</v>
      </c>
      <c r="AI338" s="593">
        <v>0</v>
      </c>
      <c r="AJ338" s="593">
        <v>0</v>
      </c>
      <c r="AK338" s="593">
        <v>0</v>
      </c>
      <c r="AL338" s="593">
        <v>0</v>
      </c>
      <c r="AM338" s="593">
        <v>0</v>
      </c>
      <c r="AN338" s="593">
        <v>0</v>
      </c>
      <c r="AO338" s="593">
        <v>0</v>
      </c>
      <c r="AP338" s="593">
        <v>0</v>
      </c>
      <c r="AQ338" s="593">
        <v>0</v>
      </c>
      <c r="AR338" s="593">
        <v>0</v>
      </c>
      <c r="AS338" s="593">
        <v>0</v>
      </c>
      <c r="AT338" s="570">
        <f t="shared" si="285"/>
        <v>4.1250000000000002E-2</v>
      </c>
      <c r="AU338" s="571">
        <v>0.5</v>
      </c>
      <c r="AV338" s="625">
        <f t="shared" si="267"/>
        <v>0.25</v>
      </c>
      <c r="AW338" s="1003">
        <v>0.4</v>
      </c>
      <c r="AX338" s="604">
        <f t="shared" si="268"/>
        <v>0.4</v>
      </c>
      <c r="AY338" s="604">
        <f t="shared" si="269"/>
        <v>80</v>
      </c>
      <c r="AZ338" s="604">
        <f t="shared" si="286"/>
        <v>80</v>
      </c>
      <c r="BA338" s="592">
        <f t="shared" si="287"/>
        <v>3.3000000000000002E-2</v>
      </c>
      <c r="BB338" s="592">
        <f t="shared" si="288"/>
        <v>80</v>
      </c>
      <c r="BC338" s="591">
        <v>100000000</v>
      </c>
      <c r="BD338" s="591">
        <v>0</v>
      </c>
      <c r="BE338" s="591">
        <v>100000000</v>
      </c>
      <c r="BF338" s="591">
        <v>0</v>
      </c>
      <c r="BG338" s="591">
        <v>0</v>
      </c>
      <c r="BH338" s="591">
        <v>0</v>
      </c>
      <c r="BI338" s="591">
        <v>0</v>
      </c>
      <c r="BJ338" s="591">
        <v>0</v>
      </c>
      <c r="BK338" s="624">
        <v>100000000</v>
      </c>
      <c r="BL338" s="589">
        <v>100000000</v>
      </c>
      <c r="BM338" s="589">
        <v>0</v>
      </c>
      <c r="BN338" s="589">
        <v>0</v>
      </c>
      <c r="BO338" s="589">
        <v>0</v>
      </c>
      <c r="BP338" s="589">
        <v>0</v>
      </c>
      <c r="BQ338" s="589">
        <v>0</v>
      </c>
      <c r="BR338" s="589">
        <v>0</v>
      </c>
      <c r="BS338" s="589">
        <v>0</v>
      </c>
      <c r="BT338" s="589">
        <v>0</v>
      </c>
      <c r="BU338" s="589">
        <v>0</v>
      </c>
      <c r="BV338" s="588">
        <f t="shared" si="289"/>
        <v>4.1250000000000002E-2</v>
      </c>
      <c r="BW338" s="588">
        <v>0.5</v>
      </c>
      <c r="BX338" s="623">
        <f t="shared" si="270"/>
        <v>0.25</v>
      </c>
      <c r="BY338" s="607">
        <v>0.10000000149011612</v>
      </c>
      <c r="BZ338" s="629">
        <v>0.10000000149011612</v>
      </c>
      <c r="CA338" s="1017">
        <v>0.30000001192092896</v>
      </c>
      <c r="CB338" s="557">
        <f t="shared" si="271"/>
        <v>0.30000001192092896</v>
      </c>
      <c r="CC338" s="557">
        <f t="shared" si="272"/>
        <v>60.000002384185791</v>
      </c>
      <c r="CD338" s="622">
        <f t="shared" si="290"/>
        <v>60.000002384185791</v>
      </c>
      <c r="CE338" s="621">
        <f t="shared" si="291"/>
        <v>2.4750000983476638E-2</v>
      </c>
      <c r="CF338" s="605">
        <f t="shared" si="292"/>
        <v>60.000002384185791</v>
      </c>
      <c r="CG338" s="621">
        <f t="shared" si="293"/>
        <v>2.4750000983476638E-2</v>
      </c>
      <c r="CH338" s="553">
        <f t="shared" si="294"/>
        <v>8.2500000000000004E-2</v>
      </c>
      <c r="CI338" s="552">
        <v>1</v>
      </c>
      <c r="CJ338" s="551">
        <f t="shared" si="273"/>
        <v>0.5</v>
      </c>
      <c r="CK338" s="874">
        <v>0.5</v>
      </c>
      <c r="CL338" s="533">
        <f t="shared" si="274"/>
        <v>0.5</v>
      </c>
      <c r="CM338" s="619">
        <f t="shared" si="275"/>
        <v>0.5</v>
      </c>
      <c r="CN338" s="619">
        <f t="shared" si="276"/>
        <v>50</v>
      </c>
      <c r="CO338" s="549">
        <f t="shared" si="295"/>
        <v>50</v>
      </c>
      <c r="CP338" s="619">
        <f t="shared" si="296"/>
        <v>4.1250000000000002E-2</v>
      </c>
      <c r="CQ338" s="619">
        <f t="shared" si="297"/>
        <v>4.1250000000000002E-2</v>
      </c>
      <c r="CR338" s="546">
        <v>200000000</v>
      </c>
      <c r="CS338" s="546">
        <v>200000000</v>
      </c>
      <c r="CT338" s="546">
        <v>0</v>
      </c>
      <c r="CU338" s="546">
        <v>0</v>
      </c>
      <c r="CV338" s="546">
        <v>0</v>
      </c>
      <c r="CW338" s="546">
        <v>0</v>
      </c>
      <c r="CX338" s="546">
        <v>0</v>
      </c>
      <c r="CY338" s="546">
        <v>0</v>
      </c>
      <c r="CZ338" s="618">
        <v>0</v>
      </c>
      <c r="DA338" s="618">
        <v>0</v>
      </c>
      <c r="DB338" s="618">
        <v>0</v>
      </c>
      <c r="DC338" s="618">
        <v>0</v>
      </c>
      <c r="DD338" s="618">
        <v>0</v>
      </c>
      <c r="DE338" s="618">
        <v>0</v>
      </c>
      <c r="DF338" s="618">
        <v>0</v>
      </c>
      <c r="DG338" s="618">
        <v>0</v>
      </c>
      <c r="DH338" s="618">
        <v>0</v>
      </c>
      <c r="DI338" s="618">
        <v>0</v>
      </c>
      <c r="DJ338" s="618">
        <v>0</v>
      </c>
      <c r="DK338" s="1034">
        <f t="shared" si="277"/>
        <v>1.350000011920929</v>
      </c>
      <c r="DL338" s="543">
        <f t="shared" si="298"/>
        <v>0.16500000000000001</v>
      </c>
      <c r="DM338" s="542">
        <f t="shared" si="299"/>
        <v>67.500000596046448</v>
      </c>
      <c r="DN338" s="594">
        <f t="shared" si="300"/>
        <v>67.500000596046448</v>
      </c>
      <c r="DO338" s="540">
        <f t="shared" si="301"/>
        <v>0.11137500098347664</v>
      </c>
      <c r="DP338" s="597">
        <f t="shared" si="306"/>
        <v>0.11137500098347664</v>
      </c>
      <c r="DQ338" s="538">
        <f t="shared" si="302"/>
        <v>0.11137500098347664</v>
      </c>
      <c r="DR338" s="617">
        <f t="shared" si="303"/>
        <v>1</v>
      </c>
      <c r="DS338" s="616">
        <f t="shared" si="304"/>
        <v>0</v>
      </c>
      <c r="DT338" s="259">
        <v>388</v>
      </c>
      <c r="DU338" s="260" t="s">
        <v>266</v>
      </c>
      <c r="DV338" s="259"/>
      <c r="DW338" s="260" t="s">
        <v>242</v>
      </c>
      <c r="DX338" s="259"/>
      <c r="DY338" s="259"/>
      <c r="DZ338" s="259"/>
      <c r="EA338" s="987"/>
      <c r="EB338" s="1041" t="s">
        <v>2643</v>
      </c>
      <c r="EC338" s="802">
        <v>200000000</v>
      </c>
      <c r="EE338" s="1047"/>
    </row>
    <row r="339" spans="4:135" s="534" customFormat="1" ht="89.25" hidden="1" x14ac:dyDescent="0.3">
      <c r="D339" s="783">
        <v>336</v>
      </c>
      <c r="E339" s="799">
        <v>394</v>
      </c>
      <c r="F339" s="739" t="s">
        <v>201</v>
      </c>
      <c r="G339" s="739" t="s">
        <v>13</v>
      </c>
      <c r="H339" s="739" t="s">
        <v>165</v>
      </c>
      <c r="I339" s="676" t="s">
        <v>993</v>
      </c>
      <c r="J339" s="573" t="s">
        <v>998</v>
      </c>
      <c r="K339" s="573" t="s">
        <v>999</v>
      </c>
      <c r="L339" s="687" t="s">
        <v>1669</v>
      </c>
      <c r="M339" s="571" t="s">
        <v>2017</v>
      </c>
      <c r="N339" s="571">
        <v>1500000</v>
      </c>
      <c r="O339" s="570">
        <f t="shared" si="305"/>
        <v>2900000</v>
      </c>
      <c r="P339" s="569">
        <v>1400000</v>
      </c>
      <c r="Q339" s="628">
        <v>8.8999999999999996E-2</v>
      </c>
      <c r="R339" s="580">
        <f t="shared" si="282"/>
        <v>2.2249999999999999E-2</v>
      </c>
      <c r="S339" s="627">
        <v>350000</v>
      </c>
      <c r="T339" s="625">
        <f t="shared" si="264"/>
        <v>0.25</v>
      </c>
      <c r="U339" s="992">
        <v>350000</v>
      </c>
      <c r="V339" s="626">
        <f t="shared" si="265"/>
        <v>350000</v>
      </c>
      <c r="W339" s="594">
        <f t="shared" si="266"/>
        <v>100</v>
      </c>
      <c r="X339" s="594">
        <f t="shared" si="283"/>
        <v>100</v>
      </c>
      <c r="Y339" s="594">
        <f t="shared" si="307"/>
        <v>2.2250000000000002E-2</v>
      </c>
      <c r="Z339" s="594">
        <f t="shared" si="284"/>
        <v>100</v>
      </c>
      <c r="AA339" s="593">
        <v>173000000</v>
      </c>
      <c r="AB339" s="593">
        <v>133000000</v>
      </c>
      <c r="AC339" s="593">
        <v>0</v>
      </c>
      <c r="AD339" s="593">
        <v>0</v>
      </c>
      <c r="AE339" s="593">
        <v>0</v>
      </c>
      <c r="AF339" s="593">
        <v>0</v>
      </c>
      <c r="AG339" s="593">
        <v>0</v>
      </c>
      <c r="AH339" s="593">
        <v>40000000</v>
      </c>
      <c r="AI339" s="593">
        <v>113436000</v>
      </c>
      <c r="AJ339" s="593">
        <v>83000000</v>
      </c>
      <c r="AK339" s="593">
        <v>0</v>
      </c>
      <c r="AL339" s="593">
        <v>0</v>
      </c>
      <c r="AM339" s="593">
        <v>0</v>
      </c>
      <c r="AN339" s="593">
        <v>0</v>
      </c>
      <c r="AO339" s="593">
        <v>0</v>
      </c>
      <c r="AP339" s="593">
        <v>30436000</v>
      </c>
      <c r="AQ339" s="593">
        <v>0</v>
      </c>
      <c r="AR339" s="593">
        <v>0</v>
      </c>
      <c r="AS339" s="593">
        <v>0</v>
      </c>
      <c r="AT339" s="570">
        <f t="shared" si="285"/>
        <v>2.2249999999999999E-2</v>
      </c>
      <c r="AU339" s="571">
        <v>350000</v>
      </c>
      <c r="AV339" s="625">
        <f t="shared" si="267"/>
        <v>0.25</v>
      </c>
      <c r="AW339" s="1003">
        <v>421844</v>
      </c>
      <c r="AX339" s="604">
        <f t="shared" si="268"/>
        <v>421844</v>
      </c>
      <c r="AY339" s="604">
        <f t="shared" si="269"/>
        <v>120.52685714285714</v>
      </c>
      <c r="AZ339" s="604">
        <f t="shared" si="286"/>
        <v>100</v>
      </c>
      <c r="BA339" s="592">
        <f t="shared" si="287"/>
        <v>2.2250000000000002E-2</v>
      </c>
      <c r="BB339" s="592">
        <f t="shared" si="288"/>
        <v>100</v>
      </c>
      <c r="BC339" s="591">
        <v>129000000</v>
      </c>
      <c r="BD339" s="591">
        <v>0</v>
      </c>
      <c r="BE339" s="591">
        <v>129000000</v>
      </c>
      <c r="BF339" s="591">
        <v>0</v>
      </c>
      <c r="BG339" s="591">
        <v>0</v>
      </c>
      <c r="BH339" s="591">
        <v>0</v>
      </c>
      <c r="BI339" s="591">
        <v>0</v>
      </c>
      <c r="BJ339" s="591">
        <v>0</v>
      </c>
      <c r="BK339" s="624">
        <v>128997000</v>
      </c>
      <c r="BL339" s="589">
        <v>128997000</v>
      </c>
      <c r="BM339" s="589">
        <v>0</v>
      </c>
      <c r="BN339" s="589">
        <v>0</v>
      </c>
      <c r="BO339" s="589">
        <v>0</v>
      </c>
      <c r="BP339" s="589">
        <v>0</v>
      </c>
      <c r="BQ339" s="589">
        <v>0</v>
      </c>
      <c r="BR339" s="589">
        <v>0</v>
      </c>
      <c r="BS339" s="589">
        <v>0</v>
      </c>
      <c r="BT339" s="589">
        <v>36462180</v>
      </c>
      <c r="BU339" s="589" t="s">
        <v>2149</v>
      </c>
      <c r="BV339" s="588">
        <f t="shared" si="289"/>
        <v>2.2249999999999999E-2</v>
      </c>
      <c r="BW339" s="588">
        <v>350000</v>
      </c>
      <c r="BX339" s="623">
        <f t="shared" si="270"/>
        <v>0.25</v>
      </c>
      <c r="BY339" s="607">
        <v>181873</v>
      </c>
      <c r="BZ339" s="629">
        <v>292890</v>
      </c>
      <c r="CA339" s="1017">
        <v>439183</v>
      </c>
      <c r="CB339" s="557">
        <f t="shared" si="271"/>
        <v>439183</v>
      </c>
      <c r="CC339" s="557">
        <f t="shared" si="272"/>
        <v>125.48085714285715</v>
      </c>
      <c r="CD339" s="622">
        <f t="shared" si="290"/>
        <v>100</v>
      </c>
      <c r="CE339" s="621">
        <f t="shared" si="291"/>
        <v>2.2250000000000002E-2</v>
      </c>
      <c r="CF339" s="605">
        <f t="shared" si="292"/>
        <v>100</v>
      </c>
      <c r="CG339" s="621">
        <f t="shared" si="293"/>
        <v>2.7919490714285712E-2</v>
      </c>
      <c r="CH339" s="553">
        <f t="shared" si="294"/>
        <v>2.2249999999999999E-2</v>
      </c>
      <c r="CI339" s="552">
        <v>350000</v>
      </c>
      <c r="CJ339" s="551">
        <f t="shared" si="273"/>
        <v>0.25</v>
      </c>
      <c r="CK339" s="874">
        <v>380419.40625</v>
      </c>
      <c r="CL339" s="533">
        <f t="shared" si="274"/>
        <v>-30419.40625</v>
      </c>
      <c r="CM339" s="619">
        <f t="shared" si="275"/>
        <v>380419.40625</v>
      </c>
      <c r="CN339" s="619">
        <f t="shared" si="276"/>
        <v>108.69125892857143</v>
      </c>
      <c r="CO339" s="549">
        <f t="shared" si="295"/>
        <v>100</v>
      </c>
      <c r="CP339" s="619">
        <f t="shared" si="296"/>
        <v>2.2250000000000002E-2</v>
      </c>
      <c r="CQ339" s="619">
        <f t="shared" si="297"/>
        <v>2.4183805111607143E-2</v>
      </c>
      <c r="CR339" s="546">
        <v>395000000</v>
      </c>
      <c r="CS339" s="546">
        <v>395000000</v>
      </c>
      <c r="CT339" s="546">
        <v>0</v>
      </c>
      <c r="CU339" s="546">
        <v>0</v>
      </c>
      <c r="CV339" s="546">
        <v>0</v>
      </c>
      <c r="CW339" s="546">
        <v>0</v>
      </c>
      <c r="CX339" s="546">
        <v>0</v>
      </c>
      <c r="CY339" s="546">
        <v>0</v>
      </c>
      <c r="CZ339" s="618">
        <v>0</v>
      </c>
      <c r="DA339" s="618">
        <v>0</v>
      </c>
      <c r="DB339" s="618">
        <v>0</v>
      </c>
      <c r="DC339" s="618">
        <v>0</v>
      </c>
      <c r="DD339" s="618">
        <v>0</v>
      </c>
      <c r="DE339" s="618">
        <v>0</v>
      </c>
      <c r="DF339" s="618">
        <v>0</v>
      </c>
      <c r="DG339" s="618">
        <v>0</v>
      </c>
      <c r="DH339" s="618">
        <v>0</v>
      </c>
      <c r="DI339" s="618">
        <v>0</v>
      </c>
      <c r="DJ339" s="618">
        <v>0</v>
      </c>
      <c r="DK339" s="1034">
        <f t="shared" si="277"/>
        <v>1591446.40625</v>
      </c>
      <c r="DL339" s="543">
        <f t="shared" si="298"/>
        <v>8.8999999999999996E-2</v>
      </c>
      <c r="DM339" s="542">
        <f t="shared" si="299"/>
        <v>113.67474330357143</v>
      </c>
      <c r="DN339" s="594">
        <f t="shared" si="300"/>
        <v>100</v>
      </c>
      <c r="DO339" s="540">
        <f t="shared" si="301"/>
        <v>8.900000000000001E-2</v>
      </c>
      <c r="DP339" s="597">
        <f t="shared" si="306"/>
        <v>8.8999999999999996E-2</v>
      </c>
      <c r="DQ339" s="538">
        <f t="shared" si="302"/>
        <v>8.8999999999999996E-2</v>
      </c>
      <c r="DR339" s="617">
        <f t="shared" si="303"/>
        <v>1</v>
      </c>
      <c r="DS339" s="616">
        <f t="shared" si="304"/>
        <v>0</v>
      </c>
      <c r="DT339" s="259">
        <v>388</v>
      </c>
      <c r="DU339" s="260" t="s">
        <v>266</v>
      </c>
      <c r="DV339" s="259"/>
      <c r="DW339" s="260" t="s">
        <v>242</v>
      </c>
      <c r="DX339" s="259"/>
      <c r="DY339" s="259"/>
      <c r="DZ339" s="259"/>
      <c r="EA339" s="987"/>
      <c r="EB339" s="1041" t="s">
        <v>2644</v>
      </c>
      <c r="EC339" s="802">
        <v>388000000</v>
      </c>
      <c r="EE339" s="1047"/>
    </row>
    <row r="340" spans="4:135" s="534" customFormat="1" ht="102" hidden="1" x14ac:dyDescent="0.3">
      <c r="D340" s="783">
        <v>337</v>
      </c>
      <c r="E340" s="799">
        <v>395</v>
      </c>
      <c r="F340" s="739" t="s">
        <v>201</v>
      </c>
      <c r="G340" s="739" t="s">
        <v>13</v>
      </c>
      <c r="H340" s="739" t="s">
        <v>165</v>
      </c>
      <c r="I340" s="676" t="s">
        <v>1000</v>
      </c>
      <c r="J340" s="573" t="s">
        <v>1001</v>
      </c>
      <c r="K340" s="573" t="s">
        <v>1002</v>
      </c>
      <c r="L340" s="687" t="s">
        <v>2019</v>
      </c>
      <c r="M340" s="571" t="s">
        <v>2017</v>
      </c>
      <c r="N340" s="571">
        <v>0</v>
      </c>
      <c r="O340" s="570">
        <f t="shared" si="305"/>
        <v>2</v>
      </c>
      <c r="P340" s="569">
        <v>2</v>
      </c>
      <c r="Q340" s="628">
        <v>0.25</v>
      </c>
      <c r="R340" s="580">
        <f t="shared" si="282"/>
        <v>0</v>
      </c>
      <c r="S340" s="627">
        <v>0</v>
      </c>
      <c r="T340" s="625">
        <f t="shared" si="264"/>
        <v>0</v>
      </c>
      <c r="U340" s="992">
        <v>0</v>
      </c>
      <c r="V340" s="626">
        <f t="shared" si="265"/>
        <v>0</v>
      </c>
      <c r="W340" s="594">
        <f t="shared" si="266"/>
        <v>0</v>
      </c>
      <c r="X340" s="594">
        <f t="shared" si="283"/>
        <v>0</v>
      </c>
      <c r="Y340" s="594">
        <f t="shared" si="307"/>
        <v>0</v>
      </c>
      <c r="Z340" s="594">
        <f t="shared" si="284"/>
        <v>0</v>
      </c>
      <c r="AA340" s="593">
        <v>0</v>
      </c>
      <c r="AB340" s="593">
        <v>0</v>
      </c>
      <c r="AC340" s="593">
        <v>0</v>
      </c>
      <c r="AD340" s="593">
        <v>0</v>
      </c>
      <c r="AE340" s="593">
        <v>0</v>
      </c>
      <c r="AF340" s="593">
        <v>0</v>
      </c>
      <c r="AG340" s="593">
        <v>0</v>
      </c>
      <c r="AH340" s="593">
        <v>0</v>
      </c>
      <c r="AI340" s="593">
        <v>0</v>
      </c>
      <c r="AJ340" s="593">
        <v>0</v>
      </c>
      <c r="AK340" s="593">
        <v>0</v>
      </c>
      <c r="AL340" s="593">
        <v>0</v>
      </c>
      <c r="AM340" s="593">
        <v>0</v>
      </c>
      <c r="AN340" s="593">
        <v>0</v>
      </c>
      <c r="AO340" s="593">
        <v>0</v>
      </c>
      <c r="AP340" s="593">
        <v>0</v>
      </c>
      <c r="AQ340" s="593">
        <v>0</v>
      </c>
      <c r="AR340" s="593">
        <v>0</v>
      </c>
      <c r="AS340" s="593">
        <v>0</v>
      </c>
      <c r="AT340" s="570">
        <f t="shared" si="285"/>
        <v>6.25E-2</v>
      </c>
      <c r="AU340" s="571">
        <v>0.5</v>
      </c>
      <c r="AV340" s="625">
        <f t="shared" si="267"/>
        <v>0.25</v>
      </c>
      <c r="AW340" s="1003">
        <v>0.4</v>
      </c>
      <c r="AX340" s="604">
        <f t="shared" si="268"/>
        <v>0.4</v>
      </c>
      <c r="AY340" s="604">
        <f t="shared" si="269"/>
        <v>80</v>
      </c>
      <c r="AZ340" s="604">
        <f t="shared" si="286"/>
        <v>80</v>
      </c>
      <c r="BA340" s="592">
        <f t="shared" si="287"/>
        <v>0.05</v>
      </c>
      <c r="BB340" s="592">
        <f t="shared" si="288"/>
        <v>80</v>
      </c>
      <c r="BC340" s="591">
        <v>50000000</v>
      </c>
      <c r="BD340" s="591">
        <v>0</v>
      </c>
      <c r="BE340" s="591">
        <v>50000000</v>
      </c>
      <c r="BF340" s="591">
        <v>0</v>
      </c>
      <c r="BG340" s="591">
        <v>0</v>
      </c>
      <c r="BH340" s="591">
        <v>0</v>
      </c>
      <c r="BI340" s="591">
        <v>0</v>
      </c>
      <c r="BJ340" s="591">
        <v>0</v>
      </c>
      <c r="BK340" s="624">
        <v>49918580</v>
      </c>
      <c r="BL340" s="589">
        <v>49918580</v>
      </c>
      <c r="BM340" s="589">
        <v>0</v>
      </c>
      <c r="BN340" s="589">
        <v>0</v>
      </c>
      <c r="BO340" s="589">
        <v>0</v>
      </c>
      <c r="BP340" s="589">
        <v>0</v>
      </c>
      <c r="BQ340" s="589">
        <v>0</v>
      </c>
      <c r="BR340" s="589">
        <v>0</v>
      </c>
      <c r="BS340" s="589">
        <v>0</v>
      </c>
      <c r="BT340" s="589">
        <v>0</v>
      </c>
      <c r="BU340" s="589">
        <v>0</v>
      </c>
      <c r="BV340" s="588">
        <f t="shared" si="289"/>
        <v>6.25E-2</v>
      </c>
      <c r="BW340" s="588">
        <v>0.5</v>
      </c>
      <c r="BX340" s="623">
        <f t="shared" si="270"/>
        <v>0.25</v>
      </c>
      <c r="BY340" s="607">
        <v>0.43</v>
      </c>
      <c r="BZ340" s="629">
        <v>0.80000001192092896</v>
      </c>
      <c r="CA340" s="1017">
        <v>0.5</v>
      </c>
      <c r="CB340" s="557">
        <f t="shared" si="271"/>
        <v>0.5</v>
      </c>
      <c r="CC340" s="557">
        <f t="shared" si="272"/>
        <v>100</v>
      </c>
      <c r="CD340" s="622">
        <f t="shared" si="290"/>
        <v>100</v>
      </c>
      <c r="CE340" s="621">
        <f t="shared" si="291"/>
        <v>6.25E-2</v>
      </c>
      <c r="CF340" s="605">
        <f t="shared" si="292"/>
        <v>100</v>
      </c>
      <c r="CG340" s="621">
        <f t="shared" si="293"/>
        <v>6.25E-2</v>
      </c>
      <c r="CH340" s="553">
        <f t="shared" si="294"/>
        <v>0.125</v>
      </c>
      <c r="CI340" s="552">
        <v>1</v>
      </c>
      <c r="CJ340" s="551">
        <f t="shared" si="273"/>
        <v>0.5</v>
      </c>
      <c r="CK340" s="874">
        <v>0.69999998807907104</v>
      </c>
      <c r="CL340" s="533">
        <f t="shared" si="274"/>
        <v>0.30000001192092896</v>
      </c>
      <c r="CM340" s="619">
        <f t="shared" si="275"/>
        <v>0.69999998807907104</v>
      </c>
      <c r="CN340" s="619">
        <f t="shared" si="276"/>
        <v>69.999998807907104</v>
      </c>
      <c r="CO340" s="549">
        <f t="shared" si="295"/>
        <v>69.999998807907104</v>
      </c>
      <c r="CP340" s="619">
        <f t="shared" si="296"/>
        <v>8.7499998509883881E-2</v>
      </c>
      <c r="CQ340" s="619">
        <f t="shared" si="297"/>
        <v>8.7499998509883881E-2</v>
      </c>
      <c r="CR340" s="546">
        <v>100000000</v>
      </c>
      <c r="CS340" s="546">
        <v>100000000</v>
      </c>
      <c r="CT340" s="546">
        <v>0</v>
      </c>
      <c r="CU340" s="546">
        <v>0</v>
      </c>
      <c r="CV340" s="546">
        <v>0</v>
      </c>
      <c r="CW340" s="546">
        <v>0</v>
      </c>
      <c r="CX340" s="546">
        <v>0</v>
      </c>
      <c r="CY340" s="546">
        <v>0</v>
      </c>
      <c r="CZ340" s="618">
        <v>0</v>
      </c>
      <c r="DA340" s="618">
        <v>0</v>
      </c>
      <c r="DB340" s="618">
        <v>0</v>
      </c>
      <c r="DC340" s="618">
        <v>0</v>
      </c>
      <c r="DD340" s="618">
        <v>0</v>
      </c>
      <c r="DE340" s="618">
        <v>0</v>
      </c>
      <c r="DF340" s="618">
        <v>0</v>
      </c>
      <c r="DG340" s="618">
        <v>0</v>
      </c>
      <c r="DH340" s="618">
        <v>0</v>
      </c>
      <c r="DI340" s="618">
        <v>0</v>
      </c>
      <c r="DJ340" s="618">
        <v>0</v>
      </c>
      <c r="DK340" s="1034">
        <f t="shared" si="277"/>
        <v>1.599999988079071</v>
      </c>
      <c r="DL340" s="543">
        <f t="shared" si="298"/>
        <v>0.25</v>
      </c>
      <c r="DM340" s="542">
        <f t="shared" si="299"/>
        <v>79.999999403953552</v>
      </c>
      <c r="DN340" s="594">
        <f t="shared" si="300"/>
        <v>79.999999403953552</v>
      </c>
      <c r="DO340" s="540">
        <f t="shared" si="301"/>
        <v>0.19999999850988387</v>
      </c>
      <c r="DP340" s="597">
        <f t="shared" si="306"/>
        <v>0.19999999850988387</v>
      </c>
      <c r="DQ340" s="538">
        <f t="shared" si="302"/>
        <v>0.19999999850988387</v>
      </c>
      <c r="DR340" s="617">
        <f t="shared" si="303"/>
        <v>1</v>
      </c>
      <c r="DS340" s="616">
        <f t="shared" si="304"/>
        <v>0</v>
      </c>
      <c r="DT340" s="259">
        <v>388</v>
      </c>
      <c r="DU340" s="260" t="s">
        <v>266</v>
      </c>
      <c r="DV340" s="259"/>
      <c r="DW340" s="260" t="s">
        <v>242</v>
      </c>
      <c r="DX340" s="259"/>
      <c r="DY340" s="259"/>
      <c r="DZ340" s="259"/>
      <c r="EA340" s="987"/>
      <c r="EB340" s="1041" t="s">
        <v>2645</v>
      </c>
      <c r="EC340" s="802">
        <v>100000000</v>
      </c>
      <c r="EE340" s="1047"/>
    </row>
    <row r="341" spans="4:135" s="534" customFormat="1" ht="127.5" hidden="1" x14ac:dyDescent="0.3">
      <c r="D341" s="783">
        <v>338</v>
      </c>
      <c r="E341" s="799">
        <v>396</v>
      </c>
      <c r="F341" s="574" t="s">
        <v>201</v>
      </c>
      <c r="G341" s="574" t="s">
        <v>13</v>
      </c>
      <c r="H341" s="574" t="s">
        <v>165</v>
      </c>
      <c r="I341" s="574" t="s">
        <v>1000</v>
      </c>
      <c r="J341" s="573" t="s">
        <v>1453</v>
      </c>
      <c r="K341" s="573" t="s">
        <v>1003</v>
      </c>
      <c r="L341" s="687" t="s">
        <v>2148</v>
      </c>
      <c r="M341" s="571" t="s">
        <v>2017</v>
      </c>
      <c r="N341" s="571">
        <v>0</v>
      </c>
      <c r="O341" s="570">
        <f t="shared" si="305"/>
        <v>10</v>
      </c>
      <c r="P341" s="569">
        <v>10</v>
      </c>
      <c r="Q341" s="631">
        <v>0.16500000000000001</v>
      </c>
      <c r="R341" s="580">
        <f t="shared" si="282"/>
        <v>0</v>
      </c>
      <c r="S341" s="627">
        <v>0</v>
      </c>
      <c r="T341" s="625">
        <f t="shared" si="264"/>
        <v>0</v>
      </c>
      <c r="U341" s="992">
        <v>0</v>
      </c>
      <c r="V341" s="626">
        <f t="shared" si="265"/>
        <v>0</v>
      </c>
      <c r="W341" s="594">
        <f t="shared" si="266"/>
        <v>0</v>
      </c>
      <c r="X341" s="594">
        <f t="shared" si="283"/>
        <v>0</v>
      </c>
      <c r="Y341" s="594">
        <f t="shared" si="307"/>
        <v>0</v>
      </c>
      <c r="Z341" s="594">
        <f t="shared" si="284"/>
        <v>0</v>
      </c>
      <c r="AA341" s="593">
        <v>0</v>
      </c>
      <c r="AB341" s="593">
        <v>0</v>
      </c>
      <c r="AC341" s="593">
        <v>0</v>
      </c>
      <c r="AD341" s="593">
        <v>0</v>
      </c>
      <c r="AE341" s="593">
        <v>0</v>
      </c>
      <c r="AF341" s="593">
        <v>0</v>
      </c>
      <c r="AG341" s="593">
        <v>0</v>
      </c>
      <c r="AH341" s="593">
        <v>0</v>
      </c>
      <c r="AI341" s="593">
        <v>0</v>
      </c>
      <c r="AJ341" s="593">
        <v>0</v>
      </c>
      <c r="AK341" s="593">
        <v>0</v>
      </c>
      <c r="AL341" s="593">
        <v>0</v>
      </c>
      <c r="AM341" s="593">
        <v>0</v>
      </c>
      <c r="AN341" s="593">
        <v>0</v>
      </c>
      <c r="AO341" s="593">
        <v>0</v>
      </c>
      <c r="AP341" s="593">
        <v>0</v>
      </c>
      <c r="AQ341" s="593">
        <v>0</v>
      </c>
      <c r="AR341" s="593">
        <v>0</v>
      </c>
      <c r="AS341" s="593">
        <v>0</v>
      </c>
      <c r="AT341" s="630">
        <f t="shared" si="285"/>
        <v>3.3000000000000002E-2</v>
      </c>
      <c r="AU341" s="571">
        <v>2</v>
      </c>
      <c r="AV341" s="625">
        <f t="shared" si="267"/>
        <v>0.2</v>
      </c>
      <c r="AW341" s="1003">
        <v>2</v>
      </c>
      <c r="AX341" s="604">
        <f t="shared" si="268"/>
        <v>2</v>
      </c>
      <c r="AY341" s="604">
        <f t="shared" si="269"/>
        <v>100</v>
      </c>
      <c r="AZ341" s="604">
        <f t="shared" si="286"/>
        <v>100</v>
      </c>
      <c r="BA341" s="592">
        <f t="shared" si="287"/>
        <v>3.3000000000000002E-2</v>
      </c>
      <c r="BB341" s="592">
        <f t="shared" si="288"/>
        <v>100</v>
      </c>
      <c r="BC341" s="591">
        <v>50000000</v>
      </c>
      <c r="BD341" s="591">
        <v>0</v>
      </c>
      <c r="BE341" s="591">
        <v>50000000</v>
      </c>
      <c r="BF341" s="591">
        <v>0</v>
      </c>
      <c r="BG341" s="591">
        <v>0</v>
      </c>
      <c r="BH341" s="591">
        <v>0</v>
      </c>
      <c r="BI341" s="591">
        <v>0</v>
      </c>
      <c r="BJ341" s="591">
        <v>0</v>
      </c>
      <c r="BK341" s="624">
        <v>50000000</v>
      </c>
      <c r="BL341" s="589">
        <v>50000000</v>
      </c>
      <c r="BM341" s="589">
        <v>0</v>
      </c>
      <c r="BN341" s="589">
        <v>0</v>
      </c>
      <c r="BO341" s="589">
        <v>0</v>
      </c>
      <c r="BP341" s="589">
        <v>0</v>
      </c>
      <c r="BQ341" s="589">
        <v>0</v>
      </c>
      <c r="BR341" s="589">
        <v>0</v>
      </c>
      <c r="BS341" s="589">
        <v>0</v>
      </c>
      <c r="BT341" s="589">
        <v>1809957885</v>
      </c>
      <c r="BU341" s="589">
        <v>0</v>
      </c>
      <c r="BV341" s="588">
        <f t="shared" si="289"/>
        <v>3.3000000000000002E-2</v>
      </c>
      <c r="BW341" s="588">
        <v>2</v>
      </c>
      <c r="BX341" s="623">
        <f t="shared" si="270"/>
        <v>0.2</v>
      </c>
      <c r="BY341" s="607">
        <v>1.3</v>
      </c>
      <c r="BZ341" s="629">
        <v>1.2999999523162842</v>
      </c>
      <c r="CA341" s="1017">
        <v>2</v>
      </c>
      <c r="CB341" s="557">
        <f t="shared" si="271"/>
        <v>2</v>
      </c>
      <c r="CC341" s="557">
        <f t="shared" si="272"/>
        <v>100</v>
      </c>
      <c r="CD341" s="622">
        <f t="shared" si="290"/>
        <v>100</v>
      </c>
      <c r="CE341" s="621">
        <f t="shared" si="291"/>
        <v>3.3000000000000002E-2</v>
      </c>
      <c r="CF341" s="605">
        <f t="shared" si="292"/>
        <v>100</v>
      </c>
      <c r="CG341" s="621">
        <f t="shared" si="293"/>
        <v>3.3000000000000002E-2</v>
      </c>
      <c r="CH341" s="553">
        <f t="shared" si="294"/>
        <v>9.9000000000000005E-2</v>
      </c>
      <c r="CI341" s="552">
        <v>6</v>
      </c>
      <c r="CJ341" s="551">
        <f t="shared" si="273"/>
        <v>0.6</v>
      </c>
      <c r="CK341" s="874">
        <v>23</v>
      </c>
      <c r="CL341" s="533">
        <f t="shared" si="274"/>
        <v>-17</v>
      </c>
      <c r="CM341" s="619">
        <f t="shared" si="275"/>
        <v>23</v>
      </c>
      <c r="CN341" s="619">
        <f t="shared" si="276"/>
        <v>383.33333333333331</v>
      </c>
      <c r="CO341" s="549">
        <f t="shared" si="295"/>
        <v>100</v>
      </c>
      <c r="CP341" s="619">
        <f t="shared" si="296"/>
        <v>9.9000000000000005E-2</v>
      </c>
      <c r="CQ341" s="619">
        <f t="shared" si="297"/>
        <v>0.3795</v>
      </c>
      <c r="CR341" s="546">
        <v>100000000</v>
      </c>
      <c r="CS341" s="546">
        <v>100000000</v>
      </c>
      <c r="CT341" s="546">
        <v>0</v>
      </c>
      <c r="CU341" s="546">
        <v>0</v>
      </c>
      <c r="CV341" s="546">
        <v>0</v>
      </c>
      <c r="CW341" s="546">
        <v>0</v>
      </c>
      <c r="CX341" s="546">
        <v>0</v>
      </c>
      <c r="CY341" s="546">
        <v>0</v>
      </c>
      <c r="CZ341" s="618">
        <v>0</v>
      </c>
      <c r="DA341" s="618">
        <v>0</v>
      </c>
      <c r="DB341" s="618">
        <v>0</v>
      </c>
      <c r="DC341" s="618">
        <v>0</v>
      </c>
      <c r="DD341" s="618">
        <v>0</v>
      </c>
      <c r="DE341" s="618">
        <v>0</v>
      </c>
      <c r="DF341" s="618">
        <v>0</v>
      </c>
      <c r="DG341" s="618">
        <v>0</v>
      </c>
      <c r="DH341" s="618">
        <v>0</v>
      </c>
      <c r="DI341" s="618">
        <v>0</v>
      </c>
      <c r="DJ341" s="618">
        <v>0</v>
      </c>
      <c r="DK341" s="1034">
        <f t="shared" si="277"/>
        <v>27</v>
      </c>
      <c r="DL341" s="543">
        <f t="shared" si="298"/>
        <v>0.16500000000000001</v>
      </c>
      <c r="DM341" s="542">
        <f t="shared" si="299"/>
        <v>270</v>
      </c>
      <c r="DN341" s="594">
        <f t="shared" si="300"/>
        <v>100</v>
      </c>
      <c r="DO341" s="540">
        <f t="shared" si="301"/>
        <v>0.16500000000000001</v>
      </c>
      <c r="DP341" s="597">
        <f t="shared" si="306"/>
        <v>0.16500000000000001</v>
      </c>
      <c r="DQ341" s="538">
        <f t="shared" si="302"/>
        <v>0.16500000000000001</v>
      </c>
      <c r="DR341" s="617">
        <f t="shared" si="303"/>
        <v>1</v>
      </c>
      <c r="DS341" s="616">
        <f t="shared" si="304"/>
        <v>0</v>
      </c>
      <c r="DT341" s="259">
        <v>388</v>
      </c>
      <c r="DU341" s="260" t="s">
        <v>266</v>
      </c>
      <c r="DV341" s="259"/>
      <c r="DW341" s="260" t="s">
        <v>242</v>
      </c>
      <c r="DX341" s="259"/>
      <c r="DY341" s="259"/>
      <c r="DZ341" s="259"/>
      <c r="EA341" s="987"/>
      <c r="EB341" s="1041" t="s">
        <v>2646</v>
      </c>
      <c r="EC341" s="802">
        <v>100000000</v>
      </c>
      <c r="EE341" s="1047"/>
    </row>
    <row r="342" spans="4:135" s="534" customFormat="1" ht="51" hidden="1" x14ac:dyDescent="0.3">
      <c r="D342" s="783">
        <v>339</v>
      </c>
      <c r="E342" s="799">
        <v>399</v>
      </c>
      <c r="F342" s="739" t="s">
        <v>201</v>
      </c>
      <c r="G342" s="739" t="s">
        <v>2142</v>
      </c>
      <c r="H342" s="739" t="s">
        <v>166</v>
      </c>
      <c r="I342" s="676" t="s">
        <v>1004</v>
      </c>
      <c r="J342" s="573" t="s">
        <v>1005</v>
      </c>
      <c r="K342" s="573" t="s">
        <v>1006</v>
      </c>
      <c r="L342" s="687" t="s">
        <v>2030</v>
      </c>
      <c r="M342" s="571" t="s">
        <v>2017</v>
      </c>
      <c r="N342" s="571">
        <v>0</v>
      </c>
      <c r="O342" s="570">
        <f t="shared" si="305"/>
        <v>1</v>
      </c>
      <c r="P342" s="569">
        <v>1</v>
      </c>
      <c r="Q342" s="628">
        <v>0.16500000000000001</v>
      </c>
      <c r="R342" s="580">
        <f t="shared" si="282"/>
        <v>0</v>
      </c>
      <c r="S342" s="627">
        <v>0</v>
      </c>
      <c r="T342" s="625">
        <f t="shared" si="264"/>
        <v>0</v>
      </c>
      <c r="U342" s="992">
        <v>0</v>
      </c>
      <c r="V342" s="626">
        <f t="shared" si="265"/>
        <v>0</v>
      </c>
      <c r="W342" s="594">
        <f t="shared" si="266"/>
        <v>0</v>
      </c>
      <c r="X342" s="594">
        <f t="shared" si="283"/>
        <v>0</v>
      </c>
      <c r="Y342" s="594">
        <f t="shared" si="307"/>
        <v>0</v>
      </c>
      <c r="Z342" s="594">
        <f t="shared" si="284"/>
        <v>0</v>
      </c>
      <c r="AA342" s="593">
        <v>50000000</v>
      </c>
      <c r="AB342" s="593">
        <v>50000000</v>
      </c>
      <c r="AC342" s="593">
        <v>0</v>
      </c>
      <c r="AD342" s="593">
        <v>0</v>
      </c>
      <c r="AE342" s="593">
        <v>0</v>
      </c>
      <c r="AF342" s="593">
        <v>0</v>
      </c>
      <c r="AG342" s="593">
        <v>0</v>
      </c>
      <c r="AH342" s="593">
        <v>0</v>
      </c>
      <c r="AI342" s="593">
        <v>0</v>
      </c>
      <c r="AJ342" s="593">
        <v>0</v>
      </c>
      <c r="AK342" s="593">
        <v>0</v>
      </c>
      <c r="AL342" s="593">
        <v>0</v>
      </c>
      <c r="AM342" s="593">
        <v>0</v>
      </c>
      <c r="AN342" s="593">
        <v>0</v>
      </c>
      <c r="AO342" s="593">
        <v>0</v>
      </c>
      <c r="AP342" s="593">
        <v>0</v>
      </c>
      <c r="AQ342" s="593">
        <v>0</v>
      </c>
      <c r="AR342" s="593">
        <v>0</v>
      </c>
      <c r="AS342" s="593">
        <v>0</v>
      </c>
      <c r="AT342" s="570">
        <f t="shared" si="285"/>
        <v>3.3000000000000002E-2</v>
      </c>
      <c r="AU342" s="571">
        <v>0.2</v>
      </c>
      <c r="AV342" s="625">
        <f t="shared" si="267"/>
        <v>0.2</v>
      </c>
      <c r="AW342" s="1003">
        <v>0.25</v>
      </c>
      <c r="AX342" s="604">
        <f t="shared" si="268"/>
        <v>0.25</v>
      </c>
      <c r="AY342" s="604">
        <f t="shared" si="269"/>
        <v>125</v>
      </c>
      <c r="AZ342" s="604">
        <f t="shared" si="286"/>
        <v>100</v>
      </c>
      <c r="BA342" s="592">
        <f t="shared" si="287"/>
        <v>3.3000000000000002E-2</v>
      </c>
      <c r="BB342" s="592">
        <f t="shared" si="288"/>
        <v>100</v>
      </c>
      <c r="BC342" s="591">
        <v>442000000</v>
      </c>
      <c r="BD342" s="591">
        <v>0</v>
      </c>
      <c r="BE342" s="591">
        <v>130000000</v>
      </c>
      <c r="BF342" s="591">
        <v>0</v>
      </c>
      <c r="BG342" s="591">
        <v>0</v>
      </c>
      <c r="BH342" s="591">
        <v>0</v>
      </c>
      <c r="BI342" s="591">
        <v>0</v>
      </c>
      <c r="BJ342" s="591">
        <v>312000000</v>
      </c>
      <c r="BK342" s="624">
        <v>52000000</v>
      </c>
      <c r="BL342" s="589">
        <v>52000000</v>
      </c>
      <c r="BM342" s="589">
        <v>0</v>
      </c>
      <c r="BN342" s="589">
        <v>0</v>
      </c>
      <c r="BO342" s="589">
        <v>0</v>
      </c>
      <c r="BP342" s="589">
        <v>0</v>
      </c>
      <c r="BQ342" s="589">
        <v>0</v>
      </c>
      <c r="BR342" s="589">
        <v>0</v>
      </c>
      <c r="BS342" s="589">
        <v>0</v>
      </c>
      <c r="BT342" s="589">
        <v>0</v>
      </c>
      <c r="BU342" s="589">
        <v>0</v>
      </c>
      <c r="BV342" s="588">
        <f t="shared" si="289"/>
        <v>6.6000000000000003E-2</v>
      </c>
      <c r="BW342" s="588">
        <v>0.4</v>
      </c>
      <c r="BX342" s="623">
        <f t="shared" si="270"/>
        <v>0.4</v>
      </c>
      <c r="BY342" s="607">
        <v>0.3</v>
      </c>
      <c r="BZ342" s="629">
        <v>0.3</v>
      </c>
      <c r="CA342" s="1017">
        <v>0.4</v>
      </c>
      <c r="CB342" s="557">
        <f t="shared" si="271"/>
        <v>0.4</v>
      </c>
      <c r="CC342" s="557">
        <f t="shared" si="272"/>
        <v>100</v>
      </c>
      <c r="CD342" s="622">
        <f t="shared" si="290"/>
        <v>100</v>
      </c>
      <c r="CE342" s="621">
        <f t="shared" si="291"/>
        <v>6.6000000000000003E-2</v>
      </c>
      <c r="CF342" s="605">
        <f t="shared" si="292"/>
        <v>100</v>
      </c>
      <c r="CG342" s="621">
        <f t="shared" si="293"/>
        <v>6.6000000000000003E-2</v>
      </c>
      <c r="CH342" s="553">
        <f t="shared" si="294"/>
        <v>6.6000000000000003E-2</v>
      </c>
      <c r="CI342" s="634">
        <v>0.4</v>
      </c>
      <c r="CJ342" s="551">
        <f t="shared" si="273"/>
        <v>0.4</v>
      </c>
      <c r="CK342" s="874">
        <v>0.35</v>
      </c>
      <c r="CL342" s="533">
        <f t="shared" si="274"/>
        <v>5.0000000000000044E-2</v>
      </c>
      <c r="CM342" s="619">
        <f t="shared" si="275"/>
        <v>0.35</v>
      </c>
      <c r="CN342" s="619">
        <f t="shared" si="276"/>
        <v>87.5</v>
      </c>
      <c r="CO342" s="549">
        <f t="shared" si="295"/>
        <v>87.5</v>
      </c>
      <c r="CP342" s="619">
        <f t="shared" si="296"/>
        <v>5.7750000000000003E-2</v>
      </c>
      <c r="CQ342" s="619">
        <f t="shared" si="297"/>
        <v>5.7750000000000003E-2</v>
      </c>
      <c r="CR342" s="546">
        <v>704000000</v>
      </c>
      <c r="CS342" s="546">
        <v>390000000</v>
      </c>
      <c r="CT342" s="546">
        <v>0</v>
      </c>
      <c r="CU342" s="546">
        <v>0</v>
      </c>
      <c r="CV342" s="546">
        <v>0</v>
      </c>
      <c r="CW342" s="546">
        <v>0</v>
      </c>
      <c r="CX342" s="546">
        <v>0</v>
      </c>
      <c r="CY342" s="546">
        <v>314000000</v>
      </c>
      <c r="CZ342" s="618">
        <v>0</v>
      </c>
      <c r="DA342" s="618">
        <v>0</v>
      </c>
      <c r="DB342" s="618">
        <v>0</v>
      </c>
      <c r="DC342" s="618">
        <v>0</v>
      </c>
      <c r="DD342" s="618">
        <v>0</v>
      </c>
      <c r="DE342" s="618">
        <v>0</v>
      </c>
      <c r="DF342" s="618">
        <v>0</v>
      </c>
      <c r="DG342" s="618">
        <v>0</v>
      </c>
      <c r="DH342" s="618">
        <v>0</v>
      </c>
      <c r="DI342" s="618">
        <v>0</v>
      </c>
      <c r="DJ342" s="618">
        <v>0</v>
      </c>
      <c r="DK342" s="1034">
        <f t="shared" si="277"/>
        <v>1</v>
      </c>
      <c r="DL342" s="543">
        <f t="shared" si="298"/>
        <v>0.16500000000000001</v>
      </c>
      <c r="DM342" s="542">
        <f t="shared" si="299"/>
        <v>100</v>
      </c>
      <c r="DN342" s="594">
        <f t="shared" si="300"/>
        <v>100</v>
      </c>
      <c r="DO342" s="540">
        <f t="shared" si="301"/>
        <v>0.16500000000000001</v>
      </c>
      <c r="DP342" s="597">
        <f t="shared" si="306"/>
        <v>0.16500000000000001</v>
      </c>
      <c r="DQ342" s="538">
        <f t="shared" si="302"/>
        <v>0.16500000000000001</v>
      </c>
      <c r="DR342" s="617">
        <f t="shared" si="303"/>
        <v>1</v>
      </c>
      <c r="DS342" s="616">
        <f t="shared" si="304"/>
        <v>0</v>
      </c>
      <c r="DT342" s="259">
        <v>397</v>
      </c>
      <c r="DU342" s="260" t="s">
        <v>265</v>
      </c>
      <c r="DV342" s="259"/>
      <c r="DW342" s="260" t="s">
        <v>242</v>
      </c>
      <c r="DX342" s="259"/>
      <c r="DY342" s="259"/>
      <c r="DZ342" s="259"/>
      <c r="EA342" s="987"/>
      <c r="EB342" s="1041" t="s">
        <v>2647</v>
      </c>
      <c r="EC342" s="802">
        <v>702000000</v>
      </c>
      <c r="EE342" s="1047"/>
    </row>
    <row r="343" spans="4:135" s="534" customFormat="1" ht="102" hidden="1" x14ac:dyDescent="0.3">
      <c r="D343" s="783">
        <v>340</v>
      </c>
      <c r="E343" s="799">
        <v>400</v>
      </c>
      <c r="F343" s="739" t="s">
        <v>201</v>
      </c>
      <c r="G343" s="739" t="s">
        <v>2142</v>
      </c>
      <c r="H343" s="739" t="s">
        <v>166</v>
      </c>
      <c r="I343" s="676" t="s">
        <v>1004</v>
      </c>
      <c r="J343" s="573" t="s">
        <v>1007</v>
      </c>
      <c r="K343" s="573" t="s">
        <v>1491</v>
      </c>
      <c r="L343" s="687" t="s">
        <v>1664</v>
      </c>
      <c r="M343" s="571" t="s">
        <v>2017</v>
      </c>
      <c r="N343" s="571">
        <v>0</v>
      </c>
      <c r="O343" s="570">
        <f t="shared" si="305"/>
        <v>116</v>
      </c>
      <c r="P343" s="569">
        <v>116</v>
      </c>
      <c r="Q343" s="628">
        <v>0.25</v>
      </c>
      <c r="R343" s="580">
        <f t="shared" si="282"/>
        <v>4.9568965517241381E-2</v>
      </c>
      <c r="S343" s="627">
        <v>23</v>
      </c>
      <c r="T343" s="625">
        <f t="shared" si="264"/>
        <v>0.19827586206896552</v>
      </c>
      <c r="U343" s="992">
        <v>47</v>
      </c>
      <c r="V343" s="626">
        <f t="shared" si="265"/>
        <v>47</v>
      </c>
      <c r="W343" s="594">
        <f t="shared" si="266"/>
        <v>204.34782608695653</v>
      </c>
      <c r="X343" s="594">
        <f t="shared" si="283"/>
        <v>100</v>
      </c>
      <c r="Y343" s="594">
        <f t="shared" si="307"/>
        <v>4.9568965517241381E-2</v>
      </c>
      <c r="Z343" s="594">
        <f t="shared" si="284"/>
        <v>100</v>
      </c>
      <c r="AA343" s="593">
        <v>1024000000</v>
      </c>
      <c r="AB343" s="593">
        <v>1024000000</v>
      </c>
      <c r="AC343" s="593">
        <v>0</v>
      </c>
      <c r="AD343" s="593">
        <v>0</v>
      </c>
      <c r="AE343" s="593">
        <v>0</v>
      </c>
      <c r="AF343" s="593">
        <v>0</v>
      </c>
      <c r="AG343" s="593">
        <v>0</v>
      </c>
      <c r="AH343" s="593">
        <v>0</v>
      </c>
      <c r="AI343" s="593">
        <v>3063000000</v>
      </c>
      <c r="AJ343" s="593">
        <v>2363000000</v>
      </c>
      <c r="AK343" s="593">
        <v>0</v>
      </c>
      <c r="AL343" s="593">
        <v>700000000</v>
      </c>
      <c r="AM343" s="593">
        <v>0</v>
      </c>
      <c r="AN343" s="593">
        <v>0</v>
      </c>
      <c r="AO343" s="593">
        <v>0</v>
      </c>
      <c r="AP343" s="593">
        <v>0</v>
      </c>
      <c r="AQ343" s="593">
        <v>0</v>
      </c>
      <c r="AR343" s="593">
        <v>0</v>
      </c>
      <c r="AS343" s="593">
        <v>0</v>
      </c>
      <c r="AT343" s="659">
        <f t="shared" si="285"/>
        <v>4.9568965517241381E-2</v>
      </c>
      <c r="AU343" s="571">
        <v>23</v>
      </c>
      <c r="AV343" s="625">
        <f t="shared" si="267"/>
        <v>0.19827586206896552</v>
      </c>
      <c r="AW343" s="1003">
        <v>50</v>
      </c>
      <c r="AX343" s="604">
        <f t="shared" si="268"/>
        <v>50</v>
      </c>
      <c r="AY343" s="604">
        <f t="shared" si="269"/>
        <v>217.39130434782609</v>
      </c>
      <c r="AZ343" s="604">
        <f t="shared" si="286"/>
        <v>100</v>
      </c>
      <c r="BA343" s="592">
        <f t="shared" si="287"/>
        <v>4.9568965517241381E-2</v>
      </c>
      <c r="BB343" s="592">
        <f t="shared" si="288"/>
        <v>100</v>
      </c>
      <c r="BC343" s="591">
        <v>530000000</v>
      </c>
      <c r="BD343" s="591">
        <v>0</v>
      </c>
      <c r="BE343" s="591">
        <v>130000000</v>
      </c>
      <c r="BF343" s="591">
        <v>0</v>
      </c>
      <c r="BG343" s="591">
        <v>0</v>
      </c>
      <c r="BH343" s="591">
        <v>0</v>
      </c>
      <c r="BI343" s="591">
        <v>0</v>
      </c>
      <c r="BJ343" s="591">
        <v>400000000</v>
      </c>
      <c r="BK343" s="624">
        <v>435317600</v>
      </c>
      <c r="BL343" s="589">
        <v>435317600</v>
      </c>
      <c r="BM343" s="589">
        <v>0</v>
      </c>
      <c r="BN343" s="589">
        <v>0</v>
      </c>
      <c r="BO343" s="589">
        <v>0</v>
      </c>
      <c r="BP343" s="589">
        <v>0</v>
      </c>
      <c r="BQ343" s="589">
        <v>0</v>
      </c>
      <c r="BR343" s="589">
        <v>0</v>
      </c>
      <c r="BS343" s="589">
        <v>0</v>
      </c>
      <c r="BT343" s="589">
        <v>0</v>
      </c>
      <c r="BU343" s="589">
        <v>0</v>
      </c>
      <c r="BV343" s="588">
        <f t="shared" si="289"/>
        <v>8.6206896551724144E-2</v>
      </c>
      <c r="BW343" s="588">
        <v>40</v>
      </c>
      <c r="BX343" s="623">
        <f t="shared" si="270"/>
        <v>0.34482758620689657</v>
      </c>
      <c r="BY343" s="607">
        <v>15</v>
      </c>
      <c r="BZ343" s="629">
        <v>15</v>
      </c>
      <c r="CA343" s="1017">
        <v>15</v>
      </c>
      <c r="CB343" s="557">
        <f t="shared" si="271"/>
        <v>15</v>
      </c>
      <c r="CC343" s="557">
        <f t="shared" si="272"/>
        <v>37.5</v>
      </c>
      <c r="CD343" s="622">
        <f t="shared" si="290"/>
        <v>37.5</v>
      </c>
      <c r="CE343" s="621">
        <f t="shared" si="291"/>
        <v>3.2327586206896554E-2</v>
      </c>
      <c r="CF343" s="605">
        <f t="shared" si="292"/>
        <v>37.5</v>
      </c>
      <c r="CG343" s="621">
        <f t="shared" si="293"/>
        <v>3.2327586206896554E-2</v>
      </c>
      <c r="CH343" s="553">
        <f t="shared" si="294"/>
        <v>6.4655172413793108E-2</v>
      </c>
      <c r="CI343" s="552">
        <v>30</v>
      </c>
      <c r="CJ343" s="551">
        <f t="shared" si="273"/>
        <v>0.25862068965517243</v>
      </c>
      <c r="CK343" s="874">
        <v>15</v>
      </c>
      <c r="CL343" s="533">
        <f t="shared" si="274"/>
        <v>15</v>
      </c>
      <c r="CM343" s="619">
        <f t="shared" si="275"/>
        <v>15</v>
      </c>
      <c r="CN343" s="619">
        <f t="shared" si="276"/>
        <v>50</v>
      </c>
      <c r="CO343" s="549">
        <f t="shared" si="295"/>
        <v>50</v>
      </c>
      <c r="CP343" s="619">
        <f t="shared" si="296"/>
        <v>3.2327586206896554E-2</v>
      </c>
      <c r="CQ343" s="619">
        <f t="shared" si="297"/>
        <v>3.2327586206896554E-2</v>
      </c>
      <c r="CR343" s="546">
        <v>790000000</v>
      </c>
      <c r="CS343" s="546">
        <v>390000000</v>
      </c>
      <c r="CT343" s="546">
        <v>0</v>
      </c>
      <c r="CU343" s="546">
        <v>0</v>
      </c>
      <c r="CV343" s="546">
        <v>0</v>
      </c>
      <c r="CW343" s="546">
        <v>0</v>
      </c>
      <c r="CX343" s="546">
        <v>0</v>
      </c>
      <c r="CY343" s="546">
        <v>400000000</v>
      </c>
      <c r="CZ343" s="618">
        <v>0</v>
      </c>
      <c r="DA343" s="618">
        <v>0</v>
      </c>
      <c r="DB343" s="618">
        <v>0</v>
      </c>
      <c r="DC343" s="618">
        <v>0</v>
      </c>
      <c r="DD343" s="618">
        <v>0</v>
      </c>
      <c r="DE343" s="618">
        <v>0</v>
      </c>
      <c r="DF343" s="618">
        <v>0</v>
      </c>
      <c r="DG343" s="618">
        <v>0</v>
      </c>
      <c r="DH343" s="618">
        <v>0</v>
      </c>
      <c r="DI343" s="618">
        <v>0</v>
      </c>
      <c r="DJ343" s="618">
        <v>0</v>
      </c>
      <c r="DK343" s="1034">
        <f t="shared" si="277"/>
        <v>127</v>
      </c>
      <c r="DL343" s="543">
        <f t="shared" si="298"/>
        <v>0.25</v>
      </c>
      <c r="DM343" s="542">
        <f t="shared" si="299"/>
        <v>109.48275862068965</v>
      </c>
      <c r="DN343" s="594">
        <f t="shared" si="300"/>
        <v>100</v>
      </c>
      <c r="DO343" s="540">
        <f t="shared" si="301"/>
        <v>0.25</v>
      </c>
      <c r="DP343" s="597">
        <f t="shared" si="306"/>
        <v>0.25</v>
      </c>
      <c r="DQ343" s="538">
        <f t="shared" si="302"/>
        <v>0.25</v>
      </c>
      <c r="DR343" s="617">
        <f t="shared" si="303"/>
        <v>1</v>
      </c>
      <c r="DS343" s="616">
        <f t="shared" si="304"/>
        <v>0</v>
      </c>
      <c r="DT343" s="259">
        <v>397</v>
      </c>
      <c r="DU343" s="260" t="s">
        <v>265</v>
      </c>
      <c r="DV343" s="259"/>
      <c r="DW343" s="260" t="s">
        <v>242</v>
      </c>
      <c r="DX343" s="259"/>
      <c r="DY343" s="259"/>
      <c r="DZ343" s="259"/>
      <c r="EA343" s="987"/>
      <c r="EB343" s="1041" t="s">
        <v>2648</v>
      </c>
      <c r="EC343" s="802">
        <v>790000000</v>
      </c>
      <c r="EE343" s="1047"/>
    </row>
    <row r="344" spans="4:135" s="534" customFormat="1" ht="63.75" x14ac:dyDescent="0.3">
      <c r="D344" s="783">
        <v>341</v>
      </c>
      <c r="E344" s="799">
        <v>401</v>
      </c>
      <c r="F344" s="739" t="s">
        <v>201</v>
      </c>
      <c r="G344" s="739" t="s">
        <v>16</v>
      </c>
      <c r="H344" s="739" t="s">
        <v>166</v>
      </c>
      <c r="I344" s="676" t="s">
        <v>1004</v>
      </c>
      <c r="J344" s="573" t="s">
        <v>2875</v>
      </c>
      <c r="K344" s="573" t="s">
        <v>1008</v>
      </c>
      <c r="L344" s="687" t="s">
        <v>1582</v>
      </c>
      <c r="M344" s="571" t="s">
        <v>2017</v>
      </c>
      <c r="N344" s="571">
        <v>0</v>
      </c>
      <c r="O344" s="570">
        <f t="shared" si="305"/>
        <v>20</v>
      </c>
      <c r="P344" s="569">
        <v>20</v>
      </c>
      <c r="Q344" s="628">
        <v>0.16500000000000001</v>
      </c>
      <c r="R344" s="580">
        <f t="shared" si="282"/>
        <v>4.9500000000000002E-2</v>
      </c>
      <c r="S344" s="627">
        <v>6</v>
      </c>
      <c r="T344" s="625">
        <f t="shared" si="264"/>
        <v>0.3</v>
      </c>
      <c r="U344" s="992">
        <v>6</v>
      </c>
      <c r="V344" s="626">
        <f t="shared" si="265"/>
        <v>6</v>
      </c>
      <c r="W344" s="594">
        <f t="shared" si="266"/>
        <v>100</v>
      </c>
      <c r="X344" s="594">
        <f t="shared" si="283"/>
        <v>100</v>
      </c>
      <c r="Y344" s="594">
        <f t="shared" si="307"/>
        <v>4.9500000000000002E-2</v>
      </c>
      <c r="Z344" s="594">
        <f t="shared" si="284"/>
        <v>100</v>
      </c>
      <c r="AA344" s="593">
        <v>59000000</v>
      </c>
      <c r="AB344" s="593">
        <v>51000000</v>
      </c>
      <c r="AC344" s="593">
        <v>0</v>
      </c>
      <c r="AD344" s="593">
        <v>0</v>
      </c>
      <c r="AE344" s="593">
        <v>0</v>
      </c>
      <c r="AF344" s="593">
        <v>0</v>
      </c>
      <c r="AG344" s="593">
        <v>0</v>
      </c>
      <c r="AH344" s="593">
        <v>8000000</v>
      </c>
      <c r="AI344" s="593">
        <v>0</v>
      </c>
      <c r="AJ344" s="593">
        <v>0</v>
      </c>
      <c r="AK344" s="593">
        <v>0</v>
      </c>
      <c r="AL344" s="593">
        <v>0</v>
      </c>
      <c r="AM344" s="593">
        <v>0</v>
      </c>
      <c r="AN344" s="593">
        <v>0</v>
      </c>
      <c r="AO344" s="593">
        <v>0</v>
      </c>
      <c r="AP344" s="593">
        <v>0</v>
      </c>
      <c r="AQ344" s="593">
        <v>0</v>
      </c>
      <c r="AR344" s="593">
        <v>0</v>
      </c>
      <c r="AS344" s="593">
        <v>0</v>
      </c>
      <c r="AT344" s="570">
        <f t="shared" si="285"/>
        <v>6.6000000000000008E-3</v>
      </c>
      <c r="AU344" s="571">
        <v>0.8</v>
      </c>
      <c r="AV344" s="625">
        <f t="shared" si="267"/>
        <v>0.04</v>
      </c>
      <c r="AW344" s="1003">
        <v>0.8</v>
      </c>
      <c r="AX344" s="604">
        <f t="shared" si="268"/>
        <v>0.8</v>
      </c>
      <c r="AY344" s="604">
        <f t="shared" si="269"/>
        <v>100</v>
      </c>
      <c r="AZ344" s="604">
        <f t="shared" si="286"/>
        <v>100</v>
      </c>
      <c r="BA344" s="592">
        <f t="shared" si="287"/>
        <v>6.6E-3</v>
      </c>
      <c r="BB344" s="592">
        <f t="shared" si="288"/>
        <v>100</v>
      </c>
      <c r="BC344" s="591">
        <v>1070000000</v>
      </c>
      <c r="BD344" s="591">
        <v>0</v>
      </c>
      <c r="BE344" s="591">
        <v>195000000</v>
      </c>
      <c r="BF344" s="591">
        <v>0</v>
      </c>
      <c r="BG344" s="591">
        <v>0</v>
      </c>
      <c r="BH344" s="591">
        <v>0</v>
      </c>
      <c r="BI344" s="591">
        <v>0</v>
      </c>
      <c r="BJ344" s="591">
        <v>875000000</v>
      </c>
      <c r="BK344" s="624">
        <v>358000000</v>
      </c>
      <c r="BL344" s="589">
        <v>358000000</v>
      </c>
      <c r="BM344" s="589">
        <v>0</v>
      </c>
      <c r="BN344" s="589">
        <v>0</v>
      </c>
      <c r="BO344" s="589">
        <v>0</v>
      </c>
      <c r="BP344" s="589">
        <v>0</v>
      </c>
      <c r="BQ344" s="589">
        <v>0</v>
      </c>
      <c r="BR344" s="589">
        <v>0</v>
      </c>
      <c r="BS344" s="589">
        <v>0</v>
      </c>
      <c r="BT344" s="589">
        <v>33300000</v>
      </c>
      <c r="BU344" s="589" t="s">
        <v>2147</v>
      </c>
      <c r="BV344" s="588">
        <f t="shared" si="289"/>
        <v>2.0625000000000001E-2</v>
      </c>
      <c r="BW344" s="588">
        <v>2.5</v>
      </c>
      <c r="BX344" s="623">
        <f t="shared" si="270"/>
        <v>0.125</v>
      </c>
      <c r="BY344" s="639">
        <v>0</v>
      </c>
      <c r="BZ344" s="638">
        <v>0</v>
      </c>
      <c r="CA344" s="1018">
        <v>2.5</v>
      </c>
      <c r="CB344" s="557">
        <f t="shared" si="271"/>
        <v>2.5</v>
      </c>
      <c r="CC344" s="557">
        <f t="shared" si="272"/>
        <v>100</v>
      </c>
      <c r="CD344" s="622">
        <f t="shared" si="290"/>
        <v>100</v>
      </c>
      <c r="CE344" s="621">
        <f t="shared" si="291"/>
        <v>2.0625000000000001E-2</v>
      </c>
      <c r="CF344" s="605">
        <f t="shared" si="292"/>
        <v>100</v>
      </c>
      <c r="CG344" s="621">
        <f t="shared" si="293"/>
        <v>2.0625000000000001E-2</v>
      </c>
      <c r="CH344" s="553">
        <f t="shared" si="294"/>
        <v>8.8274999999999992E-2</v>
      </c>
      <c r="CI344" s="552">
        <v>10.7</v>
      </c>
      <c r="CJ344" s="551">
        <f t="shared" si="273"/>
        <v>0.53499999999999992</v>
      </c>
      <c r="CK344" s="1048">
        <v>3</v>
      </c>
      <c r="CL344" s="533">
        <f t="shared" si="274"/>
        <v>7.6999999999999993</v>
      </c>
      <c r="CM344" s="619">
        <f t="shared" si="275"/>
        <v>3</v>
      </c>
      <c r="CN344" s="619">
        <f t="shared" si="276"/>
        <v>28.037383177570096</v>
      </c>
      <c r="CO344" s="549">
        <f t="shared" si="295"/>
        <v>28.037383177570096</v>
      </c>
      <c r="CP344" s="619">
        <f t="shared" si="296"/>
        <v>2.4750000000000001E-2</v>
      </c>
      <c r="CQ344" s="619">
        <f t="shared" si="297"/>
        <v>2.4750000000000001E-2</v>
      </c>
      <c r="CR344" s="546">
        <v>1325000000</v>
      </c>
      <c r="CS344" s="546">
        <v>450000000</v>
      </c>
      <c r="CT344" s="546">
        <v>0</v>
      </c>
      <c r="CU344" s="546">
        <v>0</v>
      </c>
      <c r="CV344" s="546">
        <v>0</v>
      </c>
      <c r="CW344" s="546">
        <v>0</v>
      </c>
      <c r="CX344" s="546">
        <v>0</v>
      </c>
      <c r="CY344" s="546">
        <v>875000000</v>
      </c>
      <c r="CZ344" s="618">
        <v>0</v>
      </c>
      <c r="DA344" s="618">
        <v>0</v>
      </c>
      <c r="DB344" s="618">
        <v>0</v>
      </c>
      <c r="DC344" s="618">
        <v>0</v>
      </c>
      <c r="DD344" s="618">
        <v>0</v>
      </c>
      <c r="DE344" s="618">
        <v>0</v>
      </c>
      <c r="DF344" s="618">
        <v>0</v>
      </c>
      <c r="DG344" s="618">
        <v>0</v>
      </c>
      <c r="DH344" s="618">
        <v>0</v>
      </c>
      <c r="DI344" s="618">
        <v>0</v>
      </c>
      <c r="DJ344" s="618">
        <v>0</v>
      </c>
      <c r="DK344" s="1034">
        <f t="shared" si="277"/>
        <v>12.3</v>
      </c>
      <c r="DL344" s="543">
        <f t="shared" si="298"/>
        <v>0.16499999999999998</v>
      </c>
      <c r="DM344" s="542">
        <f t="shared" si="299"/>
        <v>61.5</v>
      </c>
      <c r="DN344" s="594">
        <f t="shared" si="300"/>
        <v>61.5</v>
      </c>
      <c r="DO344" s="540">
        <f t="shared" si="301"/>
        <v>0.10147500000000001</v>
      </c>
      <c r="DP344" s="597">
        <f t="shared" si="306"/>
        <v>0.10147500000000001</v>
      </c>
      <c r="DQ344" s="538">
        <f t="shared" si="302"/>
        <v>0.10147500000000001</v>
      </c>
      <c r="DR344" s="617">
        <f t="shared" si="303"/>
        <v>0.99999999999999989</v>
      </c>
      <c r="DS344" s="616">
        <f t="shared" si="304"/>
        <v>0</v>
      </c>
      <c r="DT344" s="259">
        <v>397</v>
      </c>
      <c r="DU344" s="260" t="s">
        <v>265</v>
      </c>
      <c r="DV344" s="259"/>
      <c r="DW344" s="260" t="s">
        <v>242</v>
      </c>
      <c r="DX344" s="259"/>
      <c r="DY344" s="259"/>
      <c r="DZ344" s="259"/>
      <c r="EA344" s="987"/>
      <c r="EB344" s="1041" t="s">
        <v>2904</v>
      </c>
      <c r="EC344" s="802">
        <v>1325000000</v>
      </c>
      <c r="EE344" s="1047">
        <v>62</v>
      </c>
    </row>
    <row r="345" spans="4:135" s="534" customFormat="1" ht="76.5" hidden="1" x14ac:dyDescent="0.3">
      <c r="D345" s="783">
        <v>342</v>
      </c>
      <c r="E345" s="799">
        <v>402</v>
      </c>
      <c r="F345" s="574" t="s">
        <v>201</v>
      </c>
      <c r="G345" s="739" t="s">
        <v>2142</v>
      </c>
      <c r="H345" s="574" t="s">
        <v>166</v>
      </c>
      <c r="I345" s="574" t="s">
        <v>1004</v>
      </c>
      <c r="J345" s="573" t="s">
        <v>1454</v>
      </c>
      <c r="K345" s="573" t="s">
        <v>1009</v>
      </c>
      <c r="L345" s="687" t="s">
        <v>2055</v>
      </c>
      <c r="M345" s="571" t="s">
        <v>2017</v>
      </c>
      <c r="N345" s="571">
        <v>0</v>
      </c>
      <c r="O345" s="570">
        <f t="shared" si="305"/>
        <v>200</v>
      </c>
      <c r="P345" s="569">
        <v>200</v>
      </c>
      <c r="Q345" s="631">
        <v>0.25</v>
      </c>
      <c r="R345" s="580">
        <f t="shared" si="282"/>
        <v>2.5000000000000001E-3</v>
      </c>
      <c r="S345" s="690">
        <v>2</v>
      </c>
      <c r="T345" s="625">
        <f t="shared" si="264"/>
        <v>0.01</v>
      </c>
      <c r="U345" s="992">
        <v>2</v>
      </c>
      <c r="V345" s="626">
        <f t="shared" si="265"/>
        <v>2</v>
      </c>
      <c r="W345" s="594">
        <f t="shared" si="266"/>
        <v>100</v>
      </c>
      <c r="X345" s="594">
        <f t="shared" si="283"/>
        <v>100</v>
      </c>
      <c r="Y345" s="594">
        <f t="shared" si="307"/>
        <v>2.5000000000000001E-3</v>
      </c>
      <c r="Z345" s="594">
        <f t="shared" si="284"/>
        <v>100</v>
      </c>
      <c r="AA345" s="593">
        <v>3120000000</v>
      </c>
      <c r="AB345" s="593">
        <v>2420000000</v>
      </c>
      <c r="AC345" s="593">
        <v>0</v>
      </c>
      <c r="AD345" s="593">
        <v>700000000</v>
      </c>
      <c r="AE345" s="593">
        <v>0</v>
      </c>
      <c r="AF345" s="593">
        <v>0</v>
      </c>
      <c r="AG345" s="593">
        <v>0</v>
      </c>
      <c r="AH345" s="593">
        <v>0</v>
      </c>
      <c r="AI345" s="593">
        <v>70000000</v>
      </c>
      <c r="AJ345" s="593">
        <v>70000000</v>
      </c>
      <c r="AK345" s="593">
        <v>0</v>
      </c>
      <c r="AL345" s="593">
        <v>0</v>
      </c>
      <c r="AM345" s="593">
        <v>0</v>
      </c>
      <c r="AN345" s="593">
        <v>0</v>
      </c>
      <c r="AO345" s="593">
        <v>0</v>
      </c>
      <c r="AP345" s="593">
        <v>0</v>
      </c>
      <c r="AQ345" s="593">
        <v>0</v>
      </c>
      <c r="AR345" s="593">
        <v>0</v>
      </c>
      <c r="AS345" s="593">
        <v>0</v>
      </c>
      <c r="AT345" s="630">
        <f t="shared" si="285"/>
        <v>0.16625000000000001</v>
      </c>
      <c r="AU345" s="689">
        <v>133</v>
      </c>
      <c r="AV345" s="625">
        <f t="shared" si="267"/>
        <v>0.66500000000000004</v>
      </c>
      <c r="AW345" s="1003">
        <v>167</v>
      </c>
      <c r="AX345" s="604">
        <f t="shared" si="268"/>
        <v>167</v>
      </c>
      <c r="AY345" s="604">
        <f t="shared" si="269"/>
        <v>125.56390977443608</v>
      </c>
      <c r="AZ345" s="604">
        <f t="shared" si="286"/>
        <v>100</v>
      </c>
      <c r="BA345" s="592">
        <f t="shared" si="287"/>
        <v>0.16625000000000001</v>
      </c>
      <c r="BB345" s="592">
        <f t="shared" si="288"/>
        <v>100</v>
      </c>
      <c r="BC345" s="591">
        <v>380000000</v>
      </c>
      <c r="BD345" s="591">
        <v>0</v>
      </c>
      <c r="BE345" s="591">
        <v>130000000</v>
      </c>
      <c r="BF345" s="591">
        <v>0</v>
      </c>
      <c r="BG345" s="591">
        <v>0</v>
      </c>
      <c r="BH345" s="591">
        <v>0</v>
      </c>
      <c r="BI345" s="591">
        <v>0</v>
      </c>
      <c r="BJ345" s="591">
        <v>250000000</v>
      </c>
      <c r="BK345" s="624">
        <v>1020000000</v>
      </c>
      <c r="BL345" s="589">
        <v>1020000000</v>
      </c>
      <c r="BM345" s="589">
        <v>0</v>
      </c>
      <c r="BN345" s="589">
        <v>0</v>
      </c>
      <c r="BO345" s="589">
        <v>0</v>
      </c>
      <c r="BP345" s="589">
        <v>0</v>
      </c>
      <c r="BQ345" s="589">
        <v>0</v>
      </c>
      <c r="BR345" s="589">
        <v>0</v>
      </c>
      <c r="BS345" s="589">
        <v>0</v>
      </c>
      <c r="BT345" s="589">
        <v>0</v>
      </c>
      <c r="BU345" s="589">
        <v>0</v>
      </c>
      <c r="BV345" s="588">
        <f t="shared" si="289"/>
        <v>6.25E-2</v>
      </c>
      <c r="BW345" s="588">
        <v>50</v>
      </c>
      <c r="BX345" s="623">
        <f t="shared" si="270"/>
        <v>0.25</v>
      </c>
      <c r="BY345" s="639">
        <v>38</v>
      </c>
      <c r="BZ345" s="638">
        <v>38</v>
      </c>
      <c r="CA345" s="1018">
        <v>38</v>
      </c>
      <c r="CB345" s="557">
        <f t="shared" si="271"/>
        <v>38</v>
      </c>
      <c r="CC345" s="557">
        <f t="shared" si="272"/>
        <v>76</v>
      </c>
      <c r="CD345" s="622">
        <f t="shared" si="290"/>
        <v>76</v>
      </c>
      <c r="CE345" s="621">
        <f t="shared" si="291"/>
        <v>4.7500000000000001E-2</v>
      </c>
      <c r="CF345" s="605">
        <f t="shared" si="292"/>
        <v>76</v>
      </c>
      <c r="CG345" s="621">
        <f t="shared" si="293"/>
        <v>4.7500000000000001E-2</v>
      </c>
      <c r="CH345" s="553">
        <f t="shared" si="294"/>
        <v>1.8749999999999999E-2</v>
      </c>
      <c r="CI345" s="552">
        <v>15</v>
      </c>
      <c r="CJ345" s="551">
        <f t="shared" si="273"/>
        <v>7.4999999999999997E-2</v>
      </c>
      <c r="CK345" s="874">
        <v>3</v>
      </c>
      <c r="CL345" s="533">
        <f t="shared" si="274"/>
        <v>12</v>
      </c>
      <c r="CM345" s="619">
        <f t="shared" si="275"/>
        <v>3</v>
      </c>
      <c r="CN345" s="619">
        <f t="shared" si="276"/>
        <v>20</v>
      </c>
      <c r="CO345" s="549">
        <f t="shared" si="295"/>
        <v>20</v>
      </c>
      <c r="CP345" s="619">
        <f t="shared" si="296"/>
        <v>3.7499999999999999E-3</v>
      </c>
      <c r="CQ345" s="619">
        <f t="shared" si="297"/>
        <v>3.7499999999999999E-3</v>
      </c>
      <c r="CR345" s="546">
        <v>550000000</v>
      </c>
      <c r="CS345" s="546">
        <v>300000000</v>
      </c>
      <c r="CT345" s="546">
        <v>0</v>
      </c>
      <c r="CU345" s="546">
        <v>0</v>
      </c>
      <c r="CV345" s="546">
        <v>0</v>
      </c>
      <c r="CW345" s="546">
        <v>0</v>
      </c>
      <c r="CX345" s="546">
        <v>0</v>
      </c>
      <c r="CY345" s="546">
        <v>250000000</v>
      </c>
      <c r="CZ345" s="618">
        <v>0</v>
      </c>
      <c r="DA345" s="618">
        <v>0</v>
      </c>
      <c r="DB345" s="618">
        <v>0</v>
      </c>
      <c r="DC345" s="618">
        <v>0</v>
      </c>
      <c r="DD345" s="618">
        <v>0</v>
      </c>
      <c r="DE345" s="618">
        <v>0</v>
      </c>
      <c r="DF345" s="618">
        <v>0</v>
      </c>
      <c r="DG345" s="618">
        <v>0</v>
      </c>
      <c r="DH345" s="618">
        <v>0</v>
      </c>
      <c r="DI345" s="618">
        <v>0</v>
      </c>
      <c r="DJ345" s="618">
        <v>0</v>
      </c>
      <c r="DK345" s="1034">
        <f t="shared" si="277"/>
        <v>210</v>
      </c>
      <c r="DL345" s="543">
        <f t="shared" si="298"/>
        <v>0.25</v>
      </c>
      <c r="DM345" s="542">
        <f t="shared" si="299"/>
        <v>105</v>
      </c>
      <c r="DN345" s="594">
        <f t="shared" si="300"/>
        <v>100</v>
      </c>
      <c r="DO345" s="540">
        <f t="shared" si="301"/>
        <v>0.25</v>
      </c>
      <c r="DP345" s="597">
        <f t="shared" si="306"/>
        <v>0.25</v>
      </c>
      <c r="DQ345" s="538">
        <f t="shared" si="302"/>
        <v>0.25</v>
      </c>
      <c r="DR345" s="617">
        <f t="shared" si="303"/>
        <v>1</v>
      </c>
      <c r="DS345" s="616">
        <f t="shared" si="304"/>
        <v>0</v>
      </c>
      <c r="DT345" s="259">
        <v>397</v>
      </c>
      <c r="DU345" s="260" t="s">
        <v>265</v>
      </c>
      <c r="DV345" s="259"/>
      <c r="DW345" s="260" t="s">
        <v>242</v>
      </c>
      <c r="DX345" s="259"/>
      <c r="DY345" s="259"/>
      <c r="DZ345" s="259"/>
      <c r="EA345" s="987"/>
      <c r="EB345" s="1041" t="s">
        <v>2649</v>
      </c>
      <c r="EC345" s="802">
        <v>550000000</v>
      </c>
      <c r="EE345" s="1047"/>
    </row>
    <row r="346" spans="4:135" s="534" customFormat="1" ht="76.5" hidden="1" x14ac:dyDescent="0.3">
      <c r="D346" s="783">
        <v>343</v>
      </c>
      <c r="E346" s="799">
        <v>403</v>
      </c>
      <c r="F346" s="739" t="s">
        <v>201</v>
      </c>
      <c r="G346" s="739" t="s">
        <v>2142</v>
      </c>
      <c r="H346" s="739" t="s">
        <v>166</v>
      </c>
      <c r="I346" s="676" t="s">
        <v>1004</v>
      </c>
      <c r="J346" s="573" t="s">
        <v>1010</v>
      </c>
      <c r="K346" s="573" t="s">
        <v>1011</v>
      </c>
      <c r="L346" s="687" t="s">
        <v>2146</v>
      </c>
      <c r="M346" s="571" t="s">
        <v>2032</v>
      </c>
      <c r="N346" s="571">
        <v>0</v>
      </c>
      <c r="O346" s="570">
        <f>+P346</f>
        <v>2</v>
      </c>
      <c r="P346" s="569">
        <v>2</v>
      </c>
      <c r="Q346" s="628">
        <v>0.16500000000000001</v>
      </c>
      <c r="R346" s="580">
        <f t="shared" si="282"/>
        <v>4.1250000000000002E-2</v>
      </c>
      <c r="S346" s="627">
        <v>2</v>
      </c>
      <c r="T346" s="625">
        <f t="shared" si="264"/>
        <v>0.25</v>
      </c>
      <c r="U346" s="992">
        <v>2</v>
      </c>
      <c r="V346" s="626">
        <f t="shared" si="265"/>
        <v>0.5</v>
      </c>
      <c r="W346" s="594">
        <f t="shared" si="266"/>
        <v>100</v>
      </c>
      <c r="X346" s="594">
        <f t="shared" si="283"/>
        <v>100</v>
      </c>
      <c r="Y346" s="594">
        <f t="shared" si="307"/>
        <v>4.1250000000000002E-2</v>
      </c>
      <c r="Z346" s="594">
        <f t="shared" si="284"/>
        <v>100</v>
      </c>
      <c r="AA346" s="593">
        <v>0</v>
      </c>
      <c r="AB346" s="593">
        <v>0</v>
      </c>
      <c r="AC346" s="593">
        <v>0</v>
      </c>
      <c r="AD346" s="593">
        <v>0</v>
      </c>
      <c r="AE346" s="593">
        <v>0</v>
      </c>
      <c r="AF346" s="593">
        <v>0</v>
      </c>
      <c r="AG346" s="593">
        <v>0</v>
      </c>
      <c r="AH346" s="593">
        <v>0</v>
      </c>
      <c r="AI346" s="593">
        <v>0</v>
      </c>
      <c r="AJ346" s="593">
        <v>0</v>
      </c>
      <c r="AK346" s="593">
        <v>0</v>
      </c>
      <c r="AL346" s="593">
        <v>0</v>
      </c>
      <c r="AM346" s="593">
        <v>0</v>
      </c>
      <c r="AN346" s="593">
        <v>0</v>
      </c>
      <c r="AO346" s="593">
        <v>0</v>
      </c>
      <c r="AP346" s="593">
        <v>0</v>
      </c>
      <c r="AQ346" s="593">
        <v>0</v>
      </c>
      <c r="AR346" s="593">
        <v>0</v>
      </c>
      <c r="AS346" s="593">
        <v>0</v>
      </c>
      <c r="AT346" s="570">
        <f t="shared" si="285"/>
        <v>4.1250000000000002E-2</v>
      </c>
      <c r="AU346" s="571">
        <v>2</v>
      </c>
      <c r="AV346" s="625">
        <f t="shared" si="267"/>
        <v>0.25</v>
      </c>
      <c r="AW346" s="1003">
        <v>2</v>
      </c>
      <c r="AX346" s="604">
        <f t="shared" si="268"/>
        <v>0.5</v>
      </c>
      <c r="AY346" s="604">
        <f t="shared" si="269"/>
        <v>100</v>
      </c>
      <c r="AZ346" s="604">
        <f t="shared" si="286"/>
        <v>100</v>
      </c>
      <c r="BA346" s="592">
        <f t="shared" si="287"/>
        <v>4.1250000000000002E-2</v>
      </c>
      <c r="BB346" s="592">
        <f t="shared" si="288"/>
        <v>100</v>
      </c>
      <c r="BC346" s="591">
        <v>440000000</v>
      </c>
      <c r="BD346" s="591">
        <v>0</v>
      </c>
      <c r="BE346" s="591">
        <v>65000000</v>
      </c>
      <c r="BF346" s="591">
        <v>0</v>
      </c>
      <c r="BG346" s="591">
        <v>0</v>
      </c>
      <c r="BH346" s="591">
        <v>0</v>
      </c>
      <c r="BI346" s="591">
        <v>0</v>
      </c>
      <c r="BJ346" s="591">
        <v>375000000</v>
      </c>
      <c r="BK346" s="624">
        <v>0</v>
      </c>
      <c r="BL346" s="589">
        <v>0</v>
      </c>
      <c r="BM346" s="589">
        <v>0</v>
      </c>
      <c r="BN346" s="589">
        <v>0</v>
      </c>
      <c r="BO346" s="589">
        <v>0</v>
      </c>
      <c r="BP346" s="589">
        <v>0</v>
      </c>
      <c r="BQ346" s="589">
        <v>0</v>
      </c>
      <c r="BR346" s="589">
        <v>0</v>
      </c>
      <c r="BS346" s="589">
        <v>0</v>
      </c>
      <c r="BT346" s="589">
        <v>0</v>
      </c>
      <c r="BU346" s="589">
        <v>0</v>
      </c>
      <c r="BV346" s="588">
        <f t="shared" si="289"/>
        <v>4.1250000000000002E-2</v>
      </c>
      <c r="BW346" s="588">
        <v>2</v>
      </c>
      <c r="BX346" s="623">
        <f t="shared" si="270"/>
        <v>0.25</v>
      </c>
      <c r="BY346" s="607">
        <v>2</v>
      </c>
      <c r="BZ346" s="629">
        <v>2</v>
      </c>
      <c r="CA346" s="1017">
        <v>2</v>
      </c>
      <c r="CB346" s="557">
        <f t="shared" si="271"/>
        <v>0.5</v>
      </c>
      <c r="CC346" s="557">
        <f t="shared" si="272"/>
        <v>100</v>
      </c>
      <c r="CD346" s="622">
        <f t="shared" si="290"/>
        <v>100</v>
      </c>
      <c r="CE346" s="621">
        <f t="shared" si="291"/>
        <v>4.1250000000000002E-2</v>
      </c>
      <c r="CF346" s="605">
        <f t="shared" si="292"/>
        <v>100</v>
      </c>
      <c r="CG346" s="621">
        <f t="shared" si="293"/>
        <v>4.1250000000000002E-2</v>
      </c>
      <c r="CH346" s="553">
        <f t="shared" si="294"/>
        <v>4.1250000000000002E-2</v>
      </c>
      <c r="CI346" s="552">
        <v>0</v>
      </c>
      <c r="CJ346" s="551">
        <f t="shared" si="273"/>
        <v>0.25</v>
      </c>
      <c r="CK346" s="875">
        <v>3</v>
      </c>
      <c r="CL346" s="533">
        <f t="shared" si="274"/>
        <v>-3</v>
      </c>
      <c r="CM346" s="619">
        <f t="shared" si="275"/>
        <v>0.75</v>
      </c>
      <c r="CN346" s="619">
        <f t="shared" si="276"/>
        <v>0</v>
      </c>
      <c r="CO346" s="619">
        <f t="shared" si="295"/>
        <v>0</v>
      </c>
      <c r="CP346" s="619">
        <f t="shared" si="296"/>
        <v>0</v>
      </c>
      <c r="CQ346" s="619">
        <f t="shared" si="297"/>
        <v>0</v>
      </c>
      <c r="CR346" s="546">
        <v>525000000</v>
      </c>
      <c r="CS346" s="546">
        <v>150000000</v>
      </c>
      <c r="CT346" s="546">
        <v>0</v>
      </c>
      <c r="CU346" s="546">
        <v>0</v>
      </c>
      <c r="CV346" s="546">
        <v>0</v>
      </c>
      <c r="CW346" s="546">
        <v>0</v>
      </c>
      <c r="CX346" s="546">
        <v>0</v>
      </c>
      <c r="CY346" s="546">
        <v>375000000</v>
      </c>
      <c r="CZ346" s="618">
        <v>0</v>
      </c>
      <c r="DA346" s="618">
        <v>0</v>
      </c>
      <c r="DB346" s="618">
        <v>0</v>
      </c>
      <c r="DC346" s="618">
        <v>0</v>
      </c>
      <c r="DD346" s="618">
        <v>0</v>
      </c>
      <c r="DE346" s="618">
        <v>0</v>
      </c>
      <c r="DF346" s="618">
        <v>0</v>
      </c>
      <c r="DG346" s="618">
        <v>0</v>
      </c>
      <c r="DH346" s="618">
        <v>0</v>
      </c>
      <c r="DI346" s="618">
        <v>0</v>
      </c>
      <c r="DJ346" s="618">
        <v>0</v>
      </c>
      <c r="DK346" s="1034">
        <f t="shared" si="277"/>
        <v>2.25</v>
      </c>
      <c r="DL346" s="543">
        <f t="shared" si="298"/>
        <v>0.16500000000000001</v>
      </c>
      <c r="DM346" s="542">
        <f t="shared" si="299"/>
        <v>112.5</v>
      </c>
      <c r="DN346" s="594">
        <f t="shared" si="300"/>
        <v>100</v>
      </c>
      <c r="DO346" s="540">
        <f t="shared" si="301"/>
        <v>0.16500000000000001</v>
      </c>
      <c r="DP346" s="597">
        <f>+IF(M346="M",DO346,0)</f>
        <v>0.16500000000000001</v>
      </c>
      <c r="DQ346" s="538">
        <f t="shared" si="302"/>
        <v>0.16500000000000001</v>
      </c>
      <c r="DR346" s="617">
        <f t="shared" si="303"/>
        <v>1</v>
      </c>
      <c r="DS346" s="616">
        <f t="shared" si="304"/>
        <v>0</v>
      </c>
      <c r="DT346" s="259">
        <v>398</v>
      </c>
      <c r="DU346" s="260" t="s">
        <v>264</v>
      </c>
      <c r="DV346" s="259"/>
      <c r="DW346" s="260" t="s">
        <v>242</v>
      </c>
      <c r="DX346" s="259"/>
      <c r="DY346" s="259"/>
      <c r="DZ346" s="259"/>
      <c r="EA346" s="987"/>
      <c r="EB346" s="1041" t="s">
        <v>2650</v>
      </c>
      <c r="EC346" s="802">
        <v>615000000</v>
      </c>
      <c r="EE346" s="1047"/>
    </row>
    <row r="347" spans="4:135" s="534" customFormat="1" ht="51" hidden="1" x14ac:dyDescent="0.3">
      <c r="D347" s="783">
        <v>344</v>
      </c>
      <c r="E347" s="799">
        <v>404</v>
      </c>
      <c r="F347" s="739" t="s">
        <v>201</v>
      </c>
      <c r="G347" s="739" t="s">
        <v>2142</v>
      </c>
      <c r="H347" s="739" t="s">
        <v>166</v>
      </c>
      <c r="I347" s="676" t="s">
        <v>1004</v>
      </c>
      <c r="J347" s="573" t="s">
        <v>1012</v>
      </c>
      <c r="K347" s="573" t="s">
        <v>1013</v>
      </c>
      <c r="L347" s="687" t="s">
        <v>2145</v>
      </c>
      <c r="M347" s="571" t="s">
        <v>2032</v>
      </c>
      <c r="N347" s="571">
        <v>0</v>
      </c>
      <c r="O347" s="570">
        <f>+P347</f>
        <v>100</v>
      </c>
      <c r="P347" s="569">
        <v>100</v>
      </c>
      <c r="Q347" s="628">
        <v>0.16500000000000001</v>
      </c>
      <c r="R347" s="580">
        <f t="shared" si="282"/>
        <v>4.1250000000000002E-2</v>
      </c>
      <c r="S347" s="627">
        <v>100</v>
      </c>
      <c r="T347" s="625">
        <f t="shared" si="264"/>
        <v>0.25</v>
      </c>
      <c r="U347" s="992">
        <v>100</v>
      </c>
      <c r="V347" s="626">
        <f t="shared" si="265"/>
        <v>25</v>
      </c>
      <c r="W347" s="594">
        <f t="shared" si="266"/>
        <v>100</v>
      </c>
      <c r="X347" s="594">
        <f t="shared" si="283"/>
        <v>100</v>
      </c>
      <c r="Y347" s="594">
        <f t="shared" si="307"/>
        <v>4.1250000000000002E-2</v>
      </c>
      <c r="Z347" s="594">
        <f t="shared" si="284"/>
        <v>100</v>
      </c>
      <c r="AA347" s="593">
        <v>3705000000</v>
      </c>
      <c r="AB347" s="593">
        <v>2918000000</v>
      </c>
      <c r="AC347" s="593">
        <v>0</v>
      </c>
      <c r="AD347" s="593">
        <v>787000000</v>
      </c>
      <c r="AE347" s="593">
        <v>0</v>
      </c>
      <c r="AF347" s="593">
        <v>0</v>
      </c>
      <c r="AG347" s="593">
        <v>0</v>
      </c>
      <c r="AH347" s="593">
        <v>0</v>
      </c>
      <c r="AI347" s="593">
        <v>1243000000</v>
      </c>
      <c r="AJ347" s="593">
        <v>1243000000</v>
      </c>
      <c r="AK347" s="593">
        <v>0</v>
      </c>
      <c r="AL347" s="593">
        <v>0</v>
      </c>
      <c r="AM347" s="593">
        <v>0</v>
      </c>
      <c r="AN347" s="593">
        <v>0</v>
      </c>
      <c r="AO347" s="593">
        <v>0</v>
      </c>
      <c r="AP347" s="593">
        <v>0</v>
      </c>
      <c r="AQ347" s="593">
        <v>0</v>
      </c>
      <c r="AR347" s="593">
        <v>0</v>
      </c>
      <c r="AS347" s="593">
        <v>0</v>
      </c>
      <c r="AT347" s="570">
        <f t="shared" si="285"/>
        <v>4.1250000000000002E-2</v>
      </c>
      <c r="AU347" s="571">
        <v>100</v>
      </c>
      <c r="AV347" s="625">
        <f t="shared" si="267"/>
        <v>0.25</v>
      </c>
      <c r="AW347" s="1003">
        <v>100</v>
      </c>
      <c r="AX347" s="604">
        <f t="shared" si="268"/>
        <v>25</v>
      </c>
      <c r="AY347" s="604">
        <f t="shared" si="269"/>
        <v>100</v>
      </c>
      <c r="AZ347" s="604">
        <f t="shared" si="286"/>
        <v>100</v>
      </c>
      <c r="BA347" s="592">
        <f t="shared" si="287"/>
        <v>4.1250000000000002E-2</v>
      </c>
      <c r="BB347" s="592">
        <f t="shared" si="288"/>
        <v>100</v>
      </c>
      <c r="BC347" s="591">
        <v>440000000</v>
      </c>
      <c r="BD347" s="591">
        <v>0</v>
      </c>
      <c r="BE347" s="591">
        <v>65000000</v>
      </c>
      <c r="BF347" s="591">
        <v>0</v>
      </c>
      <c r="BG347" s="591">
        <v>0</v>
      </c>
      <c r="BH347" s="591">
        <v>0</v>
      </c>
      <c r="BI347" s="591">
        <v>0</v>
      </c>
      <c r="BJ347" s="591">
        <v>375000000</v>
      </c>
      <c r="BK347" s="624">
        <v>1796651041</v>
      </c>
      <c r="BL347" s="589">
        <v>1796651041</v>
      </c>
      <c r="BM347" s="589">
        <v>0</v>
      </c>
      <c r="BN347" s="589">
        <v>0</v>
      </c>
      <c r="BO347" s="589">
        <v>0</v>
      </c>
      <c r="BP347" s="589">
        <v>0</v>
      </c>
      <c r="BQ347" s="589">
        <v>0</v>
      </c>
      <c r="BR347" s="589">
        <v>0</v>
      </c>
      <c r="BS347" s="589">
        <v>0</v>
      </c>
      <c r="BT347" s="589">
        <v>0</v>
      </c>
      <c r="BU347" s="589">
        <v>0</v>
      </c>
      <c r="BV347" s="588">
        <f t="shared" si="289"/>
        <v>4.1250000000000002E-2</v>
      </c>
      <c r="BW347" s="588">
        <v>100</v>
      </c>
      <c r="BX347" s="623">
        <f t="shared" si="270"/>
        <v>0.25</v>
      </c>
      <c r="BY347" s="607">
        <v>0</v>
      </c>
      <c r="BZ347" s="629">
        <v>0</v>
      </c>
      <c r="CA347" s="1017">
        <v>100</v>
      </c>
      <c r="CB347" s="557">
        <f t="shared" si="271"/>
        <v>25</v>
      </c>
      <c r="CC347" s="557">
        <f t="shared" si="272"/>
        <v>100</v>
      </c>
      <c r="CD347" s="622">
        <f t="shared" si="290"/>
        <v>100</v>
      </c>
      <c r="CE347" s="621">
        <f t="shared" si="291"/>
        <v>4.1250000000000002E-2</v>
      </c>
      <c r="CF347" s="605">
        <f t="shared" si="292"/>
        <v>100</v>
      </c>
      <c r="CG347" s="621">
        <f t="shared" si="293"/>
        <v>4.1250000000000002E-2</v>
      </c>
      <c r="CH347" s="553">
        <f t="shared" si="294"/>
        <v>4.1250000000000002E-2</v>
      </c>
      <c r="CI347" s="552">
        <v>100</v>
      </c>
      <c r="CJ347" s="551">
        <f t="shared" si="273"/>
        <v>0.25</v>
      </c>
      <c r="CK347" s="874">
        <v>100</v>
      </c>
      <c r="CL347" s="533">
        <f t="shared" si="274"/>
        <v>0</v>
      </c>
      <c r="CM347" s="619">
        <f t="shared" si="275"/>
        <v>25</v>
      </c>
      <c r="CN347" s="619">
        <f t="shared" si="276"/>
        <v>100</v>
      </c>
      <c r="CO347" s="619">
        <f t="shared" si="295"/>
        <v>100</v>
      </c>
      <c r="CP347" s="619">
        <f t="shared" si="296"/>
        <v>4.1250000000000002E-2</v>
      </c>
      <c r="CQ347" s="619">
        <f t="shared" si="297"/>
        <v>4.1250000000000002E-2</v>
      </c>
      <c r="CR347" s="546">
        <v>525000000</v>
      </c>
      <c r="CS347" s="546">
        <v>150000000</v>
      </c>
      <c r="CT347" s="546">
        <v>0</v>
      </c>
      <c r="CU347" s="546">
        <v>0</v>
      </c>
      <c r="CV347" s="546">
        <v>0</v>
      </c>
      <c r="CW347" s="546">
        <v>0</v>
      </c>
      <c r="CX347" s="546">
        <v>0</v>
      </c>
      <c r="CY347" s="546">
        <v>375000000</v>
      </c>
      <c r="CZ347" s="618">
        <v>0</v>
      </c>
      <c r="DA347" s="618">
        <v>0</v>
      </c>
      <c r="DB347" s="618">
        <v>0</v>
      </c>
      <c r="DC347" s="618">
        <v>0</v>
      </c>
      <c r="DD347" s="618">
        <v>0</v>
      </c>
      <c r="DE347" s="618">
        <v>0</v>
      </c>
      <c r="DF347" s="618">
        <v>0</v>
      </c>
      <c r="DG347" s="618">
        <v>0</v>
      </c>
      <c r="DH347" s="618">
        <v>0</v>
      </c>
      <c r="DI347" s="618">
        <v>0</v>
      </c>
      <c r="DJ347" s="618">
        <v>0</v>
      </c>
      <c r="DK347" s="1034">
        <f t="shared" si="277"/>
        <v>100</v>
      </c>
      <c r="DL347" s="543">
        <f t="shared" si="298"/>
        <v>0.16500000000000001</v>
      </c>
      <c r="DM347" s="542">
        <f t="shared" si="299"/>
        <v>100</v>
      </c>
      <c r="DN347" s="594">
        <f t="shared" si="300"/>
        <v>100</v>
      </c>
      <c r="DO347" s="540">
        <f t="shared" si="301"/>
        <v>0.16500000000000001</v>
      </c>
      <c r="DP347" s="597">
        <f>+IF(M347="M",DO347,0)</f>
        <v>0.16500000000000001</v>
      </c>
      <c r="DQ347" s="538">
        <f t="shared" si="302"/>
        <v>0.16500000000000001</v>
      </c>
      <c r="DR347" s="617">
        <f t="shared" si="303"/>
        <v>1</v>
      </c>
      <c r="DS347" s="616">
        <f t="shared" si="304"/>
        <v>0</v>
      </c>
      <c r="DT347" s="259">
        <v>397</v>
      </c>
      <c r="DU347" s="260" t="s">
        <v>265</v>
      </c>
      <c r="DV347" s="259"/>
      <c r="DW347" s="260" t="s">
        <v>242</v>
      </c>
      <c r="DX347" s="259"/>
      <c r="DY347" s="259"/>
      <c r="DZ347" s="259"/>
      <c r="EA347" s="987"/>
      <c r="EB347" s="1041" t="s">
        <v>2651</v>
      </c>
      <c r="EC347" s="802">
        <v>525000000</v>
      </c>
      <c r="EE347" s="1047"/>
    </row>
    <row r="348" spans="4:135" s="534" customFormat="1" ht="114.75" hidden="1" x14ac:dyDescent="0.3">
      <c r="D348" s="783">
        <v>345</v>
      </c>
      <c r="E348" s="799">
        <v>405</v>
      </c>
      <c r="F348" s="739" t="s">
        <v>201</v>
      </c>
      <c r="G348" s="739" t="s">
        <v>10</v>
      </c>
      <c r="H348" s="739" t="s">
        <v>166</v>
      </c>
      <c r="I348" s="676" t="s">
        <v>1004</v>
      </c>
      <c r="J348" s="573" t="s">
        <v>1014</v>
      </c>
      <c r="K348" s="573" t="s">
        <v>1015</v>
      </c>
      <c r="L348" s="687" t="s">
        <v>2012</v>
      </c>
      <c r="M348" s="571" t="s">
        <v>2017</v>
      </c>
      <c r="N348" s="571">
        <v>12</v>
      </c>
      <c r="O348" s="570">
        <f>+N348+P348</f>
        <v>52</v>
      </c>
      <c r="P348" s="569">
        <v>40</v>
      </c>
      <c r="Q348" s="628">
        <v>0.16500000000000001</v>
      </c>
      <c r="R348" s="580">
        <f t="shared" si="282"/>
        <v>1.6500000000000001E-2</v>
      </c>
      <c r="S348" s="627">
        <v>4</v>
      </c>
      <c r="T348" s="625">
        <f t="shared" si="264"/>
        <v>0.1</v>
      </c>
      <c r="U348" s="992">
        <v>4</v>
      </c>
      <c r="V348" s="626">
        <f t="shared" si="265"/>
        <v>4</v>
      </c>
      <c r="W348" s="594">
        <f t="shared" si="266"/>
        <v>100</v>
      </c>
      <c r="X348" s="594">
        <f t="shared" si="283"/>
        <v>100</v>
      </c>
      <c r="Y348" s="594">
        <f t="shared" si="307"/>
        <v>1.6500000000000001E-2</v>
      </c>
      <c r="Z348" s="594">
        <f t="shared" si="284"/>
        <v>100</v>
      </c>
      <c r="AA348" s="593">
        <v>40000000</v>
      </c>
      <c r="AB348" s="593">
        <v>40000000</v>
      </c>
      <c r="AC348" s="593">
        <v>0</v>
      </c>
      <c r="AD348" s="593">
        <v>0</v>
      </c>
      <c r="AE348" s="593">
        <v>0</v>
      </c>
      <c r="AF348" s="593">
        <v>0</v>
      </c>
      <c r="AG348" s="593">
        <v>0</v>
      </c>
      <c r="AH348" s="593">
        <v>0</v>
      </c>
      <c r="AI348" s="593">
        <v>37000000</v>
      </c>
      <c r="AJ348" s="593">
        <v>37000000</v>
      </c>
      <c r="AK348" s="593">
        <v>0</v>
      </c>
      <c r="AL348" s="593">
        <v>0</v>
      </c>
      <c r="AM348" s="593">
        <v>0</v>
      </c>
      <c r="AN348" s="593">
        <v>0</v>
      </c>
      <c r="AO348" s="593">
        <v>0</v>
      </c>
      <c r="AP348" s="593">
        <v>0</v>
      </c>
      <c r="AQ348" s="593">
        <v>0</v>
      </c>
      <c r="AR348" s="593">
        <v>0</v>
      </c>
      <c r="AS348" s="593">
        <v>0</v>
      </c>
      <c r="AT348" s="570">
        <f t="shared" si="285"/>
        <v>4.1250000000000002E-2</v>
      </c>
      <c r="AU348" s="571">
        <v>10</v>
      </c>
      <c r="AV348" s="625">
        <f t="shared" si="267"/>
        <v>0.25</v>
      </c>
      <c r="AW348" s="1003">
        <v>47</v>
      </c>
      <c r="AX348" s="604">
        <f t="shared" si="268"/>
        <v>47</v>
      </c>
      <c r="AY348" s="604">
        <f t="shared" si="269"/>
        <v>470</v>
      </c>
      <c r="AZ348" s="604">
        <f t="shared" si="286"/>
        <v>100</v>
      </c>
      <c r="BA348" s="592">
        <f t="shared" si="287"/>
        <v>4.1250000000000002E-2</v>
      </c>
      <c r="BB348" s="592">
        <f t="shared" si="288"/>
        <v>100</v>
      </c>
      <c r="BC348" s="591">
        <v>14000000</v>
      </c>
      <c r="BD348" s="591">
        <v>0</v>
      </c>
      <c r="BE348" s="591">
        <v>14000000</v>
      </c>
      <c r="BF348" s="591">
        <v>0</v>
      </c>
      <c r="BG348" s="591">
        <v>0</v>
      </c>
      <c r="BH348" s="591">
        <v>0</v>
      </c>
      <c r="BI348" s="591">
        <v>0</v>
      </c>
      <c r="BJ348" s="591">
        <v>0</v>
      </c>
      <c r="BK348" s="624">
        <v>0</v>
      </c>
      <c r="BL348" s="589">
        <v>0</v>
      </c>
      <c r="BM348" s="589">
        <v>0</v>
      </c>
      <c r="BN348" s="589">
        <v>0</v>
      </c>
      <c r="BO348" s="589">
        <v>0</v>
      </c>
      <c r="BP348" s="589">
        <v>0</v>
      </c>
      <c r="BQ348" s="589">
        <v>0</v>
      </c>
      <c r="BR348" s="589">
        <v>0</v>
      </c>
      <c r="BS348" s="589">
        <v>0</v>
      </c>
      <c r="BT348" s="589">
        <v>0</v>
      </c>
      <c r="BU348" s="589">
        <v>0</v>
      </c>
      <c r="BV348" s="588">
        <f t="shared" si="289"/>
        <v>4.5375000000000006E-2</v>
      </c>
      <c r="BW348" s="588">
        <v>11</v>
      </c>
      <c r="BX348" s="623">
        <f t="shared" si="270"/>
        <v>0.27500000000000002</v>
      </c>
      <c r="BY348" s="607">
        <v>4</v>
      </c>
      <c r="BZ348" s="629">
        <v>4</v>
      </c>
      <c r="CA348" s="1017">
        <v>13</v>
      </c>
      <c r="CB348" s="557">
        <f t="shared" si="271"/>
        <v>13</v>
      </c>
      <c r="CC348" s="557">
        <f t="shared" si="272"/>
        <v>118.18181818181819</v>
      </c>
      <c r="CD348" s="622">
        <f t="shared" si="290"/>
        <v>100</v>
      </c>
      <c r="CE348" s="621">
        <f t="shared" si="291"/>
        <v>4.5375000000000006E-2</v>
      </c>
      <c r="CF348" s="605">
        <f t="shared" si="292"/>
        <v>100</v>
      </c>
      <c r="CG348" s="621">
        <f t="shared" si="293"/>
        <v>5.3625000000000006E-2</v>
      </c>
      <c r="CH348" s="553">
        <f t="shared" si="294"/>
        <v>6.1874999999999999E-2</v>
      </c>
      <c r="CI348" s="552">
        <v>15</v>
      </c>
      <c r="CJ348" s="551">
        <f t="shared" si="273"/>
        <v>0.375</v>
      </c>
      <c r="CK348" s="874">
        <v>5</v>
      </c>
      <c r="CL348" s="533">
        <f t="shared" si="274"/>
        <v>10</v>
      </c>
      <c r="CM348" s="619">
        <f t="shared" si="275"/>
        <v>5</v>
      </c>
      <c r="CN348" s="619">
        <f t="shared" si="276"/>
        <v>33.333333333333336</v>
      </c>
      <c r="CO348" s="549">
        <f t="shared" si="295"/>
        <v>33.333333333333336</v>
      </c>
      <c r="CP348" s="619">
        <f t="shared" si="296"/>
        <v>2.0625000000000001E-2</v>
      </c>
      <c r="CQ348" s="619">
        <f t="shared" si="297"/>
        <v>2.0625000000000001E-2</v>
      </c>
      <c r="CR348" s="546">
        <v>31000000</v>
      </c>
      <c r="CS348" s="546">
        <v>31000000</v>
      </c>
      <c r="CT348" s="546">
        <v>0</v>
      </c>
      <c r="CU348" s="546">
        <v>0</v>
      </c>
      <c r="CV348" s="546">
        <v>0</v>
      </c>
      <c r="CW348" s="546">
        <v>0</v>
      </c>
      <c r="CX348" s="546">
        <v>0</v>
      </c>
      <c r="CY348" s="546">
        <v>0</v>
      </c>
      <c r="CZ348" s="618">
        <v>0</v>
      </c>
      <c r="DA348" s="618">
        <v>0</v>
      </c>
      <c r="DB348" s="618">
        <v>0</v>
      </c>
      <c r="DC348" s="618">
        <v>0</v>
      </c>
      <c r="DD348" s="618">
        <v>0</v>
      </c>
      <c r="DE348" s="618">
        <v>0</v>
      </c>
      <c r="DF348" s="618">
        <v>0</v>
      </c>
      <c r="DG348" s="618">
        <v>0</v>
      </c>
      <c r="DH348" s="618">
        <v>0</v>
      </c>
      <c r="DI348" s="618">
        <v>0</v>
      </c>
      <c r="DJ348" s="618">
        <v>0</v>
      </c>
      <c r="DK348" s="1034">
        <f t="shared" si="277"/>
        <v>69</v>
      </c>
      <c r="DL348" s="543">
        <f t="shared" si="298"/>
        <v>0.16500000000000001</v>
      </c>
      <c r="DM348" s="542">
        <f t="shared" si="299"/>
        <v>172.5</v>
      </c>
      <c r="DN348" s="594">
        <f t="shared" si="300"/>
        <v>100</v>
      </c>
      <c r="DO348" s="540">
        <f t="shared" si="301"/>
        <v>0.16500000000000001</v>
      </c>
      <c r="DP348" s="597">
        <f>+IF(((DN348*Q348)/100)&lt;Q348, ((DN348*Q348)/100),Q348)</f>
        <v>0.16500000000000001</v>
      </c>
      <c r="DQ348" s="538">
        <f t="shared" si="302"/>
        <v>0.16500000000000001</v>
      </c>
      <c r="DR348" s="617">
        <f t="shared" si="303"/>
        <v>1</v>
      </c>
      <c r="DS348" s="616">
        <f t="shared" si="304"/>
        <v>0</v>
      </c>
      <c r="DT348" s="259">
        <v>397</v>
      </c>
      <c r="DU348" s="260" t="s">
        <v>265</v>
      </c>
      <c r="DV348" s="259"/>
      <c r="DW348" s="260" t="s">
        <v>242</v>
      </c>
      <c r="DX348" s="259"/>
      <c r="DY348" s="259"/>
      <c r="DZ348" s="259"/>
      <c r="EA348" s="987"/>
      <c r="EB348" s="1041" t="s">
        <v>2652</v>
      </c>
      <c r="EC348" s="802">
        <v>31000000</v>
      </c>
      <c r="EE348" s="1047"/>
    </row>
    <row r="349" spans="4:135" s="534" customFormat="1" ht="51" hidden="1" x14ac:dyDescent="0.3">
      <c r="D349" s="783">
        <v>346</v>
      </c>
      <c r="E349" s="799">
        <v>406</v>
      </c>
      <c r="F349" s="739" t="s">
        <v>201</v>
      </c>
      <c r="G349" s="739" t="s">
        <v>10</v>
      </c>
      <c r="H349" s="739" t="s">
        <v>166</v>
      </c>
      <c r="I349" s="676" t="s">
        <v>1004</v>
      </c>
      <c r="J349" s="573" t="s">
        <v>1016</v>
      </c>
      <c r="K349" s="573" t="s">
        <v>1017</v>
      </c>
      <c r="L349" s="687" t="s">
        <v>2144</v>
      </c>
      <c r="M349" s="571" t="s">
        <v>2032</v>
      </c>
      <c r="N349" s="571">
        <v>100</v>
      </c>
      <c r="O349" s="570">
        <f>+P349</f>
        <v>100</v>
      </c>
      <c r="P349" s="569">
        <v>100</v>
      </c>
      <c r="Q349" s="628">
        <v>0.16500000000000001</v>
      </c>
      <c r="R349" s="580">
        <f t="shared" si="282"/>
        <v>4.1250000000000002E-2</v>
      </c>
      <c r="S349" s="627">
        <v>100</v>
      </c>
      <c r="T349" s="625">
        <f t="shared" si="264"/>
        <v>0.25</v>
      </c>
      <c r="U349" s="992">
        <v>100</v>
      </c>
      <c r="V349" s="626">
        <f t="shared" si="265"/>
        <v>25</v>
      </c>
      <c r="W349" s="594">
        <f t="shared" si="266"/>
        <v>100</v>
      </c>
      <c r="X349" s="594">
        <f t="shared" si="283"/>
        <v>100</v>
      </c>
      <c r="Y349" s="594">
        <f t="shared" si="307"/>
        <v>4.1250000000000002E-2</v>
      </c>
      <c r="Z349" s="594">
        <f t="shared" si="284"/>
        <v>100</v>
      </c>
      <c r="AA349" s="593">
        <v>462000000</v>
      </c>
      <c r="AB349" s="593">
        <v>442000000</v>
      </c>
      <c r="AC349" s="593">
        <v>0</v>
      </c>
      <c r="AD349" s="593">
        <v>20000000</v>
      </c>
      <c r="AE349" s="593">
        <v>0</v>
      </c>
      <c r="AF349" s="593">
        <v>0</v>
      </c>
      <c r="AG349" s="593">
        <v>0</v>
      </c>
      <c r="AH349" s="593">
        <v>0</v>
      </c>
      <c r="AI349" s="593">
        <v>359965000</v>
      </c>
      <c r="AJ349" s="593">
        <v>359965000</v>
      </c>
      <c r="AK349" s="593">
        <v>0</v>
      </c>
      <c r="AL349" s="593">
        <v>0</v>
      </c>
      <c r="AM349" s="593">
        <v>0</v>
      </c>
      <c r="AN349" s="593">
        <v>0</v>
      </c>
      <c r="AO349" s="593">
        <v>0</v>
      </c>
      <c r="AP349" s="593">
        <v>0</v>
      </c>
      <c r="AQ349" s="593">
        <v>0</v>
      </c>
      <c r="AR349" s="593">
        <v>0</v>
      </c>
      <c r="AS349" s="593">
        <v>0</v>
      </c>
      <c r="AT349" s="570">
        <f t="shared" si="285"/>
        <v>4.1250000000000002E-2</v>
      </c>
      <c r="AU349" s="571">
        <v>100</v>
      </c>
      <c r="AV349" s="625">
        <f t="shared" si="267"/>
        <v>0.25</v>
      </c>
      <c r="AW349" s="1003">
        <v>100</v>
      </c>
      <c r="AX349" s="604">
        <f t="shared" si="268"/>
        <v>25</v>
      </c>
      <c r="AY349" s="604">
        <f t="shared" si="269"/>
        <v>100</v>
      </c>
      <c r="AZ349" s="604">
        <f t="shared" si="286"/>
        <v>100</v>
      </c>
      <c r="BA349" s="592">
        <f t="shared" si="287"/>
        <v>4.1250000000000002E-2</v>
      </c>
      <c r="BB349" s="592">
        <f t="shared" si="288"/>
        <v>100</v>
      </c>
      <c r="BC349" s="591">
        <v>591000000</v>
      </c>
      <c r="BD349" s="591">
        <v>0</v>
      </c>
      <c r="BE349" s="591">
        <v>591000000</v>
      </c>
      <c r="BF349" s="591">
        <v>0</v>
      </c>
      <c r="BG349" s="591">
        <v>0</v>
      </c>
      <c r="BH349" s="591">
        <v>0</v>
      </c>
      <c r="BI349" s="591">
        <v>0</v>
      </c>
      <c r="BJ349" s="591">
        <v>0</v>
      </c>
      <c r="BK349" s="624">
        <v>234233807</v>
      </c>
      <c r="BL349" s="589">
        <v>234233807</v>
      </c>
      <c r="BM349" s="589">
        <v>0</v>
      </c>
      <c r="BN349" s="589">
        <v>0</v>
      </c>
      <c r="BO349" s="589">
        <v>0</v>
      </c>
      <c r="BP349" s="589">
        <v>0</v>
      </c>
      <c r="BQ349" s="589">
        <v>0</v>
      </c>
      <c r="BR349" s="589">
        <v>0</v>
      </c>
      <c r="BS349" s="589">
        <v>0</v>
      </c>
      <c r="BT349" s="589">
        <v>0</v>
      </c>
      <c r="BU349" s="589">
        <v>0</v>
      </c>
      <c r="BV349" s="588">
        <f t="shared" si="289"/>
        <v>4.1250000000000002E-2</v>
      </c>
      <c r="BW349" s="588">
        <v>100</v>
      </c>
      <c r="BX349" s="623">
        <f t="shared" si="270"/>
        <v>0.25</v>
      </c>
      <c r="BY349" s="607">
        <v>100</v>
      </c>
      <c r="BZ349" s="629">
        <v>100</v>
      </c>
      <c r="CA349" s="1017">
        <v>100</v>
      </c>
      <c r="CB349" s="557">
        <f t="shared" si="271"/>
        <v>25</v>
      </c>
      <c r="CC349" s="557">
        <f t="shared" si="272"/>
        <v>100</v>
      </c>
      <c r="CD349" s="622">
        <f t="shared" si="290"/>
        <v>100</v>
      </c>
      <c r="CE349" s="621">
        <f t="shared" si="291"/>
        <v>4.1250000000000002E-2</v>
      </c>
      <c r="CF349" s="605">
        <f t="shared" si="292"/>
        <v>100</v>
      </c>
      <c r="CG349" s="621">
        <f t="shared" si="293"/>
        <v>4.1250000000000002E-2</v>
      </c>
      <c r="CH349" s="553">
        <f t="shared" si="294"/>
        <v>4.1250000000000002E-2</v>
      </c>
      <c r="CI349" s="552">
        <v>100</v>
      </c>
      <c r="CJ349" s="551">
        <f t="shared" si="273"/>
        <v>0.25</v>
      </c>
      <c r="CK349" s="874">
        <v>100</v>
      </c>
      <c r="CL349" s="533">
        <f t="shared" si="274"/>
        <v>0</v>
      </c>
      <c r="CM349" s="619">
        <f t="shared" si="275"/>
        <v>25</v>
      </c>
      <c r="CN349" s="619">
        <f t="shared" si="276"/>
        <v>100</v>
      </c>
      <c r="CO349" s="619">
        <f t="shared" si="295"/>
        <v>100</v>
      </c>
      <c r="CP349" s="619">
        <f t="shared" si="296"/>
        <v>4.1250000000000002E-2</v>
      </c>
      <c r="CQ349" s="619">
        <f t="shared" si="297"/>
        <v>4.1250000000000002E-2</v>
      </c>
      <c r="CR349" s="546">
        <v>665000000</v>
      </c>
      <c r="CS349" s="546">
        <v>665000000</v>
      </c>
      <c r="CT349" s="546">
        <v>0</v>
      </c>
      <c r="CU349" s="546">
        <v>0</v>
      </c>
      <c r="CV349" s="546">
        <v>0</v>
      </c>
      <c r="CW349" s="546">
        <v>0</v>
      </c>
      <c r="CX349" s="546">
        <v>0</v>
      </c>
      <c r="CY349" s="546">
        <v>0</v>
      </c>
      <c r="CZ349" s="618">
        <v>0</v>
      </c>
      <c r="DA349" s="618">
        <v>0</v>
      </c>
      <c r="DB349" s="618">
        <v>0</v>
      </c>
      <c r="DC349" s="618">
        <v>0</v>
      </c>
      <c r="DD349" s="618">
        <v>0</v>
      </c>
      <c r="DE349" s="618">
        <v>0</v>
      </c>
      <c r="DF349" s="618">
        <v>0</v>
      </c>
      <c r="DG349" s="618">
        <v>0</v>
      </c>
      <c r="DH349" s="618">
        <v>0</v>
      </c>
      <c r="DI349" s="618">
        <v>0</v>
      </c>
      <c r="DJ349" s="618">
        <v>0</v>
      </c>
      <c r="DK349" s="1034">
        <f t="shared" si="277"/>
        <v>100</v>
      </c>
      <c r="DL349" s="543">
        <f t="shared" si="298"/>
        <v>0.16500000000000001</v>
      </c>
      <c r="DM349" s="542">
        <f t="shared" si="299"/>
        <v>100</v>
      </c>
      <c r="DN349" s="594">
        <f t="shared" si="300"/>
        <v>100</v>
      </c>
      <c r="DO349" s="540">
        <f t="shared" si="301"/>
        <v>0.16500000000000001</v>
      </c>
      <c r="DP349" s="597">
        <f>+IF(M349="M",DO349,0)</f>
        <v>0.16500000000000001</v>
      </c>
      <c r="DQ349" s="538">
        <f t="shared" si="302"/>
        <v>0.16500000000000001</v>
      </c>
      <c r="DR349" s="617">
        <f t="shared" si="303"/>
        <v>1</v>
      </c>
      <c r="DS349" s="616">
        <f t="shared" si="304"/>
        <v>0</v>
      </c>
      <c r="DT349" s="259">
        <v>397</v>
      </c>
      <c r="DU349" s="260" t="s">
        <v>265</v>
      </c>
      <c r="DV349" s="259"/>
      <c r="DW349" s="260" t="s">
        <v>242</v>
      </c>
      <c r="DX349" s="259"/>
      <c r="DY349" s="259"/>
      <c r="DZ349" s="259"/>
      <c r="EA349" s="987"/>
      <c r="EB349" s="1041" t="s">
        <v>2653</v>
      </c>
      <c r="EC349" s="802">
        <v>665000000</v>
      </c>
      <c r="EE349" s="1047"/>
    </row>
    <row r="350" spans="4:135" s="534" customFormat="1" ht="114.75" hidden="1" x14ac:dyDescent="0.3">
      <c r="D350" s="783">
        <v>347</v>
      </c>
      <c r="E350" s="799">
        <v>407</v>
      </c>
      <c r="F350" s="574" t="s">
        <v>201</v>
      </c>
      <c r="G350" s="574" t="s">
        <v>10</v>
      </c>
      <c r="H350" s="574" t="s">
        <v>166</v>
      </c>
      <c r="I350" s="574" t="s">
        <v>1004</v>
      </c>
      <c r="J350" s="573" t="s">
        <v>1455</v>
      </c>
      <c r="K350" s="573" t="s">
        <v>1018</v>
      </c>
      <c r="L350" s="687" t="s">
        <v>2143</v>
      </c>
      <c r="M350" s="571" t="s">
        <v>2017</v>
      </c>
      <c r="N350" s="571">
        <v>96</v>
      </c>
      <c r="O350" s="570">
        <f t="shared" ref="O350:O373" si="308">+N350+P350</f>
        <v>216</v>
      </c>
      <c r="P350" s="569">
        <v>120</v>
      </c>
      <c r="Q350" s="631">
        <v>0.16500000000000001</v>
      </c>
      <c r="R350" s="659">
        <f t="shared" si="282"/>
        <v>0</v>
      </c>
      <c r="S350" s="627">
        <v>0</v>
      </c>
      <c r="T350" s="625">
        <f t="shared" si="264"/>
        <v>0</v>
      </c>
      <c r="U350" s="992">
        <v>0</v>
      </c>
      <c r="V350" s="626">
        <f t="shared" si="265"/>
        <v>0</v>
      </c>
      <c r="W350" s="594">
        <f t="shared" si="266"/>
        <v>0</v>
      </c>
      <c r="X350" s="594">
        <f t="shared" si="283"/>
        <v>0</v>
      </c>
      <c r="Y350" s="594">
        <f t="shared" si="307"/>
        <v>0</v>
      </c>
      <c r="Z350" s="594">
        <f t="shared" si="284"/>
        <v>0</v>
      </c>
      <c r="AA350" s="593">
        <v>1000000000</v>
      </c>
      <c r="AB350" s="593">
        <v>1000000000</v>
      </c>
      <c r="AC350" s="593">
        <v>0</v>
      </c>
      <c r="AD350" s="593">
        <v>0</v>
      </c>
      <c r="AE350" s="593">
        <v>0</v>
      </c>
      <c r="AF350" s="593">
        <v>0</v>
      </c>
      <c r="AG350" s="593">
        <v>0</v>
      </c>
      <c r="AH350" s="593">
        <v>0</v>
      </c>
      <c r="AI350" s="593">
        <v>0</v>
      </c>
      <c r="AJ350" s="593">
        <v>0</v>
      </c>
      <c r="AK350" s="593">
        <v>0</v>
      </c>
      <c r="AL350" s="593">
        <v>0</v>
      </c>
      <c r="AM350" s="593">
        <v>0</v>
      </c>
      <c r="AN350" s="593">
        <v>0</v>
      </c>
      <c r="AO350" s="593">
        <v>0</v>
      </c>
      <c r="AP350" s="593">
        <v>0</v>
      </c>
      <c r="AQ350" s="593">
        <v>0</v>
      </c>
      <c r="AR350" s="593">
        <v>0</v>
      </c>
      <c r="AS350" s="593">
        <v>0</v>
      </c>
      <c r="AT350" s="630">
        <f t="shared" si="285"/>
        <v>6.8750000000000006E-2</v>
      </c>
      <c r="AU350" s="571">
        <v>50</v>
      </c>
      <c r="AV350" s="625">
        <f t="shared" si="267"/>
        <v>0.41666666666666669</v>
      </c>
      <c r="AW350" s="1003">
        <v>55</v>
      </c>
      <c r="AX350" s="604">
        <f t="shared" si="268"/>
        <v>55</v>
      </c>
      <c r="AY350" s="604">
        <f t="shared" si="269"/>
        <v>110</v>
      </c>
      <c r="AZ350" s="604">
        <f t="shared" si="286"/>
        <v>100</v>
      </c>
      <c r="BA350" s="592">
        <f t="shared" si="287"/>
        <v>6.8750000000000006E-2</v>
      </c>
      <c r="BB350" s="592">
        <f t="shared" si="288"/>
        <v>100</v>
      </c>
      <c r="BC350" s="591">
        <v>850000000</v>
      </c>
      <c r="BD350" s="591">
        <v>0</v>
      </c>
      <c r="BE350" s="591">
        <v>850000000</v>
      </c>
      <c r="BF350" s="591">
        <v>0</v>
      </c>
      <c r="BG350" s="591">
        <v>0</v>
      </c>
      <c r="BH350" s="591">
        <v>0</v>
      </c>
      <c r="BI350" s="591">
        <v>0</v>
      </c>
      <c r="BJ350" s="591">
        <v>0</v>
      </c>
      <c r="BK350" s="624">
        <v>2928567520</v>
      </c>
      <c r="BL350" s="589">
        <v>2168567520</v>
      </c>
      <c r="BM350" s="589">
        <v>0</v>
      </c>
      <c r="BN350" s="589">
        <v>760000000</v>
      </c>
      <c r="BO350" s="589">
        <v>0</v>
      </c>
      <c r="BP350" s="589">
        <v>0</v>
      </c>
      <c r="BQ350" s="589">
        <v>0</v>
      </c>
      <c r="BR350" s="589">
        <v>0</v>
      </c>
      <c r="BS350" s="589">
        <v>0</v>
      </c>
      <c r="BT350" s="589">
        <v>0</v>
      </c>
      <c r="BU350" s="589">
        <v>0</v>
      </c>
      <c r="BV350" s="588">
        <f t="shared" si="289"/>
        <v>5.5E-2</v>
      </c>
      <c r="BW350" s="588">
        <v>40</v>
      </c>
      <c r="BX350" s="623">
        <f t="shared" si="270"/>
        <v>0.33333333333333331</v>
      </c>
      <c r="BY350" s="607">
        <v>0</v>
      </c>
      <c r="BZ350" s="629">
        <v>0</v>
      </c>
      <c r="CA350" s="1017">
        <v>44</v>
      </c>
      <c r="CB350" s="557">
        <f t="shared" si="271"/>
        <v>44</v>
      </c>
      <c r="CC350" s="557">
        <f t="shared" si="272"/>
        <v>110</v>
      </c>
      <c r="CD350" s="622">
        <f t="shared" si="290"/>
        <v>100</v>
      </c>
      <c r="CE350" s="621">
        <f t="shared" si="291"/>
        <v>5.5E-2</v>
      </c>
      <c r="CF350" s="605">
        <f t="shared" si="292"/>
        <v>100</v>
      </c>
      <c r="CG350" s="621">
        <f t="shared" si="293"/>
        <v>6.0499999999999998E-2</v>
      </c>
      <c r="CH350" s="553">
        <f t="shared" si="294"/>
        <v>4.1250000000000002E-2</v>
      </c>
      <c r="CI350" s="552">
        <v>30</v>
      </c>
      <c r="CJ350" s="551">
        <f t="shared" si="273"/>
        <v>0.25</v>
      </c>
      <c r="CK350" s="874">
        <v>0</v>
      </c>
      <c r="CL350" s="533">
        <f t="shared" si="274"/>
        <v>30</v>
      </c>
      <c r="CM350" s="619">
        <f t="shared" si="275"/>
        <v>0</v>
      </c>
      <c r="CN350" s="619">
        <f t="shared" si="276"/>
        <v>0</v>
      </c>
      <c r="CO350" s="549">
        <f t="shared" si="295"/>
        <v>0</v>
      </c>
      <c r="CP350" s="619">
        <f t="shared" si="296"/>
        <v>0</v>
      </c>
      <c r="CQ350" s="619">
        <f t="shared" si="297"/>
        <v>0</v>
      </c>
      <c r="CR350" s="546">
        <v>0</v>
      </c>
      <c r="CS350" s="546">
        <v>0</v>
      </c>
      <c r="CT350" s="546">
        <v>0</v>
      </c>
      <c r="CU350" s="546">
        <v>0</v>
      </c>
      <c r="CV350" s="546">
        <v>0</v>
      </c>
      <c r="CW350" s="546">
        <v>0</v>
      </c>
      <c r="CX350" s="546">
        <v>0</v>
      </c>
      <c r="CY350" s="546">
        <v>0</v>
      </c>
      <c r="CZ350" s="618">
        <v>0</v>
      </c>
      <c r="DA350" s="618">
        <v>0</v>
      </c>
      <c r="DB350" s="618">
        <v>0</v>
      </c>
      <c r="DC350" s="618">
        <v>0</v>
      </c>
      <c r="DD350" s="618">
        <v>0</v>
      </c>
      <c r="DE350" s="618">
        <v>0</v>
      </c>
      <c r="DF350" s="618">
        <v>0</v>
      </c>
      <c r="DG350" s="618">
        <v>0</v>
      </c>
      <c r="DH350" s="618">
        <v>0</v>
      </c>
      <c r="DI350" s="618">
        <v>0</v>
      </c>
      <c r="DJ350" s="618">
        <v>0</v>
      </c>
      <c r="DK350" s="1034">
        <f t="shared" si="277"/>
        <v>99</v>
      </c>
      <c r="DL350" s="543">
        <f t="shared" si="298"/>
        <v>0.16500000000000001</v>
      </c>
      <c r="DM350" s="542">
        <f t="shared" si="299"/>
        <v>82.5</v>
      </c>
      <c r="DN350" s="594">
        <f t="shared" si="300"/>
        <v>82.5</v>
      </c>
      <c r="DO350" s="540">
        <f t="shared" si="301"/>
        <v>0.136125</v>
      </c>
      <c r="DP350" s="597">
        <f t="shared" ref="DP350:DP373" si="309">+IF(((DN350*Q350)/100)&lt;Q350, ((DN350*Q350)/100),Q350)</f>
        <v>0.136125</v>
      </c>
      <c r="DQ350" s="538">
        <f t="shared" si="302"/>
        <v>0.136125</v>
      </c>
      <c r="DR350" s="617">
        <f t="shared" si="303"/>
        <v>1</v>
      </c>
      <c r="DS350" s="616">
        <f t="shared" si="304"/>
        <v>0</v>
      </c>
      <c r="DT350" s="259">
        <v>397</v>
      </c>
      <c r="DU350" s="260" t="s">
        <v>265</v>
      </c>
      <c r="DV350" s="259"/>
      <c r="DW350" s="260" t="s">
        <v>242</v>
      </c>
      <c r="DX350" s="259"/>
      <c r="DY350" s="259"/>
      <c r="DZ350" s="259"/>
      <c r="EA350" s="987"/>
      <c r="EB350" s="1041" t="s">
        <v>2654</v>
      </c>
      <c r="EC350" s="802">
        <v>350000000</v>
      </c>
      <c r="EE350" s="1047"/>
    </row>
    <row r="351" spans="4:135" s="534" customFormat="1" ht="63.75" hidden="1" x14ac:dyDescent="0.3">
      <c r="D351" s="783">
        <v>348</v>
      </c>
      <c r="E351" s="799">
        <v>408</v>
      </c>
      <c r="F351" s="739" t="s">
        <v>201</v>
      </c>
      <c r="G351" s="739" t="s">
        <v>2142</v>
      </c>
      <c r="H351" s="739" t="s">
        <v>166</v>
      </c>
      <c r="I351" s="676" t="s">
        <v>1004</v>
      </c>
      <c r="J351" s="573" t="s">
        <v>1019</v>
      </c>
      <c r="K351" s="573" t="s">
        <v>1020</v>
      </c>
      <c r="L351" s="687" t="s">
        <v>2040</v>
      </c>
      <c r="M351" s="571" t="s">
        <v>2017</v>
      </c>
      <c r="N351" s="571">
        <v>0</v>
      </c>
      <c r="O351" s="570">
        <f t="shared" si="308"/>
        <v>35</v>
      </c>
      <c r="P351" s="569">
        <v>35</v>
      </c>
      <c r="Q351" s="628">
        <v>0.16500000000000001</v>
      </c>
      <c r="R351" s="580">
        <f t="shared" si="282"/>
        <v>0</v>
      </c>
      <c r="S351" s="627">
        <v>0</v>
      </c>
      <c r="T351" s="625">
        <f t="shared" si="264"/>
        <v>0</v>
      </c>
      <c r="U351" s="992">
        <v>0</v>
      </c>
      <c r="V351" s="626">
        <f t="shared" si="265"/>
        <v>0</v>
      </c>
      <c r="W351" s="594">
        <f t="shared" si="266"/>
        <v>0</v>
      </c>
      <c r="X351" s="594">
        <f t="shared" si="283"/>
        <v>0</v>
      </c>
      <c r="Y351" s="594">
        <f t="shared" si="307"/>
        <v>0</v>
      </c>
      <c r="Z351" s="594">
        <f t="shared" si="284"/>
        <v>0</v>
      </c>
      <c r="AA351" s="593">
        <v>0</v>
      </c>
      <c r="AB351" s="593">
        <v>0</v>
      </c>
      <c r="AC351" s="593">
        <v>0</v>
      </c>
      <c r="AD351" s="593">
        <v>0</v>
      </c>
      <c r="AE351" s="593">
        <v>0</v>
      </c>
      <c r="AF351" s="593">
        <v>0</v>
      </c>
      <c r="AG351" s="593">
        <v>0</v>
      </c>
      <c r="AH351" s="593">
        <v>0</v>
      </c>
      <c r="AI351" s="593">
        <v>0</v>
      </c>
      <c r="AJ351" s="593">
        <v>0</v>
      </c>
      <c r="AK351" s="593">
        <v>0</v>
      </c>
      <c r="AL351" s="593">
        <v>0</v>
      </c>
      <c r="AM351" s="593">
        <v>0</v>
      </c>
      <c r="AN351" s="593">
        <v>0</v>
      </c>
      <c r="AO351" s="593">
        <v>0</v>
      </c>
      <c r="AP351" s="593">
        <v>0</v>
      </c>
      <c r="AQ351" s="593">
        <v>0</v>
      </c>
      <c r="AR351" s="593">
        <v>0</v>
      </c>
      <c r="AS351" s="593">
        <v>0</v>
      </c>
      <c r="AT351" s="570">
        <f t="shared" si="285"/>
        <v>2.357142857142857E-2</v>
      </c>
      <c r="AU351" s="571">
        <v>5</v>
      </c>
      <c r="AV351" s="625">
        <f t="shared" si="267"/>
        <v>0.14285714285714285</v>
      </c>
      <c r="AW351" s="1003">
        <v>63</v>
      </c>
      <c r="AX351" s="604">
        <f t="shared" si="268"/>
        <v>63</v>
      </c>
      <c r="AY351" s="604">
        <f t="shared" si="269"/>
        <v>1260</v>
      </c>
      <c r="AZ351" s="604">
        <f t="shared" si="286"/>
        <v>100</v>
      </c>
      <c r="BA351" s="592">
        <f t="shared" si="287"/>
        <v>2.3571428571428566E-2</v>
      </c>
      <c r="BB351" s="592">
        <f t="shared" si="288"/>
        <v>100</v>
      </c>
      <c r="BC351" s="591">
        <v>0</v>
      </c>
      <c r="BD351" s="591">
        <v>0</v>
      </c>
      <c r="BE351" s="591">
        <v>0</v>
      </c>
      <c r="BF351" s="591">
        <v>0</v>
      </c>
      <c r="BG351" s="591">
        <v>0</v>
      </c>
      <c r="BH351" s="591">
        <v>0</v>
      </c>
      <c r="BI351" s="591">
        <v>0</v>
      </c>
      <c r="BJ351" s="591">
        <v>0</v>
      </c>
      <c r="BK351" s="624">
        <v>1285150000</v>
      </c>
      <c r="BL351" s="589">
        <v>1285150000</v>
      </c>
      <c r="BM351" s="589">
        <v>0</v>
      </c>
      <c r="BN351" s="589">
        <v>0</v>
      </c>
      <c r="BO351" s="589">
        <v>0</v>
      </c>
      <c r="BP351" s="589">
        <v>0</v>
      </c>
      <c r="BQ351" s="589">
        <v>0</v>
      </c>
      <c r="BR351" s="589">
        <v>0</v>
      </c>
      <c r="BS351" s="589">
        <v>0</v>
      </c>
      <c r="BT351" s="589">
        <v>0</v>
      </c>
      <c r="BU351" s="589">
        <v>0</v>
      </c>
      <c r="BV351" s="588">
        <f t="shared" si="289"/>
        <v>7.0714285714285716E-2</v>
      </c>
      <c r="BW351" s="588">
        <v>15</v>
      </c>
      <c r="BX351" s="623">
        <f t="shared" si="270"/>
        <v>0.42857142857142855</v>
      </c>
      <c r="BY351" s="587">
        <v>120</v>
      </c>
      <c r="BZ351" s="645">
        <v>120</v>
      </c>
      <c r="CA351" s="1017">
        <v>120</v>
      </c>
      <c r="CB351" s="557">
        <f t="shared" si="271"/>
        <v>120</v>
      </c>
      <c r="CC351" s="557">
        <f t="shared" si="272"/>
        <v>800</v>
      </c>
      <c r="CD351" s="622">
        <f t="shared" si="290"/>
        <v>100</v>
      </c>
      <c r="CE351" s="621">
        <f t="shared" si="291"/>
        <v>7.0714285714285716E-2</v>
      </c>
      <c r="CF351" s="605">
        <f t="shared" si="292"/>
        <v>100</v>
      </c>
      <c r="CG351" s="621">
        <f t="shared" si="293"/>
        <v>0.56571428571428573</v>
      </c>
      <c r="CH351" s="553">
        <f t="shared" si="294"/>
        <v>7.0714285714285716E-2</v>
      </c>
      <c r="CI351" s="552">
        <v>15</v>
      </c>
      <c r="CJ351" s="551">
        <f t="shared" si="273"/>
        <v>0.42857142857142855</v>
      </c>
      <c r="CK351" s="874">
        <v>2</v>
      </c>
      <c r="CL351" s="533">
        <f t="shared" si="274"/>
        <v>13</v>
      </c>
      <c r="CM351" s="619">
        <f t="shared" si="275"/>
        <v>2</v>
      </c>
      <c r="CN351" s="619">
        <f t="shared" si="276"/>
        <v>13.333333333333334</v>
      </c>
      <c r="CO351" s="549">
        <f t="shared" si="295"/>
        <v>13.333333333333334</v>
      </c>
      <c r="CP351" s="619">
        <f t="shared" si="296"/>
        <v>9.4285714285714303E-3</v>
      </c>
      <c r="CQ351" s="619">
        <f t="shared" si="297"/>
        <v>9.4285714285714303E-3</v>
      </c>
      <c r="CR351" s="546">
        <v>0</v>
      </c>
      <c r="CS351" s="546">
        <v>0</v>
      </c>
      <c r="CT351" s="546">
        <v>0</v>
      </c>
      <c r="CU351" s="546">
        <v>0</v>
      </c>
      <c r="CV351" s="546">
        <v>0</v>
      </c>
      <c r="CW351" s="546">
        <v>0</v>
      </c>
      <c r="CX351" s="546">
        <v>0</v>
      </c>
      <c r="CY351" s="546">
        <v>0</v>
      </c>
      <c r="CZ351" s="618">
        <v>0</v>
      </c>
      <c r="DA351" s="618">
        <v>0</v>
      </c>
      <c r="DB351" s="618">
        <v>0</v>
      </c>
      <c r="DC351" s="618">
        <v>0</v>
      </c>
      <c r="DD351" s="618">
        <v>0</v>
      </c>
      <c r="DE351" s="618">
        <v>0</v>
      </c>
      <c r="DF351" s="618">
        <v>0</v>
      </c>
      <c r="DG351" s="618">
        <v>0</v>
      </c>
      <c r="DH351" s="618">
        <v>0</v>
      </c>
      <c r="DI351" s="618">
        <v>0</v>
      </c>
      <c r="DJ351" s="618">
        <v>0</v>
      </c>
      <c r="DK351" s="1034">
        <f t="shared" si="277"/>
        <v>185</v>
      </c>
      <c r="DL351" s="543">
        <f t="shared" si="298"/>
        <v>0.16499999999999998</v>
      </c>
      <c r="DM351" s="542">
        <f t="shared" si="299"/>
        <v>528.57142857142856</v>
      </c>
      <c r="DN351" s="594">
        <f t="shared" si="300"/>
        <v>100</v>
      </c>
      <c r="DO351" s="540">
        <f t="shared" si="301"/>
        <v>0.16500000000000001</v>
      </c>
      <c r="DP351" s="597">
        <f t="shared" si="309"/>
        <v>0.16500000000000001</v>
      </c>
      <c r="DQ351" s="538">
        <f t="shared" si="302"/>
        <v>0.16500000000000001</v>
      </c>
      <c r="DR351" s="617">
        <f t="shared" si="303"/>
        <v>1</v>
      </c>
      <c r="DS351" s="616">
        <f t="shared" si="304"/>
        <v>0</v>
      </c>
      <c r="DT351" s="259">
        <v>398</v>
      </c>
      <c r="DU351" s="260" t="s">
        <v>264</v>
      </c>
      <c r="DV351" s="259"/>
      <c r="DW351" s="260" t="s">
        <v>242</v>
      </c>
      <c r="DX351" s="259"/>
      <c r="DY351" s="259"/>
      <c r="DZ351" s="259"/>
      <c r="EA351" s="987"/>
      <c r="EB351" s="1041" t="s">
        <v>2655</v>
      </c>
      <c r="EC351" s="802">
        <v>0</v>
      </c>
      <c r="EE351" s="1047"/>
    </row>
    <row r="352" spans="4:135" s="534" customFormat="1" ht="191.25" hidden="1" x14ac:dyDescent="0.3">
      <c r="D352" s="783">
        <v>349</v>
      </c>
      <c r="E352" s="799">
        <v>409</v>
      </c>
      <c r="F352" s="739" t="s">
        <v>201</v>
      </c>
      <c r="G352" s="739" t="s">
        <v>18</v>
      </c>
      <c r="H352" s="739" t="s">
        <v>166</v>
      </c>
      <c r="I352" s="676" t="s">
        <v>1021</v>
      </c>
      <c r="J352" s="573" t="s">
        <v>1022</v>
      </c>
      <c r="K352" s="573" t="s">
        <v>1023</v>
      </c>
      <c r="L352" s="687" t="s">
        <v>2019</v>
      </c>
      <c r="M352" s="571" t="s">
        <v>2017</v>
      </c>
      <c r="N352" s="571">
        <v>0</v>
      </c>
      <c r="O352" s="570">
        <f t="shared" si="308"/>
        <v>2</v>
      </c>
      <c r="P352" s="569">
        <v>2</v>
      </c>
      <c r="Q352" s="628">
        <v>0.16500000000000001</v>
      </c>
      <c r="R352" s="580">
        <f t="shared" si="282"/>
        <v>0</v>
      </c>
      <c r="S352" s="627">
        <v>0</v>
      </c>
      <c r="T352" s="625">
        <f t="shared" si="264"/>
        <v>0</v>
      </c>
      <c r="U352" s="992">
        <v>0</v>
      </c>
      <c r="V352" s="626">
        <f t="shared" si="265"/>
        <v>0</v>
      </c>
      <c r="W352" s="594">
        <f t="shared" si="266"/>
        <v>0</v>
      </c>
      <c r="X352" s="594">
        <f t="shared" si="283"/>
        <v>0</v>
      </c>
      <c r="Y352" s="594">
        <f t="shared" si="307"/>
        <v>0</v>
      </c>
      <c r="Z352" s="594">
        <f t="shared" si="284"/>
        <v>0</v>
      </c>
      <c r="AA352" s="593">
        <v>0</v>
      </c>
      <c r="AB352" s="593">
        <v>0</v>
      </c>
      <c r="AC352" s="593">
        <v>0</v>
      </c>
      <c r="AD352" s="593">
        <v>0</v>
      </c>
      <c r="AE352" s="593">
        <v>0</v>
      </c>
      <c r="AF352" s="593">
        <v>0</v>
      </c>
      <c r="AG352" s="593">
        <v>0</v>
      </c>
      <c r="AH352" s="593">
        <v>0</v>
      </c>
      <c r="AI352" s="593">
        <v>0</v>
      </c>
      <c r="AJ352" s="593">
        <v>0</v>
      </c>
      <c r="AK352" s="593">
        <v>0</v>
      </c>
      <c r="AL352" s="593">
        <v>0</v>
      </c>
      <c r="AM352" s="593">
        <v>0</v>
      </c>
      <c r="AN352" s="593">
        <v>0</v>
      </c>
      <c r="AO352" s="593">
        <v>0</v>
      </c>
      <c r="AP352" s="593">
        <v>0</v>
      </c>
      <c r="AQ352" s="593">
        <v>0</v>
      </c>
      <c r="AR352" s="593">
        <v>0</v>
      </c>
      <c r="AS352" s="593">
        <v>0</v>
      </c>
      <c r="AT352" s="570">
        <f t="shared" si="285"/>
        <v>4.1250000000000002E-2</v>
      </c>
      <c r="AU352" s="571">
        <v>0.5</v>
      </c>
      <c r="AV352" s="625">
        <f t="shared" si="267"/>
        <v>0.25</v>
      </c>
      <c r="AW352" s="1003">
        <v>0.5</v>
      </c>
      <c r="AX352" s="604">
        <f t="shared" si="268"/>
        <v>0.5</v>
      </c>
      <c r="AY352" s="604">
        <f t="shared" si="269"/>
        <v>100</v>
      </c>
      <c r="AZ352" s="604">
        <f t="shared" si="286"/>
        <v>100</v>
      </c>
      <c r="BA352" s="592">
        <f t="shared" si="287"/>
        <v>4.1250000000000002E-2</v>
      </c>
      <c r="BB352" s="592">
        <f t="shared" si="288"/>
        <v>100</v>
      </c>
      <c r="BC352" s="591">
        <v>354000000</v>
      </c>
      <c r="BD352" s="591">
        <v>0</v>
      </c>
      <c r="BE352" s="591">
        <v>104000000</v>
      </c>
      <c r="BF352" s="591">
        <v>0</v>
      </c>
      <c r="BG352" s="591">
        <v>0</v>
      </c>
      <c r="BH352" s="591">
        <v>0</v>
      </c>
      <c r="BI352" s="591">
        <v>0</v>
      </c>
      <c r="BJ352" s="591">
        <v>250000000</v>
      </c>
      <c r="BK352" s="624">
        <v>713000000</v>
      </c>
      <c r="BL352" s="589">
        <v>713000000</v>
      </c>
      <c r="BM352" s="589">
        <v>0</v>
      </c>
      <c r="BN352" s="589">
        <v>0</v>
      </c>
      <c r="BO352" s="589">
        <v>0</v>
      </c>
      <c r="BP352" s="589">
        <v>0</v>
      </c>
      <c r="BQ352" s="589">
        <v>0</v>
      </c>
      <c r="BR352" s="589">
        <v>0</v>
      </c>
      <c r="BS352" s="589">
        <v>0</v>
      </c>
      <c r="BT352" s="589">
        <v>638990015</v>
      </c>
      <c r="BU352" s="589" t="s">
        <v>2141</v>
      </c>
      <c r="BV352" s="588">
        <f t="shared" si="289"/>
        <v>8.2500000000000004E-2</v>
      </c>
      <c r="BW352" s="588">
        <v>1</v>
      </c>
      <c r="BX352" s="623">
        <f t="shared" si="270"/>
        <v>0.5</v>
      </c>
      <c r="BY352" s="607">
        <v>1</v>
      </c>
      <c r="BZ352" s="629">
        <v>0.60000002384185791</v>
      </c>
      <c r="CA352" s="1017">
        <v>1</v>
      </c>
      <c r="CB352" s="557">
        <f t="shared" si="271"/>
        <v>1</v>
      </c>
      <c r="CC352" s="557">
        <f t="shared" si="272"/>
        <v>100</v>
      </c>
      <c r="CD352" s="622">
        <f t="shared" si="290"/>
        <v>100</v>
      </c>
      <c r="CE352" s="621">
        <f t="shared" si="291"/>
        <v>8.2500000000000004E-2</v>
      </c>
      <c r="CF352" s="605">
        <f t="shared" si="292"/>
        <v>100</v>
      </c>
      <c r="CG352" s="621">
        <f t="shared" si="293"/>
        <v>8.2500000000000004E-2</v>
      </c>
      <c r="CH352" s="553">
        <f t="shared" si="294"/>
        <v>4.1250000000000002E-2</v>
      </c>
      <c r="CI352" s="658">
        <v>0.5</v>
      </c>
      <c r="CJ352" s="551">
        <f t="shared" si="273"/>
        <v>0.25</v>
      </c>
      <c r="CK352" s="874">
        <v>0.20000000298023224</v>
      </c>
      <c r="CL352" s="533">
        <f t="shared" si="274"/>
        <v>0.29999999701976776</v>
      </c>
      <c r="CM352" s="619">
        <f t="shared" si="275"/>
        <v>0.20000000298023224</v>
      </c>
      <c r="CN352" s="619">
        <f t="shared" si="276"/>
        <v>40.000000596046448</v>
      </c>
      <c r="CO352" s="549">
        <f t="shared" si="295"/>
        <v>40.000000596046448</v>
      </c>
      <c r="CP352" s="619">
        <f t="shared" si="296"/>
        <v>1.6500000245869159E-2</v>
      </c>
      <c r="CQ352" s="619">
        <f t="shared" si="297"/>
        <v>1.6500000245869159E-2</v>
      </c>
      <c r="CR352" s="546">
        <v>490000000</v>
      </c>
      <c r="CS352" s="546">
        <v>240000000</v>
      </c>
      <c r="CT352" s="546">
        <v>0</v>
      </c>
      <c r="CU352" s="546">
        <v>0</v>
      </c>
      <c r="CV352" s="546">
        <v>0</v>
      </c>
      <c r="CW352" s="546">
        <v>0</v>
      </c>
      <c r="CX352" s="546">
        <v>0</v>
      </c>
      <c r="CY352" s="546">
        <v>250000000</v>
      </c>
      <c r="CZ352" s="618">
        <v>0</v>
      </c>
      <c r="DA352" s="618">
        <v>0</v>
      </c>
      <c r="DB352" s="618">
        <v>0</v>
      </c>
      <c r="DC352" s="618">
        <v>0</v>
      </c>
      <c r="DD352" s="618">
        <v>0</v>
      </c>
      <c r="DE352" s="618">
        <v>0</v>
      </c>
      <c r="DF352" s="618">
        <v>0</v>
      </c>
      <c r="DG352" s="618">
        <v>0</v>
      </c>
      <c r="DH352" s="618">
        <v>0</v>
      </c>
      <c r="DI352" s="618">
        <v>0</v>
      </c>
      <c r="DJ352" s="618">
        <v>0</v>
      </c>
      <c r="DK352" s="1034">
        <f t="shared" si="277"/>
        <v>1.7000000029802322</v>
      </c>
      <c r="DL352" s="543">
        <f t="shared" si="298"/>
        <v>0.16500000000000001</v>
      </c>
      <c r="DM352" s="542">
        <f t="shared" si="299"/>
        <v>85.000000149011612</v>
      </c>
      <c r="DN352" s="594">
        <f t="shared" si="300"/>
        <v>85.000000149011612</v>
      </c>
      <c r="DO352" s="540">
        <f t="shared" si="301"/>
        <v>0.14025000024586917</v>
      </c>
      <c r="DP352" s="597">
        <f t="shared" si="309"/>
        <v>0.14025000024586917</v>
      </c>
      <c r="DQ352" s="538">
        <f t="shared" si="302"/>
        <v>0.14025000024586917</v>
      </c>
      <c r="DR352" s="617">
        <f t="shared" si="303"/>
        <v>1</v>
      </c>
      <c r="DS352" s="616">
        <f t="shared" si="304"/>
        <v>0</v>
      </c>
      <c r="DT352" s="259">
        <v>398</v>
      </c>
      <c r="DU352" s="260" t="s">
        <v>264</v>
      </c>
      <c r="DV352" s="259"/>
      <c r="DW352" s="260" t="s">
        <v>242</v>
      </c>
      <c r="DX352" s="259"/>
      <c r="DY352" s="259"/>
      <c r="DZ352" s="259"/>
      <c r="EA352" s="987"/>
      <c r="EB352" s="1041" t="s">
        <v>2656</v>
      </c>
      <c r="EC352" s="802">
        <v>490000000</v>
      </c>
      <c r="EE352" s="1047"/>
    </row>
    <row r="353" spans="4:135" s="534" customFormat="1" ht="76.5" hidden="1" x14ac:dyDescent="0.3">
      <c r="D353" s="783">
        <v>350</v>
      </c>
      <c r="E353" s="799">
        <v>410</v>
      </c>
      <c r="F353" s="739" t="s">
        <v>201</v>
      </c>
      <c r="G353" s="739" t="s">
        <v>18</v>
      </c>
      <c r="H353" s="739" t="s">
        <v>166</v>
      </c>
      <c r="I353" s="676" t="s">
        <v>1021</v>
      </c>
      <c r="J353" s="573" t="s">
        <v>1024</v>
      </c>
      <c r="K353" s="573" t="s">
        <v>1025</v>
      </c>
      <c r="L353" s="687" t="s">
        <v>2030</v>
      </c>
      <c r="M353" s="571" t="s">
        <v>2017</v>
      </c>
      <c r="N353" s="571">
        <v>0</v>
      </c>
      <c r="O353" s="570">
        <f t="shared" si="308"/>
        <v>1</v>
      </c>
      <c r="P353" s="569">
        <v>1</v>
      </c>
      <c r="Q353" s="628">
        <v>0.16500000000000001</v>
      </c>
      <c r="R353" s="580">
        <f t="shared" si="282"/>
        <v>0</v>
      </c>
      <c r="S353" s="627">
        <v>0</v>
      </c>
      <c r="T353" s="625">
        <f t="shared" si="264"/>
        <v>0</v>
      </c>
      <c r="U353" s="992">
        <v>0</v>
      </c>
      <c r="V353" s="626">
        <f t="shared" si="265"/>
        <v>0</v>
      </c>
      <c r="W353" s="594">
        <f t="shared" si="266"/>
        <v>0</v>
      </c>
      <c r="X353" s="594">
        <f t="shared" si="283"/>
        <v>0</v>
      </c>
      <c r="Y353" s="594">
        <f t="shared" si="307"/>
        <v>0</v>
      </c>
      <c r="Z353" s="594">
        <f t="shared" si="284"/>
        <v>0</v>
      </c>
      <c r="AA353" s="593">
        <v>0</v>
      </c>
      <c r="AB353" s="593">
        <v>0</v>
      </c>
      <c r="AC353" s="593">
        <v>0</v>
      </c>
      <c r="AD353" s="593">
        <v>0</v>
      </c>
      <c r="AE353" s="593">
        <v>0</v>
      </c>
      <c r="AF353" s="593">
        <v>0</v>
      </c>
      <c r="AG353" s="593">
        <v>0</v>
      </c>
      <c r="AH353" s="593">
        <v>0</v>
      </c>
      <c r="AI353" s="593">
        <v>0</v>
      </c>
      <c r="AJ353" s="593">
        <v>0</v>
      </c>
      <c r="AK353" s="593">
        <v>0</v>
      </c>
      <c r="AL353" s="593">
        <v>0</v>
      </c>
      <c r="AM353" s="593">
        <v>0</v>
      </c>
      <c r="AN353" s="593">
        <v>0</v>
      </c>
      <c r="AO353" s="593">
        <v>0</v>
      </c>
      <c r="AP353" s="593">
        <v>0</v>
      </c>
      <c r="AQ353" s="593">
        <v>0</v>
      </c>
      <c r="AR353" s="593">
        <v>0</v>
      </c>
      <c r="AS353" s="593">
        <v>0</v>
      </c>
      <c r="AT353" s="570">
        <f t="shared" si="285"/>
        <v>4.9500000000000002E-2</v>
      </c>
      <c r="AU353" s="571">
        <v>0.3</v>
      </c>
      <c r="AV353" s="625">
        <f t="shared" si="267"/>
        <v>0.3</v>
      </c>
      <c r="AW353" s="1003">
        <v>0.3</v>
      </c>
      <c r="AX353" s="604">
        <f t="shared" si="268"/>
        <v>0.3</v>
      </c>
      <c r="AY353" s="604">
        <f t="shared" si="269"/>
        <v>100</v>
      </c>
      <c r="AZ353" s="604">
        <f t="shared" si="286"/>
        <v>100</v>
      </c>
      <c r="BA353" s="592">
        <f t="shared" si="287"/>
        <v>4.9500000000000002E-2</v>
      </c>
      <c r="BB353" s="592">
        <f t="shared" si="288"/>
        <v>100</v>
      </c>
      <c r="BC353" s="591">
        <v>148000000</v>
      </c>
      <c r="BD353" s="591">
        <v>0</v>
      </c>
      <c r="BE353" s="591">
        <v>88000000</v>
      </c>
      <c r="BF353" s="591">
        <v>0</v>
      </c>
      <c r="BG353" s="591">
        <v>0</v>
      </c>
      <c r="BH353" s="591">
        <v>0</v>
      </c>
      <c r="BI353" s="591">
        <v>0</v>
      </c>
      <c r="BJ353" s="591">
        <v>60000000</v>
      </c>
      <c r="BK353" s="624">
        <v>88000000</v>
      </c>
      <c r="BL353" s="589">
        <v>88000000</v>
      </c>
      <c r="BM353" s="589">
        <v>0</v>
      </c>
      <c r="BN353" s="589">
        <v>0</v>
      </c>
      <c r="BO353" s="589">
        <v>0</v>
      </c>
      <c r="BP353" s="589">
        <v>0</v>
      </c>
      <c r="BQ353" s="589">
        <v>0</v>
      </c>
      <c r="BR353" s="589">
        <v>0</v>
      </c>
      <c r="BS353" s="589">
        <v>0</v>
      </c>
      <c r="BT353" s="589">
        <v>0</v>
      </c>
      <c r="BU353" s="589">
        <v>0</v>
      </c>
      <c r="BV353" s="588">
        <f t="shared" si="289"/>
        <v>4.9500000000000002E-2</v>
      </c>
      <c r="BW353" s="588">
        <v>0.3</v>
      </c>
      <c r="BX353" s="623">
        <f t="shared" si="270"/>
        <v>0.3</v>
      </c>
      <c r="BY353" s="639">
        <v>0.1</v>
      </c>
      <c r="BZ353" s="688">
        <v>0.15000000596046448</v>
      </c>
      <c r="CA353" s="1027">
        <v>0.40000000596046448</v>
      </c>
      <c r="CB353" s="557">
        <f t="shared" si="271"/>
        <v>0.40000000596046448</v>
      </c>
      <c r="CC353" s="557">
        <f t="shared" si="272"/>
        <v>133.33333532015484</v>
      </c>
      <c r="CD353" s="622">
        <f t="shared" si="290"/>
        <v>100</v>
      </c>
      <c r="CE353" s="621">
        <f t="shared" si="291"/>
        <v>4.9500000000000002E-2</v>
      </c>
      <c r="CF353" s="605">
        <f t="shared" si="292"/>
        <v>100</v>
      </c>
      <c r="CG353" s="621">
        <f t="shared" si="293"/>
        <v>6.600000098347665E-2</v>
      </c>
      <c r="CH353" s="553">
        <f t="shared" si="294"/>
        <v>6.6000000000000003E-2</v>
      </c>
      <c r="CI353" s="552">
        <v>0.4</v>
      </c>
      <c r="CJ353" s="551">
        <f t="shared" si="273"/>
        <v>0.4</v>
      </c>
      <c r="CK353" s="874">
        <v>0.20000000298023224</v>
      </c>
      <c r="CL353" s="533">
        <f t="shared" si="274"/>
        <v>0.19999999701976778</v>
      </c>
      <c r="CM353" s="619">
        <f t="shared" si="275"/>
        <v>0.20000000298023224</v>
      </c>
      <c r="CN353" s="619">
        <f t="shared" si="276"/>
        <v>50.00000074505806</v>
      </c>
      <c r="CO353" s="549">
        <f t="shared" si="295"/>
        <v>50.00000074505806</v>
      </c>
      <c r="CP353" s="619">
        <f t="shared" si="296"/>
        <v>3.3000000491738318E-2</v>
      </c>
      <c r="CQ353" s="619">
        <f t="shared" si="297"/>
        <v>3.3000000491738318E-2</v>
      </c>
      <c r="CR353" s="546">
        <v>168000000</v>
      </c>
      <c r="CS353" s="546">
        <v>88000000</v>
      </c>
      <c r="CT353" s="546">
        <v>0</v>
      </c>
      <c r="CU353" s="546">
        <v>0</v>
      </c>
      <c r="CV353" s="546">
        <v>0</v>
      </c>
      <c r="CW353" s="546">
        <v>0</v>
      </c>
      <c r="CX353" s="546">
        <v>0</v>
      </c>
      <c r="CY353" s="546">
        <v>80000000</v>
      </c>
      <c r="CZ353" s="618">
        <v>0</v>
      </c>
      <c r="DA353" s="618">
        <v>0</v>
      </c>
      <c r="DB353" s="618">
        <v>0</v>
      </c>
      <c r="DC353" s="618">
        <v>0</v>
      </c>
      <c r="DD353" s="618">
        <v>0</v>
      </c>
      <c r="DE353" s="618">
        <v>0</v>
      </c>
      <c r="DF353" s="618">
        <v>0</v>
      </c>
      <c r="DG353" s="618">
        <v>0</v>
      </c>
      <c r="DH353" s="618">
        <v>0</v>
      </c>
      <c r="DI353" s="618">
        <v>0</v>
      </c>
      <c r="DJ353" s="618">
        <v>0</v>
      </c>
      <c r="DK353" s="1034">
        <f t="shared" si="277"/>
        <v>0.90000000894069676</v>
      </c>
      <c r="DL353" s="543">
        <f t="shared" si="298"/>
        <v>0.16500000000000001</v>
      </c>
      <c r="DM353" s="542">
        <f t="shared" si="299"/>
        <v>90.000000894069672</v>
      </c>
      <c r="DN353" s="594">
        <f t="shared" si="300"/>
        <v>90.000000894069672</v>
      </c>
      <c r="DO353" s="540">
        <f t="shared" si="301"/>
        <v>0.14850000147521497</v>
      </c>
      <c r="DP353" s="597">
        <f t="shared" si="309"/>
        <v>0.14850000147521497</v>
      </c>
      <c r="DQ353" s="538">
        <f t="shared" si="302"/>
        <v>0.14850000147521497</v>
      </c>
      <c r="DR353" s="617">
        <f t="shared" si="303"/>
        <v>1</v>
      </c>
      <c r="DS353" s="616">
        <f t="shared" si="304"/>
        <v>0</v>
      </c>
      <c r="DT353" s="259">
        <v>398</v>
      </c>
      <c r="DU353" s="260" t="s">
        <v>264</v>
      </c>
      <c r="DV353" s="259"/>
      <c r="DW353" s="260" t="s">
        <v>242</v>
      </c>
      <c r="DX353" s="259"/>
      <c r="DY353" s="259"/>
      <c r="DZ353" s="259"/>
      <c r="EA353" s="987"/>
      <c r="EB353" s="1041" t="s">
        <v>2657</v>
      </c>
      <c r="EC353" s="802">
        <v>148000000</v>
      </c>
      <c r="EE353" s="1047"/>
    </row>
    <row r="354" spans="4:135" s="534" customFormat="1" ht="63.75" hidden="1" x14ac:dyDescent="0.3">
      <c r="D354" s="783">
        <v>351</v>
      </c>
      <c r="E354" s="799">
        <v>412</v>
      </c>
      <c r="F354" s="739" t="s">
        <v>201</v>
      </c>
      <c r="G354" s="574" t="s">
        <v>1026</v>
      </c>
      <c r="H354" s="739" t="s">
        <v>148</v>
      </c>
      <c r="I354" s="676" t="s">
        <v>1027</v>
      </c>
      <c r="J354" s="573" t="s">
        <v>1028</v>
      </c>
      <c r="K354" s="573" t="s">
        <v>1029</v>
      </c>
      <c r="L354" s="687" t="s">
        <v>1659</v>
      </c>
      <c r="M354" s="571" t="s">
        <v>2017</v>
      </c>
      <c r="N354" s="571">
        <v>7732</v>
      </c>
      <c r="O354" s="570">
        <f t="shared" si="308"/>
        <v>8432</v>
      </c>
      <c r="P354" s="569">
        <v>700</v>
      </c>
      <c r="Q354" s="628">
        <v>0.33</v>
      </c>
      <c r="R354" s="580">
        <f t="shared" si="282"/>
        <v>2.357142857142857E-2</v>
      </c>
      <c r="S354" s="627">
        <v>50</v>
      </c>
      <c r="T354" s="625">
        <f t="shared" si="264"/>
        <v>7.1428571428571425E-2</v>
      </c>
      <c r="U354" s="992">
        <v>50</v>
      </c>
      <c r="V354" s="626">
        <f t="shared" si="265"/>
        <v>50</v>
      </c>
      <c r="W354" s="594">
        <f t="shared" si="266"/>
        <v>100</v>
      </c>
      <c r="X354" s="594">
        <f t="shared" si="283"/>
        <v>100</v>
      </c>
      <c r="Y354" s="594">
        <f t="shared" si="307"/>
        <v>2.3571428571428566E-2</v>
      </c>
      <c r="Z354" s="594">
        <f t="shared" si="284"/>
        <v>100</v>
      </c>
      <c r="AA354" s="593">
        <v>117000000</v>
      </c>
      <c r="AB354" s="593">
        <v>117000000</v>
      </c>
      <c r="AC354" s="593">
        <v>0</v>
      </c>
      <c r="AD354" s="593">
        <v>0</v>
      </c>
      <c r="AE354" s="593">
        <v>0</v>
      </c>
      <c r="AF354" s="593">
        <v>0</v>
      </c>
      <c r="AG354" s="593">
        <v>0</v>
      </c>
      <c r="AH354" s="593">
        <v>0</v>
      </c>
      <c r="AI354" s="593">
        <v>582939000</v>
      </c>
      <c r="AJ354" s="593">
        <v>582939000</v>
      </c>
      <c r="AK354" s="593">
        <v>0</v>
      </c>
      <c r="AL354" s="593">
        <v>0</v>
      </c>
      <c r="AM354" s="593">
        <v>0</v>
      </c>
      <c r="AN354" s="593">
        <v>0</v>
      </c>
      <c r="AO354" s="593">
        <v>0</v>
      </c>
      <c r="AP354" s="593">
        <v>0</v>
      </c>
      <c r="AQ354" s="593">
        <v>0</v>
      </c>
      <c r="AR354" s="593">
        <v>0</v>
      </c>
      <c r="AS354" s="593">
        <v>0</v>
      </c>
      <c r="AT354" s="570">
        <f t="shared" si="285"/>
        <v>7.0714285714285716E-2</v>
      </c>
      <c r="AU354" s="571">
        <v>150</v>
      </c>
      <c r="AV354" s="625">
        <f t="shared" si="267"/>
        <v>0.21428571428571427</v>
      </c>
      <c r="AW354" s="1003">
        <v>450</v>
      </c>
      <c r="AX354" s="604">
        <f t="shared" si="268"/>
        <v>450</v>
      </c>
      <c r="AY354" s="604">
        <f t="shared" si="269"/>
        <v>300</v>
      </c>
      <c r="AZ354" s="604">
        <f t="shared" si="286"/>
        <v>100</v>
      </c>
      <c r="BA354" s="592">
        <f t="shared" si="287"/>
        <v>7.0714285714285716E-2</v>
      </c>
      <c r="BB354" s="592">
        <f t="shared" si="288"/>
        <v>100</v>
      </c>
      <c r="BC354" s="591">
        <v>1571000000</v>
      </c>
      <c r="BD354" s="591">
        <v>0</v>
      </c>
      <c r="BE354" s="591">
        <v>655000000</v>
      </c>
      <c r="BF354" s="591">
        <v>0</v>
      </c>
      <c r="BG354" s="591">
        <v>0</v>
      </c>
      <c r="BH354" s="591">
        <v>0</v>
      </c>
      <c r="BI354" s="591">
        <v>0</v>
      </c>
      <c r="BJ354" s="591">
        <v>916000000</v>
      </c>
      <c r="BK354" s="624">
        <v>483013985</v>
      </c>
      <c r="BL354" s="589">
        <v>483013985</v>
      </c>
      <c r="BM354" s="589">
        <v>0</v>
      </c>
      <c r="BN354" s="589">
        <v>0</v>
      </c>
      <c r="BO354" s="589">
        <v>0</v>
      </c>
      <c r="BP354" s="589">
        <v>0</v>
      </c>
      <c r="BQ354" s="589">
        <v>0</v>
      </c>
      <c r="BR354" s="589">
        <v>0</v>
      </c>
      <c r="BS354" s="589">
        <v>0</v>
      </c>
      <c r="BT354" s="589">
        <v>0</v>
      </c>
      <c r="BU354" s="589">
        <v>0</v>
      </c>
      <c r="BV354" s="588">
        <f t="shared" si="289"/>
        <v>0.11785714285714287</v>
      </c>
      <c r="BW354" s="588">
        <v>250</v>
      </c>
      <c r="BX354" s="623">
        <f t="shared" si="270"/>
        <v>0.35714285714285715</v>
      </c>
      <c r="BY354" s="607">
        <v>873.5</v>
      </c>
      <c r="BZ354" s="629">
        <v>937</v>
      </c>
      <c r="CA354" s="1017">
        <v>1022</v>
      </c>
      <c r="CB354" s="557">
        <f t="shared" si="271"/>
        <v>1022</v>
      </c>
      <c r="CC354" s="557">
        <f t="shared" si="272"/>
        <v>408.8</v>
      </c>
      <c r="CD354" s="622">
        <f t="shared" si="290"/>
        <v>100</v>
      </c>
      <c r="CE354" s="621">
        <f t="shared" si="291"/>
        <v>0.11785714285714287</v>
      </c>
      <c r="CF354" s="605">
        <f t="shared" si="292"/>
        <v>100</v>
      </c>
      <c r="CG354" s="621">
        <f t="shared" si="293"/>
        <v>0.48180000000000006</v>
      </c>
      <c r="CH354" s="553">
        <f t="shared" si="294"/>
        <v>0.11785714285714287</v>
      </c>
      <c r="CI354" s="552">
        <v>250</v>
      </c>
      <c r="CJ354" s="551">
        <f t="shared" si="273"/>
        <v>0.35714285714285715</v>
      </c>
      <c r="CK354" s="874">
        <v>198</v>
      </c>
      <c r="CL354" s="533">
        <f t="shared" si="274"/>
        <v>52</v>
      </c>
      <c r="CM354" s="619">
        <f t="shared" si="275"/>
        <v>198</v>
      </c>
      <c r="CN354" s="619">
        <f t="shared" si="276"/>
        <v>79.2</v>
      </c>
      <c r="CO354" s="549">
        <f t="shared" si="295"/>
        <v>79.2</v>
      </c>
      <c r="CP354" s="619">
        <f t="shared" si="296"/>
        <v>9.3342857142857158E-2</v>
      </c>
      <c r="CQ354" s="619">
        <f t="shared" si="297"/>
        <v>9.3342857142857158E-2</v>
      </c>
      <c r="CR354" s="546">
        <v>2430000000</v>
      </c>
      <c r="CS354" s="546">
        <v>1513000000</v>
      </c>
      <c r="CT354" s="546">
        <v>0</v>
      </c>
      <c r="CU354" s="546">
        <v>0</v>
      </c>
      <c r="CV354" s="546">
        <v>0</v>
      </c>
      <c r="CW354" s="546">
        <v>0</v>
      </c>
      <c r="CX354" s="546">
        <v>0</v>
      </c>
      <c r="CY354" s="546">
        <v>917000000</v>
      </c>
      <c r="CZ354" s="618">
        <v>0</v>
      </c>
      <c r="DA354" s="618">
        <v>0</v>
      </c>
      <c r="DB354" s="618">
        <v>0</v>
      </c>
      <c r="DC354" s="618">
        <v>0</v>
      </c>
      <c r="DD354" s="618">
        <v>0</v>
      </c>
      <c r="DE354" s="618">
        <v>0</v>
      </c>
      <c r="DF354" s="618">
        <v>0</v>
      </c>
      <c r="DG354" s="618">
        <v>0</v>
      </c>
      <c r="DH354" s="618">
        <v>0</v>
      </c>
      <c r="DI354" s="618">
        <v>0</v>
      </c>
      <c r="DJ354" s="618">
        <v>0</v>
      </c>
      <c r="DK354" s="1034">
        <f t="shared" si="277"/>
        <v>1720</v>
      </c>
      <c r="DL354" s="543">
        <f t="shared" si="298"/>
        <v>0.33</v>
      </c>
      <c r="DM354" s="542">
        <f t="shared" si="299"/>
        <v>245.71428571428572</v>
      </c>
      <c r="DN354" s="594">
        <f t="shared" si="300"/>
        <v>100</v>
      </c>
      <c r="DO354" s="540">
        <f t="shared" si="301"/>
        <v>0.33</v>
      </c>
      <c r="DP354" s="597">
        <f t="shared" si="309"/>
        <v>0.33</v>
      </c>
      <c r="DQ354" s="538">
        <f t="shared" si="302"/>
        <v>0.33</v>
      </c>
      <c r="DR354" s="617">
        <f t="shared" si="303"/>
        <v>1</v>
      </c>
      <c r="DS354" s="616">
        <f t="shared" si="304"/>
        <v>0</v>
      </c>
      <c r="DT354" s="259">
        <v>411</v>
      </c>
      <c r="DU354" s="260" t="s">
        <v>263</v>
      </c>
      <c r="DV354" s="259"/>
      <c r="DW354" s="260" t="s">
        <v>242</v>
      </c>
      <c r="DX354" s="259"/>
      <c r="DY354" s="259"/>
      <c r="DZ354" s="259"/>
      <c r="EA354" s="987"/>
      <c r="EB354" s="1041" t="s">
        <v>2658</v>
      </c>
      <c r="EC354" s="802">
        <v>2429000000</v>
      </c>
      <c r="EE354" s="1047"/>
    </row>
    <row r="355" spans="4:135" s="534" customFormat="1" ht="63.75" hidden="1" x14ac:dyDescent="0.3">
      <c r="D355" s="783">
        <v>352</v>
      </c>
      <c r="E355" s="799">
        <v>413</v>
      </c>
      <c r="F355" s="739" t="s">
        <v>201</v>
      </c>
      <c r="G355" s="574" t="s">
        <v>1026</v>
      </c>
      <c r="H355" s="739" t="s">
        <v>148</v>
      </c>
      <c r="I355" s="676" t="s">
        <v>1027</v>
      </c>
      <c r="J355" s="573" t="s">
        <v>1030</v>
      </c>
      <c r="K355" s="573" t="s">
        <v>1031</v>
      </c>
      <c r="L355" s="687" t="s">
        <v>1659</v>
      </c>
      <c r="M355" s="571" t="s">
        <v>2017</v>
      </c>
      <c r="N355" s="571">
        <v>0</v>
      </c>
      <c r="O355" s="570">
        <f t="shared" si="308"/>
        <v>700</v>
      </c>
      <c r="P355" s="569">
        <v>700</v>
      </c>
      <c r="Q355" s="628">
        <v>0.25</v>
      </c>
      <c r="R355" s="580">
        <f t="shared" si="282"/>
        <v>1.7857142857142856E-2</v>
      </c>
      <c r="S355" s="627">
        <v>50</v>
      </c>
      <c r="T355" s="625">
        <f t="shared" si="264"/>
        <v>7.1428571428571425E-2</v>
      </c>
      <c r="U355" s="992">
        <v>16</v>
      </c>
      <c r="V355" s="626">
        <f t="shared" si="265"/>
        <v>16</v>
      </c>
      <c r="W355" s="594">
        <f t="shared" si="266"/>
        <v>32</v>
      </c>
      <c r="X355" s="594">
        <f t="shared" si="283"/>
        <v>32</v>
      </c>
      <c r="Y355" s="594">
        <f t="shared" si="307"/>
        <v>5.7142857142857143E-3</v>
      </c>
      <c r="Z355" s="594">
        <f t="shared" si="284"/>
        <v>32</v>
      </c>
      <c r="AA355" s="593">
        <v>0</v>
      </c>
      <c r="AB355" s="593">
        <v>0</v>
      </c>
      <c r="AC355" s="593">
        <v>0</v>
      </c>
      <c r="AD355" s="593">
        <v>0</v>
      </c>
      <c r="AE355" s="593">
        <v>0</v>
      </c>
      <c r="AF355" s="593">
        <v>0</v>
      </c>
      <c r="AG355" s="593">
        <v>0</v>
      </c>
      <c r="AH355" s="593">
        <v>0</v>
      </c>
      <c r="AI355" s="593">
        <v>377500000</v>
      </c>
      <c r="AJ355" s="593">
        <v>377500000</v>
      </c>
      <c r="AK355" s="593">
        <v>0</v>
      </c>
      <c r="AL355" s="593">
        <v>0</v>
      </c>
      <c r="AM355" s="593">
        <v>0</v>
      </c>
      <c r="AN355" s="593">
        <v>0</v>
      </c>
      <c r="AO355" s="593">
        <v>0</v>
      </c>
      <c r="AP355" s="593">
        <v>0</v>
      </c>
      <c r="AQ355" s="593">
        <v>0</v>
      </c>
      <c r="AR355" s="593">
        <v>0</v>
      </c>
      <c r="AS355" s="593">
        <v>0</v>
      </c>
      <c r="AT355" s="570">
        <f t="shared" si="285"/>
        <v>1.7857142857142856E-2</v>
      </c>
      <c r="AU355" s="571">
        <v>50</v>
      </c>
      <c r="AV355" s="625">
        <f t="shared" si="267"/>
        <v>7.1428571428571425E-2</v>
      </c>
      <c r="AW355" s="1003">
        <v>177</v>
      </c>
      <c r="AX355" s="604">
        <f t="shared" si="268"/>
        <v>177</v>
      </c>
      <c r="AY355" s="604">
        <f t="shared" si="269"/>
        <v>354</v>
      </c>
      <c r="AZ355" s="604">
        <f t="shared" si="286"/>
        <v>100</v>
      </c>
      <c r="BA355" s="592">
        <f t="shared" si="287"/>
        <v>1.7857142857142856E-2</v>
      </c>
      <c r="BB355" s="592">
        <f t="shared" si="288"/>
        <v>100</v>
      </c>
      <c r="BC355" s="591">
        <v>55000000</v>
      </c>
      <c r="BD355" s="591">
        <v>0</v>
      </c>
      <c r="BE355" s="591">
        <v>55000000</v>
      </c>
      <c r="BF355" s="591">
        <v>0</v>
      </c>
      <c r="BG355" s="591">
        <v>0</v>
      </c>
      <c r="BH355" s="591">
        <v>0</v>
      </c>
      <c r="BI355" s="591">
        <v>0</v>
      </c>
      <c r="BJ355" s="591">
        <v>0</v>
      </c>
      <c r="BK355" s="624">
        <v>212402000</v>
      </c>
      <c r="BL355" s="589">
        <v>212402000</v>
      </c>
      <c r="BM355" s="589">
        <v>0</v>
      </c>
      <c r="BN355" s="589">
        <v>0</v>
      </c>
      <c r="BO355" s="589">
        <v>0</v>
      </c>
      <c r="BP355" s="589">
        <v>0</v>
      </c>
      <c r="BQ355" s="589">
        <v>0</v>
      </c>
      <c r="BR355" s="589">
        <v>0</v>
      </c>
      <c r="BS355" s="589">
        <v>0</v>
      </c>
      <c r="BT355" s="589">
        <v>314103756</v>
      </c>
      <c r="BU355" s="589" t="s">
        <v>2140</v>
      </c>
      <c r="BV355" s="588">
        <f t="shared" si="289"/>
        <v>0.10714285714285714</v>
      </c>
      <c r="BW355" s="588">
        <v>300</v>
      </c>
      <c r="BX355" s="623">
        <f t="shared" si="270"/>
        <v>0.42857142857142855</v>
      </c>
      <c r="BY355" s="607">
        <v>83</v>
      </c>
      <c r="BZ355" s="629">
        <v>100</v>
      </c>
      <c r="CA355" s="1017">
        <v>134</v>
      </c>
      <c r="CB355" s="557">
        <f t="shared" si="271"/>
        <v>134</v>
      </c>
      <c r="CC355" s="557">
        <f t="shared" si="272"/>
        <v>44.666666666666664</v>
      </c>
      <c r="CD355" s="622">
        <f t="shared" si="290"/>
        <v>44.666666666666664</v>
      </c>
      <c r="CE355" s="621">
        <f t="shared" si="291"/>
        <v>4.7857142857142855E-2</v>
      </c>
      <c r="CF355" s="605">
        <f t="shared" si="292"/>
        <v>44.666666666666664</v>
      </c>
      <c r="CG355" s="621">
        <f t="shared" si="293"/>
        <v>4.7857142857142855E-2</v>
      </c>
      <c r="CH355" s="553">
        <f t="shared" si="294"/>
        <v>0.10714285714285714</v>
      </c>
      <c r="CI355" s="552">
        <v>300</v>
      </c>
      <c r="CJ355" s="551">
        <f t="shared" si="273"/>
        <v>0.42857142857142855</v>
      </c>
      <c r="CK355" s="874">
        <v>84</v>
      </c>
      <c r="CL355" s="533">
        <f t="shared" si="274"/>
        <v>216</v>
      </c>
      <c r="CM355" s="619">
        <f t="shared" si="275"/>
        <v>84</v>
      </c>
      <c r="CN355" s="619">
        <f t="shared" si="276"/>
        <v>28</v>
      </c>
      <c r="CO355" s="549">
        <f t="shared" si="295"/>
        <v>28</v>
      </c>
      <c r="CP355" s="619">
        <f t="shared" si="296"/>
        <v>0.03</v>
      </c>
      <c r="CQ355" s="619">
        <f t="shared" si="297"/>
        <v>0.03</v>
      </c>
      <c r="CR355" s="546">
        <v>126000000</v>
      </c>
      <c r="CS355" s="546">
        <v>126000000</v>
      </c>
      <c r="CT355" s="546">
        <v>0</v>
      </c>
      <c r="CU355" s="546">
        <v>0</v>
      </c>
      <c r="CV355" s="546">
        <v>0</v>
      </c>
      <c r="CW355" s="546">
        <v>0</v>
      </c>
      <c r="CX355" s="546">
        <v>0</v>
      </c>
      <c r="CY355" s="546">
        <v>0</v>
      </c>
      <c r="CZ355" s="618">
        <v>0</v>
      </c>
      <c r="DA355" s="618">
        <v>0</v>
      </c>
      <c r="DB355" s="618">
        <v>0</v>
      </c>
      <c r="DC355" s="618">
        <v>0</v>
      </c>
      <c r="DD355" s="618">
        <v>0</v>
      </c>
      <c r="DE355" s="618">
        <v>0</v>
      </c>
      <c r="DF355" s="618">
        <v>0</v>
      </c>
      <c r="DG355" s="618">
        <v>0</v>
      </c>
      <c r="DH355" s="618">
        <v>0</v>
      </c>
      <c r="DI355" s="618">
        <v>0</v>
      </c>
      <c r="DJ355" s="618">
        <v>0</v>
      </c>
      <c r="DK355" s="1034">
        <f t="shared" si="277"/>
        <v>411</v>
      </c>
      <c r="DL355" s="543">
        <f t="shared" si="298"/>
        <v>0.25</v>
      </c>
      <c r="DM355" s="542">
        <f t="shared" si="299"/>
        <v>58.714285714285715</v>
      </c>
      <c r="DN355" s="594">
        <f t="shared" si="300"/>
        <v>58.714285714285715</v>
      </c>
      <c r="DO355" s="540">
        <f t="shared" si="301"/>
        <v>0.1467857142857143</v>
      </c>
      <c r="DP355" s="597">
        <f t="shared" si="309"/>
        <v>0.1467857142857143</v>
      </c>
      <c r="DQ355" s="538">
        <f t="shared" si="302"/>
        <v>0.1467857142857143</v>
      </c>
      <c r="DR355" s="617">
        <f t="shared" si="303"/>
        <v>1</v>
      </c>
      <c r="DS355" s="616">
        <f t="shared" si="304"/>
        <v>0</v>
      </c>
      <c r="DT355" s="259">
        <v>411</v>
      </c>
      <c r="DU355" s="260" t="s">
        <v>263</v>
      </c>
      <c r="DV355" s="259"/>
      <c r="DW355" s="260" t="s">
        <v>242</v>
      </c>
      <c r="DX355" s="259"/>
      <c r="DY355" s="259"/>
      <c r="DZ355" s="259"/>
      <c r="EA355" s="987"/>
      <c r="EB355" s="1041" t="s">
        <v>2659</v>
      </c>
      <c r="EC355" s="802">
        <v>126000000</v>
      </c>
      <c r="EE355" s="1047"/>
    </row>
    <row r="356" spans="4:135" s="534" customFormat="1" ht="51" hidden="1" x14ac:dyDescent="0.3">
      <c r="D356" s="783">
        <v>353</v>
      </c>
      <c r="E356" s="799">
        <v>414</v>
      </c>
      <c r="F356" s="739" t="s">
        <v>201</v>
      </c>
      <c r="G356" s="574" t="s">
        <v>1026</v>
      </c>
      <c r="H356" s="739" t="s">
        <v>148</v>
      </c>
      <c r="I356" s="676" t="s">
        <v>1027</v>
      </c>
      <c r="J356" s="573" t="s">
        <v>1032</v>
      </c>
      <c r="K356" s="573" t="s">
        <v>1033</v>
      </c>
      <c r="L356" s="687" t="s">
        <v>1659</v>
      </c>
      <c r="M356" s="571" t="s">
        <v>2017</v>
      </c>
      <c r="N356" s="571">
        <v>0</v>
      </c>
      <c r="O356" s="570">
        <f t="shared" si="308"/>
        <v>200</v>
      </c>
      <c r="P356" s="569">
        <v>200</v>
      </c>
      <c r="Q356" s="628">
        <v>0.25</v>
      </c>
      <c r="R356" s="580">
        <f t="shared" si="282"/>
        <v>3.7499999999999999E-2</v>
      </c>
      <c r="S356" s="627">
        <v>30</v>
      </c>
      <c r="T356" s="625">
        <f t="shared" si="264"/>
        <v>0.15</v>
      </c>
      <c r="U356" s="992">
        <v>4</v>
      </c>
      <c r="V356" s="626">
        <f t="shared" si="265"/>
        <v>4</v>
      </c>
      <c r="W356" s="594">
        <f t="shared" si="266"/>
        <v>13.333333333333334</v>
      </c>
      <c r="X356" s="594">
        <f t="shared" si="283"/>
        <v>13.333333333333334</v>
      </c>
      <c r="Y356" s="594">
        <f t="shared" si="307"/>
        <v>5.0000000000000001E-3</v>
      </c>
      <c r="Z356" s="594">
        <f t="shared" si="284"/>
        <v>13.333333333333334</v>
      </c>
      <c r="AA356" s="593">
        <v>41000000</v>
      </c>
      <c r="AB356" s="593">
        <v>41000000</v>
      </c>
      <c r="AC356" s="593">
        <v>0</v>
      </c>
      <c r="AD356" s="593">
        <v>0</v>
      </c>
      <c r="AE356" s="593">
        <v>0</v>
      </c>
      <c r="AF356" s="593">
        <v>0</v>
      </c>
      <c r="AG356" s="593">
        <v>0</v>
      </c>
      <c r="AH356" s="593">
        <v>0</v>
      </c>
      <c r="AI356" s="593">
        <v>155000000</v>
      </c>
      <c r="AJ356" s="593">
        <v>155000000</v>
      </c>
      <c r="AK356" s="593">
        <v>0</v>
      </c>
      <c r="AL356" s="593">
        <v>0</v>
      </c>
      <c r="AM356" s="593">
        <v>0</v>
      </c>
      <c r="AN356" s="593">
        <v>0</v>
      </c>
      <c r="AO356" s="593">
        <v>0</v>
      </c>
      <c r="AP356" s="593">
        <v>0</v>
      </c>
      <c r="AQ356" s="593">
        <v>0</v>
      </c>
      <c r="AR356" s="593">
        <v>0</v>
      </c>
      <c r="AS356" s="593">
        <v>0</v>
      </c>
      <c r="AT356" s="570">
        <f t="shared" si="285"/>
        <v>2.5000000000000001E-2</v>
      </c>
      <c r="AU356" s="571">
        <v>20</v>
      </c>
      <c r="AV356" s="625">
        <f t="shared" si="267"/>
        <v>0.1</v>
      </c>
      <c r="AW356" s="1003">
        <v>140</v>
      </c>
      <c r="AX356" s="604">
        <f t="shared" si="268"/>
        <v>140</v>
      </c>
      <c r="AY356" s="604">
        <f t="shared" si="269"/>
        <v>700</v>
      </c>
      <c r="AZ356" s="604">
        <f t="shared" si="286"/>
        <v>100</v>
      </c>
      <c r="BA356" s="592">
        <f t="shared" si="287"/>
        <v>2.5000000000000001E-2</v>
      </c>
      <c r="BB356" s="592">
        <f t="shared" si="288"/>
        <v>100</v>
      </c>
      <c r="BC356" s="591">
        <v>23000000</v>
      </c>
      <c r="BD356" s="591">
        <v>0</v>
      </c>
      <c r="BE356" s="591">
        <v>23000000</v>
      </c>
      <c r="BF356" s="591">
        <v>0</v>
      </c>
      <c r="BG356" s="591">
        <v>0</v>
      </c>
      <c r="BH356" s="591">
        <v>0</v>
      </c>
      <c r="BI356" s="591">
        <v>0</v>
      </c>
      <c r="BJ356" s="591">
        <v>0</v>
      </c>
      <c r="BK356" s="624">
        <v>55000000</v>
      </c>
      <c r="BL356" s="589">
        <v>55000000</v>
      </c>
      <c r="BM356" s="589">
        <v>0</v>
      </c>
      <c r="BN356" s="589">
        <v>0</v>
      </c>
      <c r="BO356" s="589">
        <v>0</v>
      </c>
      <c r="BP356" s="589">
        <v>0</v>
      </c>
      <c r="BQ356" s="589">
        <v>0</v>
      </c>
      <c r="BR356" s="589">
        <v>0</v>
      </c>
      <c r="BS356" s="589">
        <v>0</v>
      </c>
      <c r="BT356" s="589">
        <v>0</v>
      </c>
      <c r="BU356" s="589">
        <v>0</v>
      </c>
      <c r="BV356" s="588">
        <f t="shared" si="289"/>
        <v>8.7499999999999994E-2</v>
      </c>
      <c r="BW356" s="588">
        <v>70</v>
      </c>
      <c r="BX356" s="623">
        <f t="shared" si="270"/>
        <v>0.35</v>
      </c>
      <c r="BY356" s="607">
        <v>73</v>
      </c>
      <c r="BZ356" s="629">
        <v>93</v>
      </c>
      <c r="CA356" s="1017">
        <v>92.099998474121094</v>
      </c>
      <c r="CB356" s="557">
        <f t="shared" si="271"/>
        <v>92.099998474121094</v>
      </c>
      <c r="CC356" s="557">
        <f t="shared" si="272"/>
        <v>131.57142639160156</v>
      </c>
      <c r="CD356" s="622">
        <f t="shared" si="290"/>
        <v>100</v>
      </c>
      <c r="CE356" s="621">
        <f t="shared" si="291"/>
        <v>8.7499999999999994E-2</v>
      </c>
      <c r="CF356" s="605">
        <f t="shared" si="292"/>
        <v>100</v>
      </c>
      <c r="CG356" s="621">
        <f t="shared" si="293"/>
        <v>0.11512499809265136</v>
      </c>
      <c r="CH356" s="553">
        <f t="shared" si="294"/>
        <v>0.1</v>
      </c>
      <c r="CI356" s="552">
        <v>80</v>
      </c>
      <c r="CJ356" s="551">
        <f t="shared" si="273"/>
        <v>0.4</v>
      </c>
      <c r="CK356" s="874">
        <v>0</v>
      </c>
      <c r="CL356" s="533">
        <f t="shared" si="274"/>
        <v>80</v>
      </c>
      <c r="CM356" s="619">
        <f t="shared" si="275"/>
        <v>0</v>
      </c>
      <c r="CN356" s="619">
        <f t="shared" si="276"/>
        <v>0</v>
      </c>
      <c r="CO356" s="549">
        <f t="shared" si="295"/>
        <v>0</v>
      </c>
      <c r="CP356" s="619">
        <f t="shared" si="296"/>
        <v>0</v>
      </c>
      <c r="CQ356" s="619">
        <f t="shared" si="297"/>
        <v>0</v>
      </c>
      <c r="CR356" s="546">
        <v>54000000</v>
      </c>
      <c r="CS356" s="546">
        <v>54000000</v>
      </c>
      <c r="CT356" s="546">
        <v>0</v>
      </c>
      <c r="CU356" s="546">
        <v>0</v>
      </c>
      <c r="CV356" s="546">
        <v>0</v>
      </c>
      <c r="CW356" s="546">
        <v>0</v>
      </c>
      <c r="CX356" s="546">
        <v>0</v>
      </c>
      <c r="CY356" s="546">
        <v>0</v>
      </c>
      <c r="CZ356" s="618">
        <v>0</v>
      </c>
      <c r="DA356" s="618">
        <v>0</v>
      </c>
      <c r="DB356" s="618">
        <v>0</v>
      </c>
      <c r="DC356" s="618">
        <v>0</v>
      </c>
      <c r="DD356" s="618">
        <v>0</v>
      </c>
      <c r="DE356" s="618">
        <v>0</v>
      </c>
      <c r="DF356" s="618">
        <v>0</v>
      </c>
      <c r="DG356" s="618">
        <v>0</v>
      </c>
      <c r="DH356" s="618">
        <v>0</v>
      </c>
      <c r="DI356" s="618">
        <v>0</v>
      </c>
      <c r="DJ356" s="618">
        <v>0</v>
      </c>
      <c r="DK356" s="1034">
        <f t="shared" si="277"/>
        <v>236.09999847412109</v>
      </c>
      <c r="DL356" s="543">
        <f t="shared" si="298"/>
        <v>0.25</v>
      </c>
      <c r="DM356" s="542">
        <f t="shared" si="299"/>
        <v>118.04999923706055</v>
      </c>
      <c r="DN356" s="594">
        <f t="shared" si="300"/>
        <v>100</v>
      </c>
      <c r="DO356" s="540">
        <f t="shared" si="301"/>
        <v>0.25</v>
      </c>
      <c r="DP356" s="597">
        <f t="shared" si="309"/>
        <v>0.25</v>
      </c>
      <c r="DQ356" s="538">
        <f t="shared" si="302"/>
        <v>0.25</v>
      </c>
      <c r="DR356" s="617">
        <f t="shared" si="303"/>
        <v>1</v>
      </c>
      <c r="DS356" s="616">
        <f t="shared" si="304"/>
        <v>0</v>
      </c>
      <c r="DT356" s="259">
        <v>411</v>
      </c>
      <c r="DU356" s="260" t="s">
        <v>263</v>
      </c>
      <c r="DV356" s="259"/>
      <c r="DW356" s="260" t="s">
        <v>242</v>
      </c>
      <c r="DX356" s="259"/>
      <c r="DY356" s="259"/>
      <c r="DZ356" s="259"/>
      <c r="EA356" s="987"/>
      <c r="EB356" s="1041" t="s">
        <v>2660</v>
      </c>
      <c r="EC356" s="802">
        <v>54000000</v>
      </c>
      <c r="EE356" s="1047"/>
    </row>
    <row r="357" spans="4:135" s="534" customFormat="1" ht="89.25" hidden="1" x14ac:dyDescent="0.3">
      <c r="D357" s="783">
        <v>354</v>
      </c>
      <c r="E357" s="799">
        <v>415</v>
      </c>
      <c r="F357" s="739" t="s">
        <v>201</v>
      </c>
      <c r="G357" s="574" t="s">
        <v>1026</v>
      </c>
      <c r="H357" s="739" t="s">
        <v>148</v>
      </c>
      <c r="I357" s="676" t="s">
        <v>1027</v>
      </c>
      <c r="J357" s="573" t="s">
        <v>1034</v>
      </c>
      <c r="K357" s="573" t="s">
        <v>1035</v>
      </c>
      <c r="L357" s="687" t="s">
        <v>2139</v>
      </c>
      <c r="M357" s="571" t="s">
        <v>2017</v>
      </c>
      <c r="N357" s="571">
        <v>0</v>
      </c>
      <c r="O357" s="570">
        <f t="shared" si="308"/>
        <v>2</v>
      </c>
      <c r="P357" s="569">
        <v>2</v>
      </c>
      <c r="Q357" s="628">
        <v>0.16500000000000001</v>
      </c>
      <c r="R357" s="580">
        <f t="shared" si="282"/>
        <v>0</v>
      </c>
      <c r="S357" s="627">
        <v>0</v>
      </c>
      <c r="T357" s="625">
        <f t="shared" si="264"/>
        <v>0</v>
      </c>
      <c r="U357" s="992">
        <v>0</v>
      </c>
      <c r="V357" s="626">
        <f t="shared" si="265"/>
        <v>0</v>
      </c>
      <c r="W357" s="594">
        <f t="shared" si="266"/>
        <v>0</v>
      </c>
      <c r="X357" s="594">
        <f t="shared" si="283"/>
        <v>0</v>
      </c>
      <c r="Y357" s="594">
        <f t="shared" si="307"/>
        <v>0</v>
      </c>
      <c r="Z357" s="594">
        <f t="shared" si="284"/>
        <v>0</v>
      </c>
      <c r="AA357" s="593">
        <v>0</v>
      </c>
      <c r="AB357" s="593">
        <v>0</v>
      </c>
      <c r="AC357" s="593">
        <v>0</v>
      </c>
      <c r="AD357" s="593">
        <v>0</v>
      </c>
      <c r="AE357" s="593">
        <v>0</v>
      </c>
      <c r="AF357" s="593">
        <v>0</v>
      </c>
      <c r="AG357" s="593">
        <v>0</v>
      </c>
      <c r="AH357" s="593">
        <v>0</v>
      </c>
      <c r="AI357" s="593">
        <v>59540000</v>
      </c>
      <c r="AJ357" s="593">
        <v>59540000</v>
      </c>
      <c r="AK357" s="593">
        <v>0</v>
      </c>
      <c r="AL357" s="593">
        <v>0</v>
      </c>
      <c r="AM357" s="593">
        <v>0</v>
      </c>
      <c r="AN357" s="593">
        <v>0</v>
      </c>
      <c r="AO357" s="593">
        <v>0</v>
      </c>
      <c r="AP357" s="593">
        <v>0</v>
      </c>
      <c r="AQ357" s="593">
        <v>0</v>
      </c>
      <c r="AR357" s="593">
        <v>0</v>
      </c>
      <c r="AS357" s="593">
        <v>0</v>
      </c>
      <c r="AT357" s="570">
        <f t="shared" si="285"/>
        <v>8.2500000000000004E-2</v>
      </c>
      <c r="AU357" s="571">
        <v>1</v>
      </c>
      <c r="AV357" s="625">
        <f t="shared" si="267"/>
        <v>0.5</v>
      </c>
      <c r="AW357" s="1003">
        <v>1</v>
      </c>
      <c r="AX357" s="604">
        <f t="shared" si="268"/>
        <v>1</v>
      </c>
      <c r="AY357" s="604">
        <f t="shared" si="269"/>
        <v>100</v>
      </c>
      <c r="AZ357" s="604">
        <f t="shared" si="286"/>
        <v>100</v>
      </c>
      <c r="BA357" s="592">
        <f t="shared" si="287"/>
        <v>8.2500000000000004E-2</v>
      </c>
      <c r="BB357" s="592">
        <f t="shared" si="288"/>
        <v>100</v>
      </c>
      <c r="BC357" s="591">
        <v>26000000</v>
      </c>
      <c r="BD357" s="591">
        <v>0</v>
      </c>
      <c r="BE357" s="591">
        <v>26000000</v>
      </c>
      <c r="BF357" s="591">
        <v>0</v>
      </c>
      <c r="BG357" s="591">
        <v>0</v>
      </c>
      <c r="BH357" s="591">
        <v>0</v>
      </c>
      <c r="BI357" s="591">
        <v>0</v>
      </c>
      <c r="BJ357" s="591">
        <v>0</v>
      </c>
      <c r="BK357" s="624">
        <v>198774072</v>
      </c>
      <c r="BL357" s="589">
        <v>198774072</v>
      </c>
      <c r="BM357" s="589">
        <v>0</v>
      </c>
      <c r="BN357" s="589">
        <v>0</v>
      </c>
      <c r="BO357" s="589">
        <v>0</v>
      </c>
      <c r="BP357" s="589">
        <v>0</v>
      </c>
      <c r="BQ357" s="589">
        <v>0</v>
      </c>
      <c r="BR357" s="589">
        <v>0</v>
      </c>
      <c r="BS357" s="589">
        <v>0</v>
      </c>
      <c r="BT357" s="589">
        <v>0</v>
      </c>
      <c r="BU357" s="589">
        <v>0</v>
      </c>
      <c r="BV357" s="588">
        <f t="shared" si="289"/>
        <v>8.2500000000000004E-2</v>
      </c>
      <c r="BW357" s="588">
        <v>1</v>
      </c>
      <c r="BX357" s="623">
        <f t="shared" si="270"/>
        <v>0.5</v>
      </c>
      <c r="BY357" s="639">
        <v>0.25</v>
      </c>
      <c r="BZ357" s="638">
        <v>0.62999999523162842</v>
      </c>
      <c r="CA357" s="1018">
        <v>1</v>
      </c>
      <c r="CB357" s="557">
        <f t="shared" si="271"/>
        <v>1</v>
      </c>
      <c r="CC357" s="557">
        <f t="shared" si="272"/>
        <v>100</v>
      </c>
      <c r="CD357" s="622">
        <f t="shared" si="290"/>
        <v>100</v>
      </c>
      <c r="CE357" s="621">
        <f t="shared" si="291"/>
        <v>8.2500000000000004E-2</v>
      </c>
      <c r="CF357" s="605">
        <f t="shared" si="292"/>
        <v>100</v>
      </c>
      <c r="CG357" s="621">
        <f t="shared" si="293"/>
        <v>8.2500000000000004E-2</v>
      </c>
      <c r="CH357" s="553">
        <f t="shared" si="294"/>
        <v>0</v>
      </c>
      <c r="CI357" s="552">
        <v>0</v>
      </c>
      <c r="CJ357" s="551">
        <f t="shared" si="273"/>
        <v>0</v>
      </c>
      <c r="CK357" s="874">
        <v>0</v>
      </c>
      <c r="CL357" s="533">
        <f t="shared" si="274"/>
        <v>0</v>
      </c>
      <c r="CM357" s="619">
        <f t="shared" si="275"/>
        <v>0</v>
      </c>
      <c r="CN357" s="619">
        <f t="shared" si="276"/>
        <v>0</v>
      </c>
      <c r="CO357" s="549">
        <f t="shared" si="295"/>
        <v>0</v>
      </c>
      <c r="CP357" s="619">
        <f t="shared" si="296"/>
        <v>0</v>
      </c>
      <c r="CQ357" s="619">
        <f t="shared" si="297"/>
        <v>0</v>
      </c>
      <c r="CR357" s="546">
        <v>60000000</v>
      </c>
      <c r="CS357" s="546">
        <v>60000000</v>
      </c>
      <c r="CT357" s="546">
        <v>0</v>
      </c>
      <c r="CU357" s="546">
        <v>0</v>
      </c>
      <c r="CV357" s="546">
        <v>0</v>
      </c>
      <c r="CW357" s="546">
        <v>0</v>
      </c>
      <c r="CX357" s="546">
        <v>0</v>
      </c>
      <c r="CY357" s="546">
        <v>0</v>
      </c>
      <c r="CZ357" s="618">
        <v>0</v>
      </c>
      <c r="DA357" s="618">
        <v>0</v>
      </c>
      <c r="DB357" s="618">
        <v>0</v>
      </c>
      <c r="DC357" s="618">
        <v>0</v>
      </c>
      <c r="DD357" s="618">
        <v>0</v>
      </c>
      <c r="DE357" s="618">
        <v>0</v>
      </c>
      <c r="DF357" s="618">
        <v>0</v>
      </c>
      <c r="DG357" s="618">
        <v>0</v>
      </c>
      <c r="DH357" s="618">
        <v>0</v>
      </c>
      <c r="DI357" s="618">
        <v>0</v>
      </c>
      <c r="DJ357" s="618">
        <v>0</v>
      </c>
      <c r="DK357" s="1034">
        <f t="shared" si="277"/>
        <v>2</v>
      </c>
      <c r="DL357" s="543">
        <f t="shared" si="298"/>
        <v>0.16500000000000001</v>
      </c>
      <c r="DM357" s="542">
        <f t="shared" si="299"/>
        <v>100</v>
      </c>
      <c r="DN357" s="594">
        <f t="shared" si="300"/>
        <v>100</v>
      </c>
      <c r="DO357" s="540">
        <f t="shared" si="301"/>
        <v>0.16500000000000001</v>
      </c>
      <c r="DP357" s="597">
        <f t="shared" si="309"/>
        <v>0.16500000000000001</v>
      </c>
      <c r="DQ357" s="538">
        <f t="shared" si="302"/>
        <v>0.16500000000000001</v>
      </c>
      <c r="DR357" s="617">
        <f t="shared" si="303"/>
        <v>1</v>
      </c>
      <c r="DS357" s="616">
        <f t="shared" si="304"/>
        <v>0</v>
      </c>
      <c r="DT357" s="259">
        <v>411</v>
      </c>
      <c r="DU357" s="260" t="s">
        <v>263</v>
      </c>
      <c r="DV357" s="259"/>
      <c r="DW357" s="260" t="s">
        <v>242</v>
      </c>
      <c r="DX357" s="259"/>
      <c r="DY357" s="259"/>
      <c r="DZ357" s="259"/>
      <c r="EA357" s="987"/>
      <c r="EB357" s="1041" t="s">
        <v>2661</v>
      </c>
      <c r="EC357" s="802">
        <v>60000000</v>
      </c>
      <c r="EE357" s="1047"/>
    </row>
    <row r="358" spans="4:135" s="534" customFormat="1" ht="76.5" hidden="1" x14ac:dyDescent="0.3">
      <c r="D358" s="783">
        <v>355</v>
      </c>
      <c r="E358" s="799">
        <v>416</v>
      </c>
      <c r="F358" s="739" t="s">
        <v>201</v>
      </c>
      <c r="G358" s="574" t="s">
        <v>1026</v>
      </c>
      <c r="H358" s="739" t="s">
        <v>148</v>
      </c>
      <c r="I358" s="676" t="s">
        <v>1036</v>
      </c>
      <c r="J358" s="573" t="s">
        <v>1037</v>
      </c>
      <c r="K358" s="573" t="s">
        <v>1038</v>
      </c>
      <c r="L358" s="687" t="s">
        <v>1724</v>
      </c>
      <c r="M358" s="571" t="s">
        <v>2017</v>
      </c>
      <c r="N358" s="571">
        <v>0</v>
      </c>
      <c r="O358" s="570">
        <f t="shared" si="308"/>
        <v>100</v>
      </c>
      <c r="P358" s="569">
        <v>100</v>
      </c>
      <c r="Q358" s="628">
        <v>0.16500000000000001</v>
      </c>
      <c r="R358" s="580">
        <f t="shared" si="282"/>
        <v>0</v>
      </c>
      <c r="S358" s="627">
        <v>0</v>
      </c>
      <c r="T358" s="625">
        <f t="shared" si="264"/>
        <v>0</v>
      </c>
      <c r="U358" s="992">
        <v>0</v>
      </c>
      <c r="V358" s="626">
        <f t="shared" si="265"/>
        <v>0</v>
      </c>
      <c r="W358" s="594">
        <f t="shared" si="266"/>
        <v>0</v>
      </c>
      <c r="X358" s="594">
        <f t="shared" si="283"/>
        <v>0</v>
      </c>
      <c r="Y358" s="594">
        <f t="shared" si="307"/>
        <v>0</v>
      </c>
      <c r="Z358" s="594">
        <f t="shared" si="284"/>
        <v>0</v>
      </c>
      <c r="AA358" s="593">
        <v>0</v>
      </c>
      <c r="AB358" s="593">
        <v>0</v>
      </c>
      <c r="AC358" s="593">
        <v>0</v>
      </c>
      <c r="AD358" s="593">
        <v>0</v>
      </c>
      <c r="AE358" s="593">
        <v>0</v>
      </c>
      <c r="AF358" s="593">
        <v>0</v>
      </c>
      <c r="AG358" s="593">
        <v>0</v>
      </c>
      <c r="AH358" s="593">
        <v>0</v>
      </c>
      <c r="AI358" s="593">
        <v>0</v>
      </c>
      <c r="AJ358" s="593">
        <v>0</v>
      </c>
      <c r="AK358" s="593">
        <v>0</v>
      </c>
      <c r="AL358" s="593">
        <v>0</v>
      </c>
      <c r="AM358" s="593">
        <v>0</v>
      </c>
      <c r="AN358" s="593">
        <v>0</v>
      </c>
      <c r="AO358" s="593">
        <v>0</v>
      </c>
      <c r="AP358" s="593">
        <v>0</v>
      </c>
      <c r="AQ358" s="593">
        <v>0</v>
      </c>
      <c r="AR358" s="593">
        <v>0</v>
      </c>
      <c r="AS358" s="593">
        <v>0</v>
      </c>
      <c r="AT358" s="570">
        <f t="shared" si="285"/>
        <v>4.9500000000000002E-2</v>
      </c>
      <c r="AU358" s="571">
        <v>30</v>
      </c>
      <c r="AV358" s="625">
        <f t="shared" si="267"/>
        <v>0.3</v>
      </c>
      <c r="AW358" s="1003">
        <v>10</v>
      </c>
      <c r="AX358" s="604">
        <f t="shared" si="268"/>
        <v>10</v>
      </c>
      <c r="AY358" s="604">
        <f t="shared" si="269"/>
        <v>33.333333333333336</v>
      </c>
      <c r="AZ358" s="604">
        <f t="shared" si="286"/>
        <v>33.333333333333336</v>
      </c>
      <c r="BA358" s="592">
        <f t="shared" si="287"/>
        <v>1.6500000000000001E-2</v>
      </c>
      <c r="BB358" s="592">
        <f t="shared" si="288"/>
        <v>33.333333333333336</v>
      </c>
      <c r="BC358" s="591">
        <v>26000000</v>
      </c>
      <c r="BD358" s="591">
        <v>0</v>
      </c>
      <c r="BE358" s="591">
        <v>26000000</v>
      </c>
      <c r="BF358" s="591">
        <v>0</v>
      </c>
      <c r="BG358" s="591">
        <v>0</v>
      </c>
      <c r="BH358" s="591">
        <v>0</v>
      </c>
      <c r="BI358" s="591">
        <v>0</v>
      </c>
      <c r="BJ358" s="591">
        <v>0</v>
      </c>
      <c r="BK358" s="624">
        <v>1845000</v>
      </c>
      <c r="BL358" s="589">
        <v>1845000</v>
      </c>
      <c r="BM358" s="589">
        <v>0</v>
      </c>
      <c r="BN358" s="589">
        <v>0</v>
      </c>
      <c r="BO358" s="589">
        <v>0</v>
      </c>
      <c r="BP358" s="589">
        <v>0</v>
      </c>
      <c r="BQ358" s="589">
        <v>0</v>
      </c>
      <c r="BR358" s="589">
        <v>0</v>
      </c>
      <c r="BS358" s="589">
        <v>0</v>
      </c>
      <c r="BT358" s="589">
        <v>0</v>
      </c>
      <c r="BU358" s="589">
        <v>0</v>
      </c>
      <c r="BV358" s="588">
        <f t="shared" si="289"/>
        <v>4.9500000000000002E-2</v>
      </c>
      <c r="BW358" s="588">
        <v>30</v>
      </c>
      <c r="BX358" s="623">
        <f t="shared" si="270"/>
        <v>0.3</v>
      </c>
      <c r="BY358" s="607">
        <v>0.2</v>
      </c>
      <c r="BZ358" s="629">
        <v>0.20000000298023224</v>
      </c>
      <c r="CA358" s="1017">
        <v>20</v>
      </c>
      <c r="CB358" s="557">
        <f t="shared" si="271"/>
        <v>20</v>
      </c>
      <c r="CC358" s="557">
        <f t="shared" si="272"/>
        <v>66.666666666666671</v>
      </c>
      <c r="CD358" s="622">
        <f t="shared" si="290"/>
        <v>66.666666666666671</v>
      </c>
      <c r="CE358" s="621">
        <f t="shared" si="291"/>
        <v>3.3000000000000002E-2</v>
      </c>
      <c r="CF358" s="605">
        <f t="shared" si="292"/>
        <v>66.666666666666671</v>
      </c>
      <c r="CG358" s="621">
        <f t="shared" si="293"/>
        <v>3.3000000000000002E-2</v>
      </c>
      <c r="CH358" s="553">
        <f t="shared" si="294"/>
        <v>6.6000000000000003E-2</v>
      </c>
      <c r="CI358" s="634">
        <v>40</v>
      </c>
      <c r="CJ358" s="551">
        <f t="shared" si="273"/>
        <v>0.4</v>
      </c>
      <c r="CK358" s="874">
        <v>0</v>
      </c>
      <c r="CL358" s="533">
        <f t="shared" si="274"/>
        <v>40</v>
      </c>
      <c r="CM358" s="619">
        <f t="shared" si="275"/>
        <v>0</v>
      </c>
      <c r="CN358" s="619">
        <f t="shared" si="276"/>
        <v>0</v>
      </c>
      <c r="CO358" s="549">
        <f t="shared" si="295"/>
        <v>0</v>
      </c>
      <c r="CP358" s="619">
        <f t="shared" si="296"/>
        <v>0</v>
      </c>
      <c r="CQ358" s="619">
        <f t="shared" si="297"/>
        <v>0</v>
      </c>
      <c r="CR358" s="546">
        <v>60000000</v>
      </c>
      <c r="CS358" s="546">
        <v>60000000</v>
      </c>
      <c r="CT358" s="546">
        <v>0</v>
      </c>
      <c r="CU358" s="546">
        <v>0</v>
      </c>
      <c r="CV358" s="546">
        <v>0</v>
      </c>
      <c r="CW358" s="546">
        <v>0</v>
      </c>
      <c r="CX358" s="546">
        <v>0</v>
      </c>
      <c r="CY358" s="546">
        <v>0</v>
      </c>
      <c r="CZ358" s="618">
        <v>0</v>
      </c>
      <c r="DA358" s="618">
        <v>0</v>
      </c>
      <c r="DB358" s="618">
        <v>0</v>
      </c>
      <c r="DC358" s="618">
        <v>0</v>
      </c>
      <c r="DD358" s="618">
        <v>0</v>
      </c>
      <c r="DE358" s="618">
        <v>0</v>
      </c>
      <c r="DF358" s="618">
        <v>0</v>
      </c>
      <c r="DG358" s="618">
        <v>0</v>
      </c>
      <c r="DH358" s="618">
        <v>0</v>
      </c>
      <c r="DI358" s="618">
        <v>0</v>
      </c>
      <c r="DJ358" s="618">
        <v>0</v>
      </c>
      <c r="DK358" s="1034">
        <f t="shared" si="277"/>
        <v>30</v>
      </c>
      <c r="DL358" s="543">
        <f t="shared" si="298"/>
        <v>0.16500000000000001</v>
      </c>
      <c r="DM358" s="542">
        <f t="shared" si="299"/>
        <v>30</v>
      </c>
      <c r="DN358" s="594">
        <f t="shared" si="300"/>
        <v>30</v>
      </c>
      <c r="DO358" s="540">
        <f t="shared" si="301"/>
        <v>4.9500000000000002E-2</v>
      </c>
      <c r="DP358" s="597">
        <f t="shared" si="309"/>
        <v>4.9500000000000002E-2</v>
      </c>
      <c r="DQ358" s="538">
        <f t="shared" si="302"/>
        <v>4.9500000000000002E-2</v>
      </c>
      <c r="DR358" s="617">
        <f t="shared" si="303"/>
        <v>1</v>
      </c>
      <c r="DS358" s="616">
        <f t="shared" si="304"/>
        <v>0</v>
      </c>
      <c r="DT358" s="259">
        <v>411</v>
      </c>
      <c r="DU358" s="260" t="s">
        <v>263</v>
      </c>
      <c r="DV358" s="259"/>
      <c r="DW358" s="260" t="s">
        <v>242</v>
      </c>
      <c r="DX358" s="259"/>
      <c r="DY358" s="259"/>
      <c r="DZ358" s="259"/>
      <c r="EA358" s="987"/>
      <c r="EB358" s="1041" t="s">
        <v>2662</v>
      </c>
      <c r="EC358" s="802">
        <v>60000000</v>
      </c>
      <c r="EE358" s="1047"/>
    </row>
    <row r="359" spans="4:135" s="534" customFormat="1" ht="76.5" hidden="1" x14ac:dyDescent="0.3">
      <c r="D359" s="783">
        <v>356</v>
      </c>
      <c r="E359" s="799">
        <v>417</v>
      </c>
      <c r="F359" s="739" t="s">
        <v>201</v>
      </c>
      <c r="G359" s="574" t="s">
        <v>1026</v>
      </c>
      <c r="H359" s="739" t="s">
        <v>148</v>
      </c>
      <c r="I359" s="676" t="s">
        <v>1039</v>
      </c>
      <c r="J359" s="573" t="s">
        <v>1040</v>
      </c>
      <c r="K359" s="573" t="s">
        <v>1041</v>
      </c>
      <c r="L359" s="687" t="s">
        <v>2138</v>
      </c>
      <c r="M359" s="571" t="s">
        <v>2017</v>
      </c>
      <c r="N359" s="571">
        <v>0</v>
      </c>
      <c r="O359" s="570">
        <f t="shared" si="308"/>
        <v>1</v>
      </c>
      <c r="P359" s="569">
        <v>1</v>
      </c>
      <c r="Q359" s="628">
        <v>0.16500000000000001</v>
      </c>
      <c r="R359" s="580">
        <f t="shared" si="282"/>
        <v>0</v>
      </c>
      <c r="S359" s="627">
        <v>0</v>
      </c>
      <c r="T359" s="625">
        <f t="shared" si="264"/>
        <v>0</v>
      </c>
      <c r="U359" s="992">
        <v>0</v>
      </c>
      <c r="V359" s="626">
        <f t="shared" si="265"/>
        <v>0</v>
      </c>
      <c r="W359" s="594">
        <f t="shared" si="266"/>
        <v>0</v>
      </c>
      <c r="X359" s="594">
        <f t="shared" si="283"/>
        <v>0</v>
      </c>
      <c r="Y359" s="594">
        <f t="shared" si="307"/>
        <v>0</v>
      </c>
      <c r="Z359" s="594">
        <f t="shared" si="284"/>
        <v>0</v>
      </c>
      <c r="AA359" s="593">
        <v>0</v>
      </c>
      <c r="AB359" s="593">
        <v>0</v>
      </c>
      <c r="AC359" s="593">
        <v>0</v>
      </c>
      <c r="AD359" s="593">
        <v>0</v>
      </c>
      <c r="AE359" s="593">
        <v>0</v>
      </c>
      <c r="AF359" s="593">
        <v>0</v>
      </c>
      <c r="AG359" s="593">
        <v>0</v>
      </c>
      <c r="AH359" s="593">
        <v>0</v>
      </c>
      <c r="AI359" s="593">
        <v>0</v>
      </c>
      <c r="AJ359" s="593">
        <v>0</v>
      </c>
      <c r="AK359" s="593">
        <v>0</v>
      </c>
      <c r="AL359" s="593">
        <v>0</v>
      </c>
      <c r="AM359" s="593">
        <v>0</v>
      </c>
      <c r="AN359" s="593">
        <v>0</v>
      </c>
      <c r="AO359" s="593">
        <v>0</v>
      </c>
      <c r="AP359" s="593">
        <v>0</v>
      </c>
      <c r="AQ359" s="593">
        <v>0</v>
      </c>
      <c r="AR359" s="593">
        <v>0</v>
      </c>
      <c r="AS359" s="593">
        <v>0</v>
      </c>
      <c r="AT359" s="570">
        <f t="shared" si="285"/>
        <v>4.9500000000000002E-2</v>
      </c>
      <c r="AU359" s="571">
        <v>0.3</v>
      </c>
      <c r="AV359" s="625">
        <f t="shared" si="267"/>
        <v>0.3</v>
      </c>
      <c r="AW359" s="1003">
        <v>0.3</v>
      </c>
      <c r="AX359" s="604">
        <f t="shared" si="268"/>
        <v>0.3</v>
      </c>
      <c r="AY359" s="604">
        <f t="shared" si="269"/>
        <v>100</v>
      </c>
      <c r="AZ359" s="604">
        <f t="shared" si="286"/>
        <v>100</v>
      </c>
      <c r="BA359" s="592">
        <f t="shared" si="287"/>
        <v>4.9500000000000002E-2</v>
      </c>
      <c r="BB359" s="592">
        <f t="shared" si="288"/>
        <v>100</v>
      </c>
      <c r="BC359" s="591">
        <v>3000000</v>
      </c>
      <c r="BD359" s="591">
        <v>0</v>
      </c>
      <c r="BE359" s="591">
        <v>3000000</v>
      </c>
      <c r="BF359" s="591">
        <v>0</v>
      </c>
      <c r="BG359" s="591">
        <v>0</v>
      </c>
      <c r="BH359" s="591">
        <v>0</v>
      </c>
      <c r="BI359" s="591">
        <v>0</v>
      </c>
      <c r="BJ359" s="591">
        <v>0</v>
      </c>
      <c r="BK359" s="624">
        <v>133292000</v>
      </c>
      <c r="BL359" s="589">
        <v>133292000</v>
      </c>
      <c r="BM359" s="589">
        <v>0</v>
      </c>
      <c r="BN359" s="589">
        <v>0</v>
      </c>
      <c r="BO359" s="589">
        <v>0</v>
      </c>
      <c r="BP359" s="589">
        <v>0</v>
      </c>
      <c r="BQ359" s="589">
        <v>0</v>
      </c>
      <c r="BR359" s="589">
        <v>0</v>
      </c>
      <c r="BS359" s="589">
        <v>0</v>
      </c>
      <c r="BT359" s="589">
        <v>0</v>
      </c>
      <c r="BU359" s="589">
        <v>0</v>
      </c>
      <c r="BV359" s="588">
        <f t="shared" si="289"/>
        <v>4.9500000000000002E-2</v>
      </c>
      <c r="BW359" s="588">
        <v>0.3</v>
      </c>
      <c r="BX359" s="623">
        <f t="shared" si="270"/>
        <v>0.3</v>
      </c>
      <c r="BY359" s="607">
        <v>0.3</v>
      </c>
      <c r="BZ359" s="629">
        <v>0.44999998807907104</v>
      </c>
      <c r="CA359" s="1017">
        <v>1</v>
      </c>
      <c r="CB359" s="557">
        <f t="shared" si="271"/>
        <v>1</v>
      </c>
      <c r="CC359" s="557">
        <f t="shared" si="272"/>
        <v>333.33333333333337</v>
      </c>
      <c r="CD359" s="622">
        <f t="shared" si="290"/>
        <v>100</v>
      </c>
      <c r="CE359" s="621">
        <f t="shared" si="291"/>
        <v>4.9500000000000002E-2</v>
      </c>
      <c r="CF359" s="605">
        <f t="shared" si="292"/>
        <v>100</v>
      </c>
      <c r="CG359" s="621">
        <f t="shared" si="293"/>
        <v>0.16500000000000004</v>
      </c>
      <c r="CH359" s="553">
        <f t="shared" si="294"/>
        <v>6.6000000000000003E-2</v>
      </c>
      <c r="CI359" s="552">
        <v>0.4</v>
      </c>
      <c r="CJ359" s="551">
        <f t="shared" si="273"/>
        <v>0.4</v>
      </c>
      <c r="CK359" s="874">
        <v>0.20000000298023224</v>
      </c>
      <c r="CL359" s="533">
        <f t="shared" si="274"/>
        <v>0.19999999701976778</v>
      </c>
      <c r="CM359" s="619">
        <f t="shared" si="275"/>
        <v>0.20000000298023224</v>
      </c>
      <c r="CN359" s="619">
        <f t="shared" si="276"/>
        <v>50.00000074505806</v>
      </c>
      <c r="CO359" s="549">
        <f t="shared" si="295"/>
        <v>50.00000074505806</v>
      </c>
      <c r="CP359" s="619">
        <f t="shared" si="296"/>
        <v>3.3000000491738318E-2</v>
      </c>
      <c r="CQ359" s="619">
        <f t="shared" si="297"/>
        <v>3.3000000491738318E-2</v>
      </c>
      <c r="CR359" s="546">
        <v>7000000</v>
      </c>
      <c r="CS359" s="546">
        <v>7000000</v>
      </c>
      <c r="CT359" s="546">
        <v>0</v>
      </c>
      <c r="CU359" s="546">
        <v>0</v>
      </c>
      <c r="CV359" s="546">
        <v>0</v>
      </c>
      <c r="CW359" s="546">
        <v>0</v>
      </c>
      <c r="CX359" s="546">
        <v>0</v>
      </c>
      <c r="CY359" s="546">
        <v>0</v>
      </c>
      <c r="CZ359" s="618">
        <v>0</v>
      </c>
      <c r="DA359" s="618">
        <v>0</v>
      </c>
      <c r="DB359" s="618">
        <v>0</v>
      </c>
      <c r="DC359" s="618">
        <v>0</v>
      </c>
      <c r="DD359" s="618">
        <v>0</v>
      </c>
      <c r="DE359" s="618">
        <v>0</v>
      </c>
      <c r="DF359" s="618">
        <v>0</v>
      </c>
      <c r="DG359" s="618">
        <v>0</v>
      </c>
      <c r="DH359" s="618">
        <v>0</v>
      </c>
      <c r="DI359" s="618">
        <v>0</v>
      </c>
      <c r="DJ359" s="618">
        <v>0</v>
      </c>
      <c r="DK359" s="1034">
        <f t="shared" si="277"/>
        <v>1.5000000029802323</v>
      </c>
      <c r="DL359" s="543">
        <f t="shared" si="298"/>
        <v>0.16500000000000001</v>
      </c>
      <c r="DM359" s="542">
        <f t="shared" si="299"/>
        <v>150.00000029802322</v>
      </c>
      <c r="DN359" s="594">
        <f t="shared" si="300"/>
        <v>100</v>
      </c>
      <c r="DO359" s="540">
        <f t="shared" si="301"/>
        <v>0.16500000000000001</v>
      </c>
      <c r="DP359" s="597">
        <f t="shared" si="309"/>
        <v>0.16500000000000001</v>
      </c>
      <c r="DQ359" s="538">
        <f t="shared" si="302"/>
        <v>0.16500000000000001</v>
      </c>
      <c r="DR359" s="617">
        <f t="shared" si="303"/>
        <v>1</v>
      </c>
      <c r="DS359" s="616">
        <f t="shared" si="304"/>
        <v>0</v>
      </c>
      <c r="DT359" s="259">
        <v>411</v>
      </c>
      <c r="DU359" s="260" t="s">
        <v>263</v>
      </c>
      <c r="DV359" s="259"/>
      <c r="DW359" s="260" t="s">
        <v>242</v>
      </c>
      <c r="DX359" s="259"/>
      <c r="DY359" s="259"/>
      <c r="DZ359" s="259"/>
      <c r="EA359" s="987"/>
      <c r="EB359" s="1041" t="s">
        <v>2663</v>
      </c>
      <c r="EC359" s="802">
        <v>7000000</v>
      </c>
      <c r="EE359" s="1047"/>
    </row>
    <row r="360" spans="4:135" s="534" customFormat="1" ht="89.25" hidden="1" x14ac:dyDescent="0.3">
      <c r="D360" s="783">
        <v>357</v>
      </c>
      <c r="E360" s="799">
        <v>418</v>
      </c>
      <c r="F360" s="739" t="s">
        <v>201</v>
      </c>
      <c r="G360" s="574" t="s">
        <v>1026</v>
      </c>
      <c r="H360" s="739" t="s">
        <v>148</v>
      </c>
      <c r="I360" s="676" t="s">
        <v>1042</v>
      </c>
      <c r="J360" s="573" t="s">
        <v>1043</v>
      </c>
      <c r="K360" s="573" t="s">
        <v>1044</v>
      </c>
      <c r="L360" s="687" t="s">
        <v>2137</v>
      </c>
      <c r="M360" s="571" t="s">
        <v>2017</v>
      </c>
      <c r="N360" s="571">
        <v>0</v>
      </c>
      <c r="O360" s="570">
        <f t="shared" si="308"/>
        <v>2</v>
      </c>
      <c r="P360" s="569">
        <v>2</v>
      </c>
      <c r="Q360" s="628">
        <v>0.16500000000000001</v>
      </c>
      <c r="R360" s="580">
        <f t="shared" si="282"/>
        <v>0</v>
      </c>
      <c r="S360" s="627">
        <v>0</v>
      </c>
      <c r="T360" s="625">
        <f t="shared" si="264"/>
        <v>0</v>
      </c>
      <c r="U360" s="992">
        <v>0</v>
      </c>
      <c r="V360" s="626">
        <f t="shared" si="265"/>
        <v>0</v>
      </c>
      <c r="W360" s="594">
        <f t="shared" si="266"/>
        <v>0</v>
      </c>
      <c r="X360" s="594">
        <f t="shared" si="283"/>
        <v>0</v>
      </c>
      <c r="Y360" s="594">
        <f t="shared" si="307"/>
        <v>0</v>
      </c>
      <c r="Z360" s="594">
        <f t="shared" si="284"/>
        <v>0</v>
      </c>
      <c r="AA360" s="593">
        <v>70000000</v>
      </c>
      <c r="AB360" s="593">
        <v>70000000</v>
      </c>
      <c r="AC360" s="593">
        <v>0</v>
      </c>
      <c r="AD360" s="593">
        <v>0</v>
      </c>
      <c r="AE360" s="593">
        <v>0</v>
      </c>
      <c r="AF360" s="593">
        <v>0</v>
      </c>
      <c r="AG360" s="593">
        <v>0</v>
      </c>
      <c r="AH360" s="593">
        <v>0</v>
      </c>
      <c r="AI360" s="593">
        <v>0</v>
      </c>
      <c r="AJ360" s="593">
        <v>0</v>
      </c>
      <c r="AK360" s="593">
        <v>0</v>
      </c>
      <c r="AL360" s="593">
        <v>0</v>
      </c>
      <c r="AM360" s="593">
        <v>0</v>
      </c>
      <c r="AN360" s="593">
        <v>0</v>
      </c>
      <c r="AO360" s="593">
        <v>0</v>
      </c>
      <c r="AP360" s="593">
        <v>0</v>
      </c>
      <c r="AQ360" s="593">
        <v>0</v>
      </c>
      <c r="AR360" s="593">
        <v>0</v>
      </c>
      <c r="AS360" s="593">
        <v>0</v>
      </c>
      <c r="AT360" s="570">
        <f t="shared" si="285"/>
        <v>8.2500000000000004E-2</v>
      </c>
      <c r="AU360" s="571">
        <v>1</v>
      </c>
      <c r="AV360" s="625">
        <f t="shared" si="267"/>
        <v>0.5</v>
      </c>
      <c r="AW360" s="1003">
        <v>1</v>
      </c>
      <c r="AX360" s="604">
        <f t="shared" si="268"/>
        <v>1</v>
      </c>
      <c r="AY360" s="604">
        <f t="shared" si="269"/>
        <v>100</v>
      </c>
      <c r="AZ360" s="604">
        <f t="shared" si="286"/>
        <v>100</v>
      </c>
      <c r="BA360" s="592">
        <f t="shared" si="287"/>
        <v>8.2500000000000004E-2</v>
      </c>
      <c r="BB360" s="592">
        <f t="shared" si="288"/>
        <v>100</v>
      </c>
      <c r="BC360" s="591">
        <v>0</v>
      </c>
      <c r="BD360" s="591">
        <v>0</v>
      </c>
      <c r="BE360" s="591">
        <v>0</v>
      </c>
      <c r="BF360" s="591">
        <v>0</v>
      </c>
      <c r="BG360" s="591">
        <v>0</v>
      </c>
      <c r="BH360" s="591">
        <v>0</v>
      </c>
      <c r="BI360" s="591">
        <v>0</v>
      </c>
      <c r="BJ360" s="591">
        <v>0</v>
      </c>
      <c r="BK360" s="624">
        <v>0</v>
      </c>
      <c r="BL360" s="589">
        <v>0</v>
      </c>
      <c r="BM360" s="589">
        <v>0</v>
      </c>
      <c r="BN360" s="589">
        <v>0</v>
      </c>
      <c r="BO360" s="589">
        <v>0</v>
      </c>
      <c r="BP360" s="589">
        <v>0</v>
      </c>
      <c r="BQ360" s="589">
        <v>0</v>
      </c>
      <c r="BR360" s="589">
        <v>0</v>
      </c>
      <c r="BS360" s="589">
        <v>0</v>
      </c>
      <c r="BT360" s="589">
        <v>0</v>
      </c>
      <c r="BU360" s="589">
        <v>0</v>
      </c>
      <c r="BV360" s="588">
        <f t="shared" si="289"/>
        <v>8.2500000000000004E-2</v>
      </c>
      <c r="BW360" s="588">
        <v>1</v>
      </c>
      <c r="BX360" s="623">
        <f t="shared" si="270"/>
        <v>0.5</v>
      </c>
      <c r="BY360" s="640">
        <v>0.3</v>
      </c>
      <c r="BZ360" s="656">
        <v>0.40000000596046448</v>
      </c>
      <c r="CA360" s="1019">
        <v>1</v>
      </c>
      <c r="CB360" s="557">
        <f t="shared" si="271"/>
        <v>1</v>
      </c>
      <c r="CC360" s="557">
        <f t="shared" si="272"/>
        <v>100</v>
      </c>
      <c r="CD360" s="622">
        <f t="shared" si="290"/>
        <v>100</v>
      </c>
      <c r="CE360" s="621">
        <f t="shared" si="291"/>
        <v>8.2500000000000004E-2</v>
      </c>
      <c r="CF360" s="605">
        <f t="shared" si="292"/>
        <v>100</v>
      </c>
      <c r="CG360" s="621">
        <f t="shared" si="293"/>
        <v>8.2500000000000004E-2</v>
      </c>
      <c r="CH360" s="553">
        <f t="shared" si="294"/>
        <v>0</v>
      </c>
      <c r="CI360" s="552">
        <v>0</v>
      </c>
      <c r="CJ360" s="551">
        <f t="shared" si="273"/>
        <v>0</v>
      </c>
      <c r="CK360" s="871">
        <v>0</v>
      </c>
      <c r="CL360" s="533">
        <f t="shared" si="274"/>
        <v>0</v>
      </c>
      <c r="CM360" s="619">
        <f t="shared" si="275"/>
        <v>0</v>
      </c>
      <c r="CN360" s="619">
        <f t="shared" si="276"/>
        <v>0</v>
      </c>
      <c r="CO360" s="549">
        <f t="shared" si="295"/>
        <v>0</v>
      </c>
      <c r="CP360" s="619">
        <f t="shared" si="296"/>
        <v>0</v>
      </c>
      <c r="CQ360" s="619">
        <f t="shared" si="297"/>
        <v>0</v>
      </c>
      <c r="CR360" s="546">
        <v>0</v>
      </c>
      <c r="CS360" s="546">
        <v>0</v>
      </c>
      <c r="CT360" s="546">
        <v>0</v>
      </c>
      <c r="CU360" s="546">
        <v>0</v>
      </c>
      <c r="CV360" s="546">
        <v>0</v>
      </c>
      <c r="CW360" s="546">
        <v>0</v>
      </c>
      <c r="CX360" s="546">
        <v>0</v>
      </c>
      <c r="CY360" s="546">
        <v>0</v>
      </c>
      <c r="CZ360" s="618">
        <v>0</v>
      </c>
      <c r="DA360" s="618">
        <v>0</v>
      </c>
      <c r="DB360" s="618">
        <v>0</v>
      </c>
      <c r="DC360" s="618">
        <v>0</v>
      </c>
      <c r="DD360" s="618">
        <v>0</v>
      </c>
      <c r="DE360" s="618">
        <v>0</v>
      </c>
      <c r="DF360" s="618">
        <v>0</v>
      </c>
      <c r="DG360" s="618">
        <v>0</v>
      </c>
      <c r="DH360" s="618">
        <v>0</v>
      </c>
      <c r="DI360" s="618">
        <v>0</v>
      </c>
      <c r="DJ360" s="618">
        <v>0</v>
      </c>
      <c r="DK360" s="1034">
        <f t="shared" si="277"/>
        <v>2</v>
      </c>
      <c r="DL360" s="543">
        <f t="shared" si="298"/>
        <v>0.16500000000000001</v>
      </c>
      <c r="DM360" s="542">
        <f t="shared" si="299"/>
        <v>100</v>
      </c>
      <c r="DN360" s="594">
        <f t="shared" si="300"/>
        <v>100</v>
      </c>
      <c r="DO360" s="540">
        <f t="shared" si="301"/>
        <v>0.16500000000000001</v>
      </c>
      <c r="DP360" s="597">
        <f t="shared" si="309"/>
        <v>0.16500000000000001</v>
      </c>
      <c r="DQ360" s="538">
        <f t="shared" si="302"/>
        <v>0.16500000000000001</v>
      </c>
      <c r="DR360" s="617">
        <f t="shared" si="303"/>
        <v>1</v>
      </c>
      <c r="DS360" s="616">
        <f t="shared" si="304"/>
        <v>0</v>
      </c>
      <c r="DT360" s="259">
        <v>411</v>
      </c>
      <c r="DU360" s="260" t="s">
        <v>263</v>
      </c>
      <c r="DV360" s="259"/>
      <c r="DW360" s="260" t="s">
        <v>242</v>
      </c>
      <c r="DX360" s="259"/>
      <c r="DY360" s="259"/>
      <c r="DZ360" s="259"/>
      <c r="EA360" s="987"/>
      <c r="EB360" s="1041" t="s">
        <v>2664</v>
      </c>
      <c r="EC360" s="802">
        <v>0</v>
      </c>
      <c r="EE360" s="1047"/>
    </row>
    <row r="361" spans="4:135" s="534" customFormat="1" ht="89.25" hidden="1" x14ac:dyDescent="0.3">
      <c r="D361" s="783">
        <v>358</v>
      </c>
      <c r="E361" s="799">
        <v>419</v>
      </c>
      <c r="F361" s="739" t="s">
        <v>201</v>
      </c>
      <c r="G361" s="574" t="s">
        <v>1026</v>
      </c>
      <c r="H361" s="739" t="s">
        <v>148</v>
      </c>
      <c r="I361" s="676" t="s">
        <v>1042</v>
      </c>
      <c r="J361" s="573" t="s">
        <v>1045</v>
      </c>
      <c r="K361" s="573" t="s">
        <v>1046</v>
      </c>
      <c r="L361" s="687" t="s">
        <v>2069</v>
      </c>
      <c r="M361" s="571" t="s">
        <v>2017</v>
      </c>
      <c r="N361" s="571">
        <v>0</v>
      </c>
      <c r="O361" s="570">
        <f t="shared" si="308"/>
        <v>1</v>
      </c>
      <c r="P361" s="569">
        <v>1</v>
      </c>
      <c r="Q361" s="628">
        <v>0.16500000000000001</v>
      </c>
      <c r="R361" s="580">
        <f t="shared" si="282"/>
        <v>0</v>
      </c>
      <c r="S361" s="627">
        <v>0</v>
      </c>
      <c r="T361" s="625">
        <f t="shared" si="264"/>
        <v>0</v>
      </c>
      <c r="U361" s="992">
        <v>0</v>
      </c>
      <c r="V361" s="626">
        <f t="shared" si="265"/>
        <v>0</v>
      </c>
      <c r="W361" s="594">
        <f t="shared" si="266"/>
        <v>0</v>
      </c>
      <c r="X361" s="594">
        <f t="shared" si="283"/>
        <v>0</v>
      </c>
      <c r="Y361" s="594">
        <f t="shared" si="307"/>
        <v>0</v>
      </c>
      <c r="Z361" s="594">
        <f t="shared" si="284"/>
        <v>0</v>
      </c>
      <c r="AA361" s="593">
        <v>0</v>
      </c>
      <c r="AB361" s="593">
        <v>0</v>
      </c>
      <c r="AC361" s="593">
        <v>0</v>
      </c>
      <c r="AD361" s="593">
        <v>0</v>
      </c>
      <c r="AE361" s="593">
        <v>0</v>
      </c>
      <c r="AF361" s="593">
        <v>0</v>
      </c>
      <c r="AG361" s="593">
        <v>0</v>
      </c>
      <c r="AH361" s="593">
        <v>0</v>
      </c>
      <c r="AI361" s="593">
        <v>0</v>
      </c>
      <c r="AJ361" s="593">
        <v>0</v>
      </c>
      <c r="AK361" s="593">
        <v>0</v>
      </c>
      <c r="AL361" s="593">
        <v>0</v>
      </c>
      <c r="AM361" s="593">
        <v>0</v>
      </c>
      <c r="AN361" s="593">
        <v>0</v>
      </c>
      <c r="AO361" s="593">
        <v>0</v>
      </c>
      <c r="AP361" s="593">
        <v>0</v>
      </c>
      <c r="AQ361" s="593">
        <v>0</v>
      </c>
      <c r="AR361" s="593">
        <v>0</v>
      </c>
      <c r="AS361" s="593">
        <v>0</v>
      </c>
      <c r="AT361" s="570">
        <f t="shared" si="285"/>
        <v>0.16500000000000001</v>
      </c>
      <c r="AU361" s="571">
        <v>1</v>
      </c>
      <c r="AV361" s="625">
        <f t="shared" si="267"/>
        <v>1</v>
      </c>
      <c r="AW361" s="1003">
        <v>1</v>
      </c>
      <c r="AX361" s="604">
        <f t="shared" si="268"/>
        <v>1</v>
      </c>
      <c r="AY361" s="604">
        <f t="shared" si="269"/>
        <v>100</v>
      </c>
      <c r="AZ361" s="604">
        <f t="shared" si="286"/>
        <v>100</v>
      </c>
      <c r="BA361" s="592">
        <f t="shared" si="287"/>
        <v>0.16500000000000001</v>
      </c>
      <c r="BB361" s="592">
        <f t="shared" si="288"/>
        <v>100</v>
      </c>
      <c r="BC361" s="591">
        <v>0</v>
      </c>
      <c r="BD361" s="591">
        <v>0</v>
      </c>
      <c r="BE361" s="591">
        <v>0</v>
      </c>
      <c r="BF361" s="591">
        <v>0</v>
      </c>
      <c r="BG361" s="591">
        <v>0</v>
      </c>
      <c r="BH361" s="591">
        <v>0</v>
      </c>
      <c r="BI361" s="591">
        <v>0</v>
      </c>
      <c r="BJ361" s="591">
        <v>0</v>
      </c>
      <c r="BK361" s="624">
        <v>0</v>
      </c>
      <c r="BL361" s="589">
        <v>0</v>
      </c>
      <c r="BM361" s="589">
        <v>0</v>
      </c>
      <c r="BN361" s="589">
        <v>0</v>
      </c>
      <c r="BO361" s="589">
        <v>0</v>
      </c>
      <c r="BP361" s="589">
        <v>0</v>
      </c>
      <c r="BQ361" s="589">
        <v>0</v>
      </c>
      <c r="BR361" s="589">
        <v>0</v>
      </c>
      <c r="BS361" s="589">
        <v>0</v>
      </c>
      <c r="BT361" s="589">
        <v>0</v>
      </c>
      <c r="BU361" s="589">
        <v>0</v>
      </c>
      <c r="BV361" s="588">
        <f t="shared" si="289"/>
        <v>0</v>
      </c>
      <c r="BW361" s="588">
        <v>0</v>
      </c>
      <c r="BX361" s="623">
        <f t="shared" si="270"/>
        <v>0</v>
      </c>
      <c r="BY361" s="640">
        <v>3</v>
      </c>
      <c r="BZ361" s="656">
        <v>0</v>
      </c>
      <c r="CA361" s="1019">
        <v>0</v>
      </c>
      <c r="CB361" s="557">
        <f t="shared" si="271"/>
        <v>0</v>
      </c>
      <c r="CC361" s="557">
        <f t="shared" si="272"/>
        <v>0</v>
      </c>
      <c r="CD361" s="622">
        <f t="shared" si="290"/>
        <v>0</v>
      </c>
      <c r="CE361" s="621">
        <f t="shared" si="291"/>
        <v>0</v>
      </c>
      <c r="CF361" s="605">
        <f t="shared" si="292"/>
        <v>0</v>
      </c>
      <c r="CG361" s="621">
        <f t="shared" si="293"/>
        <v>0</v>
      </c>
      <c r="CH361" s="553">
        <f t="shared" si="294"/>
        <v>0</v>
      </c>
      <c r="CI361" s="552">
        <v>0</v>
      </c>
      <c r="CJ361" s="551">
        <f t="shared" si="273"/>
        <v>0</v>
      </c>
      <c r="CK361" s="871">
        <v>0</v>
      </c>
      <c r="CL361" s="533">
        <f t="shared" si="274"/>
        <v>0</v>
      </c>
      <c r="CM361" s="619">
        <f t="shared" si="275"/>
        <v>0</v>
      </c>
      <c r="CN361" s="619">
        <f t="shared" si="276"/>
        <v>0</v>
      </c>
      <c r="CO361" s="549">
        <f t="shared" si="295"/>
        <v>0</v>
      </c>
      <c r="CP361" s="619">
        <f t="shared" si="296"/>
        <v>0</v>
      </c>
      <c r="CQ361" s="619">
        <f t="shared" si="297"/>
        <v>0</v>
      </c>
      <c r="CR361" s="546">
        <v>0</v>
      </c>
      <c r="CS361" s="546">
        <v>0</v>
      </c>
      <c r="CT361" s="546">
        <v>0</v>
      </c>
      <c r="CU361" s="546">
        <v>0</v>
      </c>
      <c r="CV361" s="546">
        <v>0</v>
      </c>
      <c r="CW361" s="546">
        <v>0</v>
      </c>
      <c r="CX361" s="546">
        <v>0</v>
      </c>
      <c r="CY361" s="546">
        <v>0</v>
      </c>
      <c r="CZ361" s="618">
        <v>0</v>
      </c>
      <c r="DA361" s="618">
        <v>0</v>
      </c>
      <c r="DB361" s="618">
        <v>0</v>
      </c>
      <c r="DC361" s="618">
        <v>0</v>
      </c>
      <c r="DD361" s="618">
        <v>0</v>
      </c>
      <c r="DE361" s="618">
        <v>0</v>
      </c>
      <c r="DF361" s="618">
        <v>0</v>
      </c>
      <c r="DG361" s="618">
        <v>0</v>
      </c>
      <c r="DH361" s="618">
        <v>0</v>
      </c>
      <c r="DI361" s="618">
        <v>0</v>
      </c>
      <c r="DJ361" s="618">
        <v>0</v>
      </c>
      <c r="DK361" s="1034">
        <f t="shared" si="277"/>
        <v>1</v>
      </c>
      <c r="DL361" s="543">
        <f t="shared" si="298"/>
        <v>0.16500000000000001</v>
      </c>
      <c r="DM361" s="542">
        <f t="shared" si="299"/>
        <v>100</v>
      </c>
      <c r="DN361" s="594">
        <f t="shared" si="300"/>
        <v>100</v>
      </c>
      <c r="DO361" s="540">
        <f t="shared" si="301"/>
        <v>0.16500000000000001</v>
      </c>
      <c r="DP361" s="597">
        <f t="shared" si="309"/>
        <v>0.16500000000000001</v>
      </c>
      <c r="DQ361" s="538">
        <f t="shared" si="302"/>
        <v>0.16500000000000001</v>
      </c>
      <c r="DR361" s="617">
        <f t="shared" si="303"/>
        <v>1</v>
      </c>
      <c r="DS361" s="616">
        <f t="shared" si="304"/>
        <v>0</v>
      </c>
      <c r="DT361" s="259">
        <v>411</v>
      </c>
      <c r="DU361" s="260" t="s">
        <v>263</v>
      </c>
      <c r="DV361" s="259"/>
      <c r="DW361" s="260" t="s">
        <v>242</v>
      </c>
      <c r="DX361" s="259"/>
      <c r="DY361" s="259"/>
      <c r="DZ361" s="259"/>
      <c r="EA361" s="987"/>
      <c r="EB361" s="1041" t="s">
        <v>2665</v>
      </c>
      <c r="EC361" s="802">
        <v>0</v>
      </c>
      <c r="EE361" s="1047"/>
    </row>
    <row r="362" spans="4:135" s="534" customFormat="1" ht="102" hidden="1" x14ac:dyDescent="0.3">
      <c r="D362" s="783">
        <v>359</v>
      </c>
      <c r="E362" s="799">
        <v>420</v>
      </c>
      <c r="F362" s="739" t="s">
        <v>201</v>
      </c>
      <c r="G362" s="574" t="s">
        <v>1026</v>
      </c>
      <c r="H362" s="739" t="s">
        <v>148</v>
      </c>
      <c r="I362" s="676" t="s">
        <v>1042</v>
      </c>
      <c r="J362" s="573" t="s">
        <v>1047</v>
      </c>
      <c r="K362" s="573" t="s">
        <v>1048</v>
      </c>
      <c r="L362" s="687" t="s">
        <v>2136</v>
      </c>
      <c r="M362" s="571" t="s">
        <v>2017</v>
      </c>
      <c r="N362" s="571">
        <v>0</v>
      </c>
      <c r="O362" s="570">
        <f t="shared" si="308"/>
        <v>1</v>
      </c>
      <c r="P362" s="569">
        <v>1</v>
      </c>
      <c r="Q362" s="628">
        <v>0.16500000000000001</v>
      </c>
      <c r="R362" s="580">
        <f t="shared" si="282"/>
        <v>0</v>
      </c>
      <c r="S362" s="627">
        <v>0</v>
      </c>
      <c r="T362" s="625">
        <f t="shared" si="264"/>
        <v>0</v>
      </c>
      <c r="U362" s="992">
        <v>0</v>
      </c>
      <c r="V362" s="626">
        <f t="shared" si="265"/>
        <v>0</v>
      </c>
      <c r="W362" s="594">
        <f t="shared" si="266"/>
        <v>0</v>
      </c>
      <c r="X362" s="594">
        <f t="shared" si="283"/>
        <v>0</v>
      </c>
      <c r="Y362" s="594">
        <f t="shared" si="307"/>
        <v>0</v>
      </c>
      <c r="Z362" s="594">
        <f t="shared" si="284"/>
        <v>0</v>
      </c>
      <c r="AA362" s="593">
        <v>0</v>
      </c>
      <c r="AB362" s="593">
        <v>0</v>
      </c>
      <c r="AC362" s="593">
        <v>0</v>
      </c>
      <c r="AD362" s="593">
        <v>0</v>
      </c>
      <c r="AE362" s="593">
        <v>0</v>
      </c>
      <c r="AF362" s="593">
        <v>0</v>
      </c>
      <c r="AG362" s="593">
        <v>0</v>
      </c>
      <c r="AH362" s="593">
        <v>0</v>
      </c>
      <c r="AI362" s="593">
        <v>0</v>
      </c>
      <c r="AJ362" s="593">
        <v>0</v>
      </c>
      <c r="AK362" s="593">
        <v>0</v>
      </c>
      <c r="AL362" s="593">
        <v>0</v>
      </c>
      <c r="AM362" s="593">
        <v>0</v>
      </c>
      <c r="AN362" s="593">
        <v>0</v>
      </c>
      <c r="AO362" s="593">
        <v>0</v>
      </c>
      <c r="AP362" s="593">
        <v>0</v>
      </c>
      <c r="AQ362" s="593">
        <v>0</v>
      </c>
      <c r="AR362" s="593">
        <v>0</v>
      </c>
      <c r="AS362" s="593">
        <v>0</v>
      </c>
      <c r="AT362" s="570">
        <f t="shared" si="285"/>
        <v>0</v>
      </c>
      <c r="AU362" s="571">
        <v>0</v>
      </c>
      <c r="AV362" s="625">
        <f t="shared" si="267"/>
        <v>0</v>
      </c>
      <c r="AW362" s="1003">
        <v>0</v>
      </c>
      <c r="AX362" s="604">
        <f t="shared" si="268"/>
        <v>0</v>
      </c>
      <c r="AY362" s="604">
        <f t="shared" si="269"/>
        <v>0</v>
      </c>
      <c r="AZ362" s="604">
        <f t="shared" si="286"/>
        <v>0</v>
      </c>
      <c r="BA362" s="592">
        <f t="shared" si="287"/>
        <v>0</v>
      </c>
      <c r="BB362" s="592">
        <f t="shared" si="288"/>
        <v>0</v>
      </c>
      <c r="BC362" s="591">
        <v>0</v>
      </c>
      <c r="BD362" s="591">
        <v>0</v>
      </c>
      <c r="BE362" s="591">
        <v>0</v>
      </c>
      <c r="BF362" s="591">
        <v>0</v>
      </c>
      <c r="BG362" s="591">
        <v>0</v>
      </c>
      <c r="BH362" s="591">
        <v>0</v>
      </c>
      <c r="BI362" s="591">
        <v>0</v>
      </c>
      <c r="BJ362" s="591">
        <v>0</v>
      </c>
      <c r="BK362" s="624">
        <v>0</v>
      </c>
      <c r="BL362" s="589">
        <v>0</v>
      </c>
      <c r="BM362" s="589">
        <v>0</v>
      </c>
      <c r="BN362" s="589">
        <v>0</v>
      </c>
      <c r="BO362" s="589">
        <v>0</v>
      </c>
      <c r="BP362" s="589">
        <v>0</v>
      </c>
      <c r="BQ362" s="589">
        <v>0</v>
      </c>
      <c r="BR362" s="589">
        <v>0</v>
      </c>
      <c r="BS362" s="589">
        <v>0</v>
      </c>
      <c r="BT362" s="589">
        <v>0</v>
      </c>
      <c r="BU362" s="589">
        <v>0</v>
      </c>
      <c r="BV362" s="588">
        <f t="shared" si="289"/>
        <v>0.16500000000000001</v>
      </c>
      <c r="BW362" s="588">
        <v>1</v>
      </c>
      <c r="BX362" s="623">
        <f t="shared" si="270"/>
        <v>1</v>
      </c>
      <c r="BY362" s="640">
        <v>0.2</v>
      </c>
      <c r="BZ362" s="656">
        <v>0.30000001192092896</v>
      </c>
      <c r="CA362" s="1019">
        <v>0.30000001192092896</v>
      </c>
      <c r="CB362" s="557">
        <f t="shared" si="271"/>
        <v>0.30000001192092896</v>
      </c>
      <c r="CC362" s="557">
        <f t="shared" si="272"/>
        <v>30.000001192092896</v>
      </c>
      <c r="CD362" s="622">
        <f t="shared" si="290"/>
        <v>30.000001192092896</v>
      </c>
      <c r="CE362" s="621">
        <f t="shared" si="291"/>
        <v>4.9500001966953276E-2</v>
      </c>
      <c r="CF362" s="605">
        <f t="shared" si="292"/>
        <v>30.000001192092896</v>
      </c>
      <c r="CG362" s="621">
        <f t="shared" si="293"/>
        <v>4.9500001966953276E-2</v>
      </c>
      <c r="CH362" s="553">
        <f t="shared" si="294"/>
        <v>0</v>
      </c>
      <c r="CI362" s="552">
        <v>0</v>
      </c>
      <c r="CJ362" s="551">
        <f t="shared" si="273"/>
        <v>0</v>
      </c>
      <c r="CK362" s="871">
        <v>0</v>
      </c>
      <c r="CL362" s="533">
        <f t="shared" si="274"/>
        <v>0</v>
      </c>
      <c r="CM362" s="619">
        <f t="shared" si="275"/>
        <v>0</v>
      </c>
      <c r="CN362" s="619">
        <f t="shared" si="276"/>
        <v>0</v>
      </c>
      <c r="CO362" s="549">
        <f t="shared" si="295"/>
        <v>0</v>
      </c>
      <c r="CP362" s="619">
        <f t="shared" si="296"/>
        <v>0</v>
      </c>
      <c r="CQ362" s="619">
        <f t="shared" si="297"/>
        <v>0</v>
      </c>
      <c r="CR362" s="546">
        <v>0</v>
      </c>
      <c r="CS362" s="546">
        <v>0</v>
      </c>
      <c r="CT362" s="546">
        <v>0</v>
      </c>
      <c r="CU362" s="546">
        <v>0</v>
      </c>
      <c r="CV362" s="546">
        <v>0</v>
      </c>
      <c r="CW362" s="546">
        <v>0</v>
      </c>
      <c r="CX362" s="546">
        <v>0</v>
      </c>
      <c r="CY362" s="546">
        <v>0</v>
      </c>
      <c r="CZ362" s="618">
        <v>0</v>
      </c>
      <c r="DA362" s="618">
        <v>0</v>
      </c>
      <c r="DB362" s="618">
        <v>0</v>
      </c>
      <c r="DC362" s="618">
        <v>0</v>
      </c>
      <c r="DD362" s="618">
        <v>0</v>
      </c>
      <c r="DE362" s="618">
        <v>0</v>
      </c>
      <c r="DF362" s="618">
        <v>0</v>
      </c>
      <c r="DG362" s="618">
        <v>0</v>
      </c>
      <c r="DH362" s="618">
        <v>0</v>
      </c>
      <c r="DI362" s="618">
        <v>0</v>
      </c>
      <c r="DJ362" s="618">
        <v>0</v>
      </c>
      <c r="DK362" s="1034">
        <f t="shared" si="277"/>
        <v>0.30000001192092896</v>
      </c>
      <c r="DL362" s="543">
        <f t="shared" si="298"/>
        <v>0.16500000000000001</v>
      </c>
      <c r="DM362" s="542">
        <f t="shared" si="299"/>
        <v>30.000001192092896</v>
      </c>
      <c r="DN362" s="594">
        <f t="shared" si="300"/>
        <v>30.000001192092896</v>
      </c>
      <c r="DO362" s="540">
        <f t="shared" si="301"/>
        <v>4.9500001966953276E-2</v>
      </c>
      <c r="DP362" s="597">
        <f t="shared" si="309"/>
        <v>4.9500001966953276E-2</v>
      </c>
      <c r="DQ362" s="538">
        <f t="shared" si="302"/>
        <v>4.9500001966953276E-2</v>
      </c>
      <c r="DR362" s="617">
        <f t="shared" si="303"/>
        <v>1</v>
      </c>
      <c r="DS362" s="616">
        <f t="shared" si="304"/>
        <v>0</v>
      </c>
      <c r="DT362" s="259">
        <v>411</v>
      </c>
      <c r="DU362" s="260" t="s">
        <v>263</v>
      </c>
      <c r="DV362" s="259"/>
      <c r="DW362" s="260" t="s">
        <v>242</v>
      </c>
      <c r="DX362" s="259"/>
      <c r="DY362" s="259"/>
      <c r="DZ362" s="259"/>
      <c r="EA362" s="987"/>
      <c r="EB362" s="1041" t="s">
        <v>242</v>
      </c>
      <c r="EC362" s="802">
        <v>0</v>
      </c>
      <c r="EE362" s="1047"/>
    </row>
    <row r="363" spans="4:135" s="534" customFormat="1" ht="89.25" hidden="1" x14ac:dyDescent="0.3">
      <c r="D363" s="783">
        <v>360</v>
      </c>
      <c r="E363" s="799">
        <v>421</v>
      </c>
      <c r="F363" s="739" t="s">
        <v>201</v>
      </c>
      <c r="G363" s="574" t="s">
        <v>1026</v>
      </c>
      <c r="H363" s="739" t="s">
        <v>148</v>
      </c>
      <c r="I363" s="676" t="s">
        <v>1042</v>
      </c>
      <c r="J363" s="573" t="s">
        <v>1049</v>
      </c>
      <c r="K363" s="573" t="s">
        <v>1050</v>
      </c>
      <c r="L363" s="687" t="s">
        <v>2072</v>
      </c>
      <c r="M363" s="571" t="s">
        <v>2017</v>
      </c>
      <c r="N363" s="571">
        <v>0</v>
      </c>
      <c r="O363" s="570">
        <f t="shared" si="308"/>
        <v>4</v>
      </c>
      <c r="P363" s="569">
        <v>4</v>
      </c>
      <c r="Q363" s="628">
        <v>0.25</v>
      </c>
      <c r="R363" s="580">
        <f t="shared" si="282"/>
        <v>6.25E-2</v>
      </c>
      <c r="S363" s="627">
        <v>1</v>
      </c>
      <c r="T363" s="625">
        <f t="shared" si="264"/>
        <v>0.25</v>
      </c>
      <c r="U363" s="992">
        <v>1</v>
      </c>
      <c r="V363" s="626">
        <f t="shared" si="265"/>
        <v>1</v>
      </c>
      <c r="W363" s="594">
        <f t="shared" si="266"/>
        <v>100</v>
      </c>
      <c r="X363" s="594">
        <f t="shared" si="283"/>
        <v>100</v>
      </c>
      <c r="Y363" s="594">
        <f t="shared" si="307"/>
        <v>6.25E-2</v>
      </c>
      <c r="Z363" s="594">
        <f t="shared" si="284"/>
        <v>100</v>
      </c>
      <c r="AA363" s="593">
        <v>0</v>
      </c>
      <c r="AB363" s="593">
        <v>0</v>
      </c>
      <c r="AC363" s="593">
        <v>0</v>
      </c>
      <c r="AD363" s="593">
        <v>0</v>
      </c>
      <c r="AE363" s="593">
        <v>0</v>
      </c>
      <c r="AF363" s="593">
        <v>0</v>
      </c>
      <c r="AG363" s="593">
        <v>0</v>
      </c>
      <c r="AH363" s="593">
        <v>0</v>
      </c>
      <c r="AI363" s="593">
        <v>0</v>
      </c>
      <c r="AJ363" s="593">
        <v>0</v>
      </c>
      <c r="AK363" s="593">
        <v>0</v>
      </c>
      <c r="AL363" s="593">
        <v>0</v>
      </c>
      <c r="AM363" s="593">
        <v>0</v>
      </c>
      <c r="AN363" s="593">
        <v>0</v>
      </c>
      <c r="AO363" s="593">
        <v>0</v>
      </c>
      <c r="AP363" s="593">
        <v>0</v>
      </c>
      <c r="AQ363" s="593">
        <v>0</v>
      </c>
      <c r="AR363" s="593">
        <v>0</v>
      </c>
      <c r="AS363" s="593">
        <v>0</v>
      </c>
      <c r="AT363" s="570">
        <f t="shared" si="285"/>
        <v>6.25E-2</v>
      </c>
      <c r="AU363" s="571">
        <v>1</v>
      </c>
      <c r="AV363" s="625">
        <f t="shared" si="267"/>
        <v>0.25</v>
      </c>
      <c r="AW363" s="1003">
        <v>1</v>
      </c>
      <c r="AX363" s="604">
        <f t="shared" si="268"/>
        <v>1</v>
      </c>
      <c r="AY363" s="604">
        <f t="shared" si="269"/>
        <v>100</v>
      </c>
      <c r="AZ363" s="604">
        <f t="shared" si="286"/>
        <v>100</v>
      </c>
      <c r="BA363" s="592">
        <f t="shared" si="287"/>
        <v>6.25E-2</v>
      </c>
      <c r="BB363" s="592">
        <f t="shared" si="288"/>
        <v>100</v>
      </c>
      <c r="BC363" s="591">
        <v>0</v>
      </c>
      <c r="BD363" s="591">
        <v>0</v>
      </c>
      <c r="BE363" s="591">
        <v>0</v>
      </c>
      <c r="BF363" s="591">
        <v>0</v>
      </c>
      <c r="BG363" s="591">
        <v>0</v>
      </c>
      <c r="BH363" s="591">
        <v>0</v>
      </c>
      <c r="BI363" s="591">
        <v>0</v>
      </c>
      <c r="BJ363" s="591">
        <v>0</v>
      </c>
      <c r="BK363" s="624">
        <v>0</v>
      </c>
      <c r="BL363" s="589">
        <v>0</v>
      </c>
      <c r="BM363" s="589">
        <v>0</v>
      </c>
      <c r="BN363" s="589">
        <v>0</v>
      </c>
      <c r="BO363" s="589">
        <v>0</v>
      </c>
      <c r="BP363" s="589">
        <v>0</v>
      </c>
      <c r="BQ363" s="589">
        <v>0</v>
      </c>
      <c r="BR363" s="589">
        <v>0</v>
      </c>
      <c r="BS363" s="589">
        <v>0</v>
      </c>
      <c r="BT363" s="589">
        <v>0</v>
      </c>
      <c r="BU363" s="589">
        <v>0</v>
      </c>
      <c r="BV363" s="588">
        <f t="shared" si="289"/>
        <v>6.25E-2</v>
      </c>
      <c r="BW363" s="588">
        <v>1</v>
      </c>
      <c r="BX363" s="623">
        <f t="shared" si="270"/>
        <v>0.25</v>
      </c>
      <c r="BY363" s="640">
        <v>0</v>
      </c>
      <c r="BZ363" s="656">
        <v>0</v>
      </c>
      <c r="CA363" s="1019">
        <v>1</v>
      </c>
      <c r="CB363" s="557">
        <f t="shared" si="271"/>
        <v>1</v>
      </c>
      <c r="CC363" s="557">
        <f t="shared" si="272"/>
        <v>100</v>
      </c>
      <c r="CD363" s="622">
        <f t="shared" si="290"/>
        <v>100</v>
      </c>
      <c r="CE363" s="621">
        <f t="shared" si="291"/>
        <v>6.25E-2</v>
      </c>
      <c r="CF363" s="605">
        <f t="shared" si="292"/>
        <v>100</v>
      </c>
      <c r="CG363" s="621">
        <f t="shared" si="293"/>
        <v>6.25E-2</v>
      </c>
      <c r="CH363" s="553">
        <f t="shared" si="294"/>
        <v>6.25E-2</v>
      </c>
      <c r="CI363" s="552">
        <v>1</v>
      </c>
      <c r="CJ363" s="551">
        <f t="shared" si="273"/>
        <v>0.25</v>
      </c>
      <c r="CK363" s="871">
        <v>0</v>
      </c>
      <c r="CL363" s="533">
        <f t="shared" si="274"/>
        <v>1</v>
      </c>
      <c r="CM363" s="619">
        <f t="shared" si="275"/>
        <v>0</v>
      </c>
      <c r="CN363" s="619">
        <f t="shared" si="276"/>
        <v>0</v>
      </c>
      <c r="CO363" s="549">
        <f t="shared" si="295"/>
        <v>0</v>
      </c>
      <c r="CP363" s="619">
        <f t="shared" si="296"/>
        <v>0</v>
      </c>
      <c r="CQ363" s="619">
        <f t="shared" si="297"/>
        <v>0</v>
      </c>
      <c r="CR363" s="546">
        <v>0</v>
      </c>
      <c r="CS363" s="546">
        <v>0</v>
      </c>
      <c r="CT363" s="546">
        <v>0</v>
      </c>
      <c r="CU363" s="546">
        <v>0</v>
      </c>
      <c r="CV363" s="546">
        <v>0</v>
      </c>
      <c r="CW363" s="546">
        <v>0</v>
      </c>
      <c r="CX363" s="546">
        <v>0</v>
      </c>
      <c r="CY363" s="546">
        <v>0</v>
      </c>
      <c r="CZ363" s="618">
        <v>0</v>
      </c>
      <c r="DA363" s="618">
        <v>0</v>
      </c>
      <c r="DB363" s="618">
        <v>0</v>
      </c>
      <c r="DC363" s="618">
        <v>0</v>
      </c>
      <c r="DD363" s="618">
        <v>0</v>
      </c>
      <c r="DE363" s="618">
        <v>0</v>
      </c>
      <c r="DF363" s="618">
        <v>0</v>
      </c>
      <c r="DG363" s="618">
        <v>0</v>
      </c>
      <c r="DH363" s="618">
        <v>0</v>
      </c>
      <c r="DI363" s="618">
        <v>0</v>
      </c>
      <c r="DJ363" s="618">
        <v>0</v>
      </c>
      <c r="DK363" s="1034">
        <f t="shared" si="277"/>
        <v>3</v>
      </c>
      <c r="DL363" s="543">
        <f t="shared" si="298"/>
        <v>0.25</v>
      </c>
      <c r="DM363" s="542">
        <f t="shared" si="299"/>
        <v>75</v>
      </c>
      <c r="DN363" s="594">
        <f t="shared" si="300"/>
        <v>75</v>
      </c>
      <c r="DO363" s="540">
        <f t="shared" si="301"/>
        <v>0.1875</v>
      </c>
      <c r="DP363" s="597">
        <f t="shared" si="309"/>
        <v>0.1875</v>
      </c>
      <c r="DQ363" s="538">
        <f t="shared" si="302"/>
        <v>0.1875</v>
      </c>
      <c r="DR363" s="617">
        <f t="shared" si="303"/>
        <v>1</v>
      </c>
      <c r="DS363" s="616">
        <f t="shared" si="304"/>
        <v>0</v>
      </c>
      <c r="DT363" s="259">
        <v>411</v>
      </c>
      <c r="DU363" s="260" t="s">
        <v>263</v>
      </c>
      <c r="DV363" s="259"/>
      <c r="DW363" s="260" t="s">
        <v>242</v>
      </c>
      <c r="DX363" s="259"/>
      <c r="DY363" s="259"/>
      <c r="DZ363" s="259"/>
      <c r="EA363" s="987"/>
      <c r="EB363" s="1041" t="s">
        <v>2666</v>
      </c>
      <c r="EC363" s="802">
        <v>0</v>
      </c>
      <c r="EE363" s="1047"/>
    </row>
    <row r="364" spans="4:135" s="534" customFormat="1" ht="132" hidden="1" x14ac:dyDescent="0.3">
      <c r="D364" s="783">
        <v>361</v>
      </c>
      <c r="E364" s="799">
        <v>423</v>
      </c>
      <c r="F364" s="739" t="s">
        <v>202</v>
      </c>
      <c r="G364" s="739" t="s">
        <v>17</v>
      </c>
      <c r="H364" s="739" t="s">
        <v>149</v>
      </c>
      <c r="I364" s="676" t="s">
        <v>1051</v>
      </c>
      <c r="J364" s="573" t="s">
        <v>1052</v>
      </c>
      <c r="K364" s="573" t="s">
        <v>1053</v>
      </c>
      <c r="L364" s="677" t="s">
        <v>2038</v>
      </c>
      <c r="M364" s="571" t="s">
        <v>2017</v>
      </c>
      <c r="N364" s="571">
        <v>2</v>
      </c>
      <c r="O364" s="570">
        <f t="shared" si="308"/>
        <v>10</v>
      </c>
      <c r="P364" s="569">
        <v>8</v>
      </c>
      <c r="Q364" s="628">
        <v>0.25</v>
      </c>
      <c r="R364" s="580">
        <f t="shared" si="282"/>
        <v>6.25E-2</v>
      </c>
      <c r="S364" s="627">
        <v>2</v>
      </c>
      <c r="T364" s="625">
        <f t="shared" si="264"/>
        <v>0.25</v>
      </c>
      <c r="U364" s="992">
        <v>1</v>
      </c>
      <c r="V364" s="626">
        <f t="shared" si="265"/>
        <v>1</v>
      </c>
      <c r="W364" s="594">
        <f t="shared" si="266"/>
        <v>50</v>
      </c>
      <c r="X364" s="594">
        <f t="shared" si="283"/>
        <v>50</v>
      </c>
      <c r="Y364" s="594">
        <f t="shared" si="307"/>
        <v>3.125E-2</v>
      </c>
      <c r="Z364" s="594">
        <f t="shared" si="284"/>
        <v>50</v>
      </c>
      <c r="AA364" s="593">
        <v>150000000</v>
      </c>
      <c r="AB364" s="593">
        <v>150000000</v>
      </c>
      <c r="AC364" s="593">
        <v>0</v>
      </c>
      <c r="AD364" s="593">
        <v>0</v>
      </c>
      <c r="AE364" s="593">
        <v>0</v>
      </c>
      <c r="AF364" s="593">
        <v>0</v>
      </c>
      <c r="AG364" s="593">
        <v>0</v>
      </c>
      <c r="AH364" s="593">
        <v>0</v>
      </c>
      <c r="AI364" s="593">
        <v>87000000</v>
      </c>
      <c r="AJ364" s="593">
        <v>87000000</v>
      </c>
      <c r="AK364" s="593">
        <v>0</v>
      </c>
      <c r="AL364" s="593">
        <v>0</v>
      </c>
      <c r="AM364" s="593">
        <v>0</v>
      </c>
      <c r="AN364" s="593">
        <v>0</v>
      </c>
      <c r="AO364" s="593">
        <v>0</v>
      </c>
      <c r="AP364" s="593">
        <v>0</v>
      </c>
      <c r="AQ364" s="593">
        <v>0</v>
      </c>
      <c r="AR364" s="593">
        <v>0</v>
      </c>
      <c r="AS364" s="593">
        <v>0</v>
      </c>
      <c r="AT364" s="570">
        <f t="shared" si="285"/>
        <v>0.125</v>
      </c>
      <c r="AU364" s="571">
        <v>4</v>
      </c>
      <c r="AV364" s="625">
        <f t="shared" si="267"/>
        <v>0.5</v>
      </c>
      <c r="AW364" s="1003">
        <v>3</v>
      </c>
      <c r="AX364" s="604">
        <f t="shared" si="268"/>
        <v>3</v>
      </c>
      <c r="AY364" s="604">
        <f t="shared" si="269"/>
        <v>75</v>
      </c>
      <c r="AZ364" s="604">
        <f t="shared" si="286"/>
        <v>75</v>
      </c>
      <c r="BA364" s="592">
        <f t="shared" si="287"/>
        <v>9.375E-2</v>
      </c>
      <c r="BB364" s="592">
        <f t="shared" si="288"/>
        <v>75</v>
      </c>
      <c r="BC364" s="591">
        <v>0</v>
      </c>
      <c r="BD364" s="591">
        <v>0</v>
      </c>
      <c r="BE364" s="591">
        <v>0</v>
      </c>
      <c r="BF364" s="591">
        <v>0</v>
      </c>
      <c r="BG364" s="591">
        <v>0</v>
      </c>
      <c r="BH364" s="591">
        <v>0</v>
      </c>
      <c r="BI364" s="591">
        <v>0</v>
      </c>
      <c r="BJ364" s="591">
        <v>0</v>
      </c>
      <c r="BK364" s="669">
        <v>2368957381</v>
      </c>
      <c r="BL364" s="589">
        <v>871875290</v>
      </c>
      <c r="BM364" s="589">
        <v>0</v>
      </c>
      <c r="BN364" s="589">
        <v>0</v>
      </c>
      <c r="BO364" s="589">
        <v>0</v>
      </c>
      <c r="BP364" s="589">
        <v>1497082091</v>
      </c>
      <c r="BQ364" s="589">
        <v>0</v>
      </c>
      <c r="BR364" s="589">
        <v>0</v>
      </c>
      <c r="BS364" s="589">
        <v>0</v>
      </c>
      <c r="BT364" s="589">
        <v>0</v>
      </c>
      <c r="BU364" s="589">
        <v>0</v>
      </c>
      <c r="BV364" s="588">
        <f t="shared" si="289"/>
        <v>6.25E-2</v>
      </c>
      <c r="BW364" s="588">
        <v>2</v>
      </c>
      <c r="BX364" s="623">
        <f t="shared" si="270"/>
        <v>0.25</v>
      </c>
      <c r="BY364" s="607">
        <v>3</v>
      </c>
      <c r="BZ364" s="629">
        <v>0</v>
      </c>
      <c r="CA364" s="1017">
        <v>4</v>
      </c>
      <c r="CB364" s="557">
        <f t="shared" si="271"/>
        <v>4</v>
      </c>
      <c r="CC364" s="557">
        <f t="shared" si="272"/>
        <v>200</v>
      </c>
      <c r="CD364" s="622">
        <f t="shared" si="290"/>
        <v>100</v>
      </c>
      <c r="CE364" s="621">
        <f t="shared" si="291"/>
        <v>6.25E-2</v>
      </c>
      <c r="CF364" s="605">
        <f t="shared" si="292"/>
        <v>100</v>
      </c>
      <c r="CG364" s="621">
        <f t="shared" si="293"/>
        <v>0.125</v>
      </c>
      <c r="CH364" s="553">
        <f t="shared" si="294"/>
        <v>0</v>
      </c>
      <c r="CI364" s="552">
        <v>0</v>
      </c>
      <c r="CJ364" s="551">
        <f t="shared" si="273"/>
        <v>0</v>
      </c>
      <c r="CK364" s="874">
        <v>2</v>
      </c>
      <c r="CL364" s="533">
        <f t="shared" si="274"/>
        <v>-2</v>
      </c>
      <c r="CM364" s="619">
        <f t="shared" si="275"/>
        <v>2</v>
      </c>
      <c r="CN364" s="619">
        <f t="shared" si="276"/>
        <v>0</v>
      </c>
      <c r="CO364" s="549">
        <f t="shared" si="295"/>
        <v>0</v>
      </c>
      <c r="CP364" s="619">
        <f t="shared" si="296"/>
        <v>0</v>
      </c>
      <c r="CQ364" s="619">
        <f t="shared" si="297"/>
        <v>0</v>
      </c>
      <c r="CR364" s="546">
        <v>0</v>
      </c>
      <c r="CS364" s="546">
        <v>0</v>
      </c>
      <c r="CT364" s="546">
        <v>0</v>
      </c>
      <c r="CU364" s="546">
        <v>0</v>
      </c>
      <c r="CV364" s="546">
        <v>0</v>
      </c>
      <c r="CW364" s="546">
        <v>0</v>
      </c>
      <c r="CX364" s="546">
        <v>0</v>
      </c>
      <c r="CY364" s="546">
        <v>0</v>
      </c>
      <c r="CZ364" s="618">
        <v>0</v>
      </c>
      <c r="DA364" s="618">
        <v>0</v>
      </c>
      <c r="DB364" s="618">
        <v>0</v>
      </c>
      <c r="DC364" s="618">
        <v>0</v>
      </c>
      <c r="DD364" s="618">
        <v>0</v>
      </c>
      <c r="DE364" s="618">
        <v>0</v>
      </c>
      <c r="DF364" s="618">
        <v>0</v>
      </c>
      <c r="DG364" s="618">
        <v>0</v>
      </c>
      <c r="DH364" s="618">
        <v>0</v>
      </c>
      <c r="DI364" s="618">
        <v>0</v>
      </c>
      <c r="DJ364" s="618">
        <v>0</v>
      </c>
      <c r="DK364" s="1034">
        <f t="shared" si="277"/>
        <v>10</v>
      </c>
      <c r="DL364" s="543">
        <f t="shared" si="298"/>
        <v>0.25</v>
      </c>
      <c r="DM364" s="542">
        <f t="shared" si="299"/>
        <v>125</v>
      </c>
      <c r="DN364" s="594">
        <f t="shared" si="300"/>
        <v>100</v>
      </c>
      <c r="DO364" s="540">
        <f t="shared" si="301"/>
        <v>0.25</v>
      </c>
      <c r="DP364" s="597">
        <f t="shared" si="309"/>
        <v>0.25</v>
      </c>
      <c r="DQ364" s="538">
        <f t="shared" si="302"/>
        <v>0.25</v>
      </c>
      <c r="DR364" s="617">
        <f t="shared" si="303"/>
        <v>1</v>
      </c>
      <c r="DS364" s="616">
        <f t="shared" si="304"/>
        <v>0</v>
      </c>
      <c r="DT364" s="259">
        <v>1</v>
      </c>
      <c r="DU364" s="260" t="s">
        <v>345</v>
      </c>
      <c r="DV364" s="259">
        <v>422</v>
      </c>
      <c r="DW364" s="260" t="s">
        <v>262</v>
      </c>
      <c r="DX364" s="259"/>
      <c r="DY364" s="259"/>
      <c r="DZ364" s="259"/>
      <c r="EA364" s="987"/>
      <c r="EB364" s="1041" t="s">
        <v>2667</v>
      </c>
      <c r="EC364" s="802">
        <v>0</v>
      </c>
      <c r="EE364" s="1047"/>
    </row>
    <row r="365" spans="4:135" s="534" customFormat="1" ht="60" hidden="1" x14ac:dyDescent="0.3">
      <c r="D365" s="783">
        <v>362</v>
      </c>
      <c r="E365" s="799">
        <v>424</v>
      </c>
      <c r="F365" s="739" t="s">
        <v>202</v>
      </c>
      <c r="G365" s="739" t="s">
        <v>17</v>
      </c>
      <c r="H365" s="739" t="s">
        <v>149</v>
      </c>
      <c r="I365" s="676" t="s">
        <v>1051</v>
      </c>
      <c r="J365" s="573" t="s">
        <v>1054</v>
      </c>
      <c r="K365" s="573" t="s">
        <v>1055</v>
      </c>
      <c r="L365" s="677" t="s">
        <v>2135</v>
      </c>
      <c r="M365" s="571" t="s">
        <v>2017</v>
      </c>
      <c r="N365" s="571">
        <v>0</v>
      </c>
      <c r="O365" s="570">
        <f t="shared" si="308"/>
        <v>1</v>
      </c>
      <c r="P365" s="569">
        <v>1</v>
      </c>
      <c r="Q365" s="628">
        <v>0.25</v>
      </c>
      <c r="R365" s="580">
        <f t="shared" si="282"/>
        <v>0.17499999999999999</v>
      </c>
      <c r="S365" s="627">
        <v>0.7</v>
      </c>
      <c r="T365" s="625">
        <f t="shared" si="264"/>
        <v>0.7</v>
      </c>
      <c r="U365" s="992">
        <v>0.7</v>
      </c>
      <c r="V365" s="626">
        <f t="shared" si="265"/>
        <v>0.7</v>
      </c>
      <c r="W365" s="594">
        <f t="shared" si="266"/>
        <v>100</v>
      </c>
      <c r="X365" s="594">
        <f t="shared" si="283"/>
        <v>100</v>
      </c>
      <c r="Y365" s="594">
        <f t="shared" si="307"/>
        <v>0.17499999999999999</v>
      </c>
      <c r="Z365" s="594">
        <f t="shared" si="284"/>
        <v>100</v>
      </c>
      <c r="AA365" s="593">
        <v>0</v>
      </c>
      <c r="AB365" s="593">
        <v>0</v>
      </c>
      <c r="AC365" s="593">
        <v>0</v>
      </c>
      <c r="AD365" s="593">
        <v>0</v>
      </c>
      <c r="AE365" s="593">
        <v>0</v>
      </c>
      <c r="AF365" s="593">
        <v>0</v>
      </c>
      <c r="AG365" s="593">
        <v>0</v>
      </c>
      <c r="AH365" s="593">
        <v>0</v>
      </c>
      <c r="AI365" s="593">
        <v>0</v>
      </c>
      <c r="AJ365" s="593">
        <v>0</v>
      </c>
      <c r="AK365" s="593">
        <v>0</v>
      </c>
      <c r="AL365" s="593">
        <v>0</v>
      </c>
      <c r="AM365" s="593">
        <v>0</v>
      </c>
      <c r="AN365" s="593">
        <v>0</v>
      </c>
      <c r="AO365" s="593">
        <v>0</v>
      </c>
      <c r="AP365" s="593">
        <v>0</v>
      </c>
      <c r="AQ365" s="593">
        <v>0</v>
      </c>
      <c r="AR365" s="593">
        <v>0</v>
      </c>
      <c r="AS365" s="593">
        <v>0</v>
      </c>
      <c r="AT365" s="570">
        <f t="shared" si="285"/>
        <v>2.5000000000000001E-2</v>
      </c>
      <c r="AU365" s="571">
        <v>0.1</v>
      </c>
      <c r="AV365" s="625">
        <f t="shared" si="267"/>
        <v>0.1</v>
      </c>
      <c r="AW365" s="1003">
        <v>0.1</v>
      </c>
      <c r="AX365" s="604">
        <f t="shared" si="268"/>
        <v>0.1</v>
      </c>
      <c r="AY365" s="604">
        <f t="shared" si="269"/>
        <v>100</v>
      </c>
      <c r="AZ365" s="604">
        <f t="shared" si="286"/>
        <v>100</v>
      </c>
      <c r="BA365" s="592">
        <f t="shared" si="287"/>
        <v>2.5000000000000001E-2</v>
      </c>
      <c r="BB365" s="592">
        <f t="shared" si="288"/>
        <v>100</v>
      </c>
      <c r="BC365" s="591">
        <v>0</v>
      </c>
      <c r="BD365" s="591">
        <v>0</v>
      </c>
      <c r="BE365" s="591">
        <v>0</v>
      </c>
      <c r="BF365" s="591">
        <v>0</v>
      </c>
      <c r="BG365" s="591">
        <v>0</v>
      </c>
      <c r="BH365" s="591">
        <v>0</v>
      </c>
      <c r="BI365" s="591">
        <v>0</v>
      </c>
      <c r="BJ365" s="591">
        <v>0</v>
      </c>
      <c r="BK365" s="669">
        <v>40000000</v>
      </c>
      <c r="BL365" s="589">
        <v>40000000</v>
      </c>
      <c r="BM365" s="589">
        <v>0</v>
      </c>
      <c r="BN365" s="589">
        <v>0</v>
      </c>
      <c r="BO365" s="589">
        <v>0</v>
      </c>
      <c r="BP365" s="589">
        <v>0</v>
      </c>
      <c r="BQ365" s="589">
        <v>0</v>
      </c>
      <c r="BR365" s="589">
        <v>0</v>
      </c>
      <c r="BS365" s="589">
        <v>0</v>
      </c>
      <c r="BT365" s="589">
        <v>0</v>
      </c>
      <c r="BU365" s="589">
        <v>0</v>
      </c>
      <c r="BV365" s="588">
        <f t="shared" si="289"/>
        <v>2.5000000000000001E-2</v>
      </c>
      <c r="BW365" s="588">
        <v>0.1</v>
      </c>
      <c r="BX365" s="623">
        <f t="shared" si="270"/>
        <v>0.1</v>
      </c>
      <c r="BY365" s="607">
        <v>0</v>
      </c>
      <c r="BZ365" s="629">
        <v>0</v>
      </c>
      <c r="CA365" s="1017">
        <v>0</v>
      </c>
      <c r="CB365" s="557">
        <f t="shared" si="271"/>
        <v>0</v>
      </c>
      <c r="CC365" s="557">
        <f t="shared" si="272"/>
        <v>0</v>
      </c>
      <c r="CD365" s="622">
        <f t="shared" si="290"/>
        <v>0</v>
      </c>
      <c r="CE365" s="621">
        <f t="shared" si="291"/>
        <v>0</v>
      </c>
      <c r="CF365" s="605">
        <f t="shared" si="292"/>
        <v>0</v>
      </c>
      <c r="CG365" s="621">
        <f t="shared" si="293"/>
        <v>0</v>
      </c>
      <c r="CH365" s="553">
        <f t="shared" si="294"/>
        <v>2.5000000000000001E-2</v>
      </c>
      <c r="CI365" s="552">
        <v>0.1</v>
      </c>
      <c r="CJ365" s="551">
        <f t="shared" si="273"/>
        <v>0.1</v>
      </c>
      <c r="CK365" s="875">
        <v>0</v>
      </c>
      <c r="CL365" s="533">
        <f t="shared" si="274"/>
        <v>0.1</v>
      </c>
      <c r="CM365" s="619">
        <f t="shared" si="275"/>
        <v>0</v>
      </c>
      <c r="CN365" s="619">
        <f t="shared" si="276"/>
        <v>0</v>
      </c>
      <c r="CO365" s="549">
        <f t="shared" si="295"/>
        <v>0</v>
      </c>
      <c r="CP365" s="619">
        <f t="shared" si="296"/>
        <v>0</v>
      </c>
      <c r="CQ365" s="619">
        <f t="shared" si="297"/>
        <v>0</v>
      </c>
      <c r="CR365" s="546">
        <v>0</v>
      </c>
      <c r="CS365" s="546">
        <v>0</v>
      </c>
      <c r="CT365" s="546">
        <v>0</v>
      </c>
      <c r="CU365" s="546">
        <v>0</v>
      </c>
      <c r="CV365" s="546">
        <v>0</v>
      </c>
      <c r="CW365" s="546">
        <v>0</v>
      </c>
      <c r="CX365" s="546">
        <v>0</v>
      </c>
      <c r="CY365" s="546">
        <v>0</v>
      </c>
      <c r="CZ365" s="618">
        <v>0</v>
      </c>
      <c r="DA365" s="618">
        <v>0</v>
      </c>
      <c r="DB365" s="618">
        <v>0</v>
      </c>
      <c r="DC365" s="618">
        <v>0</v>
      </c>
      <c r="DD365" s="618">
        <v>0</v>
      </c>
      <c r="DE365" s="618">
        <v>0</v>
      </c>
      <c r="DF365" s="618">
        <v>0</v>
      </c>
      <c r="DG365" s="618">
        <v>0</v>
      </c>
      <c r="DH365" s="618">
        <v>0</v>
      </c>
      <c r="DI365" s="618">
        <v>0</v>
      </c>
      <c r="DJ365" s="618">
        <v>0</v>
      </c>
      <c r="DK365" s="1034">
        <f t="shared" si="277"/>
        <v>0.79999999999999993</v>
      </c>
      <c r="DL365" s="543">
        <f t="shared" si="298"/>
        <v>0.24999999999999997</v>
      </c>
      <c r="DM365" s="542">
        <f t="shared" si="299"/>
        <v>80</v>
      </c>
      <c r="DN365" s="594">
        <f t="shared" si="300"/>
        <v>80</v>
      </c>
      <c r="DO365" s="540">
        <f t="shared" si="301"/>
        <v>0.2</v>
      </c>
      <c r="DP365" s="597">
        <f t="shared" si="309"/>
        <v>0.2</v>
      </c>
      <c r="DQ365" s="538">
        <f t="shared" si="302"/>
        <v>0.2</v>
      </c>
      <c r="DR365" s="617">
        <f t="shared" si="303"/>
        <v>0.99999999999999989</v>
      </c>
      <c r="DS365" s="616">
        <f t="shared" si="304"/>
        <v>0</v>
      </c>
      <c r="DT365" s="259">
        <v>422</v>
      </c>
      <c r="DU365" s="260" t="s">
        <v>262</v>
      </c>
      <c r="DV365" s="259"/>
      <c r="DW365" s="260" t="s">
        <v>242</v>
      </c>
      <c r="DX365" s="259"/>
      <c r="DY365" s="259"/>
      <c r="DZ365" s="259"/>
      <c r="EA365" s="987"/>
      <c r="EB365" s="1041" t="s">
        <v>2668</v>
      </c>
      <c r="EC365" s="802">
        <v>0</v>
      </c>
      <c r="EE365" s="1047"/>
    </row>
    <row r="366" spans="4:135" s="534" customFormat="1" ht="60" hidden="1" x14ac:dyDescent="0.3">
      <c r="D366" s="783">
        <v>363</v>
      </c>
      <c r="E366" s="799">
        <v>425</v>
      </c>
      <c r="F366" s="739" t="s">
        <v>202</v>
      </c>
      <c r="G366" s="739" t="s">
        <v>17</v>
      </c>
      <c r="H366" s="739" t="s">
        <v>149</v>
      </c>
      <c r="I366" s="676" t="s">
        <v>1056</v>
      </c>
      <c r="J366" s="573" t="s">
        <v>1057</v>
      </c>
      <c r="K366" s="573" t="s">
        <v>1058</v>
      </c>
      <c r="L366" s="677" t="s">
        <v>2134</v>
      </c>
      <c r="M366" s="571" t="s">
        <v>2017</v>
      </c>
      <c r="N366" s="571">
        <v>266</v>
      </c>
      <c r="O366" s="570">
        <f t="shared" si="308"/>
        <v>1266</v>
      </c>
      <c r="P366" s="569">
        <v>1000</v>
      </c>
      <c r="Q366" s="628">
        <v>0.16500000000000001</v>
      </c>
      <c r="R366" s="580">
        <f t="shared" si="282"/>
        <v>3.3000000000000002E-2</v>
      </c>
      <c r="S366" s="627">
        <v>200</v>
      </c>
      <c r="T366" s="625">
        <f t="shared" si="264"/>
        <v>0.2</v>
      </c>
      <c r="U366" s="992">
        <v>174</v>
      </c>
      <c r="V366" s="626">
        <f t="shared" si="265"/>
        <v>174</v>
      </c>
      <c r="W366" s="594">
        <f t="shared" si="266"/>
        <v>87</v>
      </c>
      <c r="X366" s="594">
        <f t="shared" si="283"/>
        <v>87</v>
      </c>
      <c r="Y366" s="594">
        <f t="shared" si="307"/>
        <v>2.8709999999999999E-2</v>
      </c>
      <c r="Z366" s="594">
        <f t="shared" si="284"/>
        <v>87</v>
      </c>
      <c r="AA366" s="593">
        <v>3059600000</v>
      </c>
      <c r="AB366" s="593">
        <v>2516600000</v>
      </c>
      <c r="AC366" s="593">
        <v>0</v>
      </c>
      <c r="AD366" s="593">
        <v>0</v>
      </c>
      <c r="AE366" s="593">
        <v>0</v>
      </c>
      <c r="AF366" s="593">
        <v>0</v>
      </c>
      <c r="AG366" s="593">
        <v>0</v>
      </c>
      <c r="AH366" s="593">
        <v>543000000</v>
      </c>
      <c r="AI366" s="593">
        <v>1583708000</v>
      </c>
      <c r="AJ366" s="593">
        <v>1583708000</v>
      </c>
      <c r="AK366" s="593">
        <v>0</v>
      </c>
      <c r="AL366" s="593">
        <v>0</v>
      </c>
      <c r="AM366" s="593">
        <v>0</v>
      </c>
      <c r="AN366" s="593">
        <v>0</v>
      </c>
      <c r="AO366" s="593">
        <v>0</v>
      </c>
      <c r="AP366" s="593">
        <v>0</v>
      </c>
      <c r="AQ366" s="593">
        <v>0</v>
      </c>
      <c r="AR366" s="593">
        <v>0</v>
      </c>
      <c r="AS366" s="593">
        <v>0</v>
      </c>
      <c r="AT366" s="570">
        <f t="shared" si="285"/>
        <v>4.1250000000000002E-2</v>
      </c>
      <c r="AU366" s="571">
        <v>250</v>
      </c>
      <c r="AV366" s="625">
        <f t="shared" si="267"/>
        <v>0.25</v>
      </c>
      <c r="AW366" s="1003">
        <v>180</v>
      </c>
      <c r="AX366" s="604">
        <f t="shared" si="268"/>
        <v>180</v>
      </c>
      <c r="AY366" s="604">
        <f t="shared" si="269"/>
        <v>72</v>
      </c>
      <c r="AZ366" s="604">
        <f t="shared" si="286"/>
        <v>72</v>
      </c>
      <c r="BA366" s="592">
        <f t="shared" si="287"/>
        <v>2.9700000000000001E-2</v>
      </c>
      <c r="BB366" s="592">
        <f t="shared" si="288"/>
        <v>72</v>
      </c>
      <c r="BC366" s="591">
        <v>0</v>
      </c>
      <c r="BD366" s="591">
        <v>0</v>
      </c>
      <c r="BE366" s="591">
        <v>0</v>
      </c>
      <c r="BF366" s="591">
        <v>0</v>
      </c>
      <c r="BG366" s="591">
        <v>0</v>
      </c>
      <c r="BH366" s="591">
        <v>0</v>
      </c>
      <c r="BI366" s="591">
        <v>0</v>
      </c>
      <c r="BJ366" s="591">
        <v>0</v>
      </c>
      <c r="BK366" s="669">
        <v>1304830000</v>
      </c>
      <c r="BL366" s="589">
        <v>1304830000</v>
      </c>
      <c r="BM366" s="589">
        <v>0</v>
      </c>
      <c r="BN366" s="589">
        <v>0</v>
      </c>
      <c r="BO366" s="589">
        <v>0</v>
      </c>
      <c r="BP366" s="589">
        <v>0</v>
      </c>
      <c r="BQ366" s="589">
        <v>0</v>
      </c>
      <c r="BR366" s="589">
        <v>0</v>
      </c>
      <c r="BS366" s="589">
        <v>0</v>
      </c>
      <c r="BT366" s="589">
        <v>0</v>
      </c>
      <c r="BU366" s="589">
        <v>0</v>
      </c>
      <c r="BV366" s="588">
        <f t="shared" si="289"/>
        <v>4.1250000000000002E-2</v>
      </c>
      <c r="BW366" s="588">
        <v>250</v>
      </c>
      <c r="BX366" s="623">
        <f t="shared" si="270"/>
        <v>0.25</v>
      </c>
      <c r="BY366" s="607">
        <v>306</v>
      </c>
      <c r="BZ366" s="629">
        <v>306</v>
      </c>
      <c r="CA366" s="1017">
        <v>380</v>
      </c>
      <c r="CB366" s="557">
        <f t="shared" si="271"/>
        <v>380</v>
      </c>
      <c r="CC366" s="557">
        <f t="shared" si="272"/>
        <v>152</v>
      </c>
      <c r="CD366" s="622">
        <f t="shared" si="290"/>
        <v>100</v>
      </c>
      <c r="CE366" s="621">
        <f t="shared" si="291"/>
        <v>4.1250000000000002E-2</v>
      </c>
      <c r="CF366" s="605">
        <f t="shared" si="292"/>
        <v>100</v>
      </c>
      <c r="CG366" s="621">
        <f t="shared" si="293"/>
        <v>6.2700000000000006E-2</v>
      </c>
      <c r="CH366" s="553">
        <f t="shared" si="294"/>
        <v>4.9500000000000002E-2</v>
      </c>
      <c r="CI366" s="552">
        <v>300</v>
      </c>
      <c r="CJ366" s="551">
        <f t="shared" si="273"/>
        <v>0.3</v>
      </c>
      <c r="CK366" s="874">
        <v>0</v>
      </c>
      <c r="CL366" s="533">
        <f t="shared" si="274"/>
        <v>300</v>
      </c>
      <c r="CM366" s="619">
        <f t="shared" si="275"/>
        <v>0</v>
      </c>
      <c r="CN366" s="619">
        <f t="shared" si="276"/>
        <v>0</v>
      </c>
      <c r="CO366" s="549">
        <f t="shared" si="295"/>
        <v>0</v>
      </c>
      <c r="CP366" s="619">
        <f t="shared" si="296"/>
        <v>0</v>
      </c>
      <c r="CQ366" s="619">
        <f t="shared" si="297"/>
        <v>0</v>
      </c>
      <c r="CR366" s="546">
        <v>0</v>
      </c>
      <c r="CS366" s="546">
        <v>0</v>
      </c>
      <c r="CT366" s="546">
        <v>0</v>
      </c>
      <c r="CU366" s="546">
        <v>0</v>
      </c>
      <c r="CV366" s="546">
        <v>0</v>
      </c>
      <c r="CW366" s="546">
        <v>0</v>
      </c>
      <c r="CX366" s="546">
        <v>0</v>
      </c>
      <c r="CY366" s="546">
        <v>0</v>
      </c>
      <c r="CZ366" s="618">
        <v>0</v>
      </c>
      <c r="DA366" s="618">
        <v>0</v>
      </c>
      <c r="DB366" s="618">
        <v>0</v>
      </c>
      <c r="DC366" s="618">
        <v>0</v>
      </c>
      <c r="DD366" s="618">
        <v>0</v>
      </c>
      <c r="DE366" s="618">
        <v>0</v>
      </c>
      <c r="DF366" s="618">
        <v>0</v>
      </c>
      <c r="DG366" s="618">
        <v>0</v>
      </c>
      <c r="DH366" s="618">
        <v>0</v>
      </c>
      <c r="DI366" s="618">
        <v>0</v>
      </c>
      <c r="DJ366" s="618">
        <v>0</v>
      </c>
      <c r="DK366" s="1034">
        <f t="shared" si="277"/>
        <v>734</v>
      </c>
      <c r="DL366" s="543">
        <f t="shared" si="298"/>
        <v>0.16500000000000004</v>
      </c>
      <c r="DM366" s="542">
        <f t="shared" si="299"/>
        <v>73.400000000000006</v>
      </c>
      <c r="DN366" s="594">
        <f t="shared" si="300"/>
        <v>73.400000000000006</v>
      </c>
      <c r="DO366" s="540">
        <f t="shared" si="301"/>
        <v>0.12111000000000001</v>
      </c>
      <c r="DP366" s="597">
        <f t="shared" si="309"/>
        <v>0.12111000000000001</v>
      </c>
      <c r="DQ366" s="538">
        <f t="shared" si="302"/>
        <v>0.12111000000000001</v>
      </c>
      <c r="DR366" s="617">
        <f t="shared" si="303"/>
        <v>1</v>
      </c>
      <c r="DS366" s="616">
        <f t="shared" si="304"/>
        <v>0</v>
      </c>
      <c r="DT366" s="259">
        <v>422</v>
      </c>
      <c r="DU366" s="260" t="s">
        <v>262</v>
      </c>
      <c r="DV366" s="259"/>
      <c r="DW366" s="260" t="s">
        <v>242</v>
      </c>
      <c r="DX366" s="259"/>
      <c r="DY366" s="259"/>
      <c r="DZ366" s="259"/>
      <c r="EA366" s="987"/>
      <c r="EB366" s="1041" t="s">
        <v>2669</v>
      </c>
      <c r="EC366" s="802">
        <v>0</v>
      </c>
      <c r="EE366" s="1047"/>
    </row>
    <row r="367" spans="4:135" s="534" customFormat="1" ht="120" hidden="1" x14ac:dyDescent="0.3">
      <c r="D367" s="783">
        <v>364</v>
      </c>
      <c r="E367" s="799">
        <v>426</v>
      </c>
      <c r="F367" s="739" t="s">
        <v>202</v>
      </c>
      <c r="G367" s="739" t="s">
        <v>17</v>
      </c>
      <c r="H367" s="739" t="s">
        <v>149</v>
      </c>
      <c r="I367" s="676" t="s">
        <v>1059</v>
      </c>
      <c r="J367" s="573" t="s">
        <v>1060</v>
      </c>
      <c r="K367" s="573" t="s">
        <v>1061</v>
      </c>
      <c r="L367" s="677" t="s">
        <v>2133</v>
      </c>
      <c r="M367" s="571" t="s">
        <v>2017</v>
      </c>
      <c r="N367" s="571">
        <v>200</v>
      </c>
      <c r="O367" s="570">
        <f t="shared" si="308"/>
        <v>450</v>
      </c>
      <c r="P367" s="569">
        <v>250</v>
      </c>
      <c r="Q367" s="628">
        <v>0.16500000000000001</v>
      </c>
      <c r="R367" s="580">
        <f t="shared" si="282"/>
        <v>1.6500000000000001E-2</v>
      </c>
      <c r="S367" s="627">
        <v>25</v>
      </c>
      <c r="T367" s="625">
        <f t="shared" si="264"/>
        <v>0.1</v>
      </c>
      <c r="U367" s="992">
        <v>106</v>
      </c>
      <c r="V367" s="626">
        <f t="shared" si="265"/>
        <v>106</v>
      </c>
      <c r="W367" s="594">
        <f t="shared" si="266"/>
        <v>424</v>
      </c>
      <c r="X367" s="594">
        <f t="shared" si="283"/>
        <v>100</v>
      </c>
      <c r="Y367" s="594">
        <f t="shared" si="307"/>
        <v>1.6500000000000001E-2</v>
      </c>
      <c r="Z367" s="594">
        <f t="shared" si="284"/>
        <v>100</v>
      </c>
      <c r="AA367" s="593">
        <v>0</v>
      </c>
      <c r="AB367" s="593">
        <v>0</v>
      </c>
      <c r="AC367" s="593">
        <v>0</v>
      </c>
      <c r="AD367" s="593">
        <v>0</v>
      </c>
      <c r="AE367" s="593">
        <v>0</v>
      </c>
      <c r="AF367" s="593">
        <v>0</v>
      </c>
      <c r="AG367" s="593">
        <v>0</v>
      </c>
      <c r="AH367" s="593">
        <v>0</v>
      </c>
      <c r="AI367" s="593">
        <v>0</v>
      </c>
      <c r="AJ367" s="593">
        <v>0</v>
      </c>
      <c r="AK367" s="593">
        <v>0</v>
      </c>
      <c r="AL367" s="593">
        <v>0</v>
      </c>
      <c r="AM367" s="593">
        <v>0</v>
      </c>
      <c r="AN367" s="593">
        <v>0</v>
      </c>
      <c r="AO367" s="593">
        <v>0</v>
      </c>
      <c r="AP367" s="593">
        <v>0</v>
      </c>
      <c r="AQ367" s="593">
        <v>0</v>
      </c>
      <c r="AR367" s="593">
        <v>0</v>
      </c>
      <c r="AS367" s="593">
        <v>0</v>
      </c>
      <c r="AT367" s="570">
        <f t="shared" si="285"/>
        <v>4.6200000000000005E-2</v>
      </c>
      <c r="AU367" s="571">
        <v>70</v>
      </c>
      <c r="AV367" s="625">
        <f t="shared" si="267"/>
        <v>0.28000000000000003</v>
      </c>
      <c r="AW367" s="1003">
        <v>32</v>
      </c>
      <c r="AX367" s="604">
        <f t="shared" si="268"/>
        <v>32</v>
      </c>
      <c r="AY367" s="604">
        <f t="shared" si="269"/>
        <v>45.714285714285715</v>
      </c>
      <c r="AZ367" s="604">
        <f t="shared" si="286"/>
        <v>45.714285714285715</v>
      </c>
      <c r="BA367" s="592">
        <f t="shared" si="287"/>
        <v>2.112E-2</v>
      </c>
      <c r="BB367" s="592">
        <f t="shared" si="288"/>
        <v>45.714285714285715</v>
      </c>
      <c r="BC367" s="591">
        <v>0</v>
      </c>
      <c r="BD367" s="591">
        <v>0</v>
      </c>
      <c r="BE367" s="591">
        <v>0</v>
      </c>
      <c r="BF367" s="591">
        <v>0</v>
      </c>
      <c r="BG367" s="591">
        <v>0</v>
      </c>
      <c r="BH367" s="591">
        <v>0</v>
      </c>
      <c r="BI367" s="591">
        <v>0</v>
      </c>
      <c r="BJ367" s="591">
        <v>0</v>
      </c>
      <c r="BK367" s="669">
        <v>0</v>
      </c>
      <c r="BL367" s="589">
        <v>0</v>
      </c>
      <c r="BM367" s="589">
        <v>0</v>
      </c>
      <c r="BN367" s="589">
        <v>0</v>
      </c>
      <c r="BO367" s="589">
        <v>0</v>
      </c>
      <c r="BP367" s="589">
        <v>0</v>
      </c>
      <c r="BQ367" s="589">
        <v>0</v>
      </c>
      <c r="BR367" s="589">
        <v>0</v>
      </c>
      <c r="BS367" s="589">
        <v>0</v>
      </c>
      <c r="BT367" s="589">
        <v>0</v>
      </c>
      <c r="BU367" s="589">
        <v>0</v>
      </c>
      <c r="BV367" s="588">
        <f t="shared" si="289"/>
        <v>4.6200000000000005E-2</v>
      </c>
      <c r="BW367" s="588">
        <v>70</v>
      </c>
      <c r="BX367" s="623">
        <f t="shared" si="270"/>
        <v>0.28000000000000003</v>
      </c>
      <c r="BY367" s="607">
        <v>9</v>
      </c>
      <c r="BZ367" s="629">
        <v>9</v>
      </c>
      <c r="CA367" s="1017">
        <v>14</v>
      </c>
      <c r="CB367" s="557">
        <f t="shared" si="271"/>
        <v>14</v>
      </c>
      <c r="CC367" s="557">
        <f t="shared" si="272"/>
        <v>20</v>
      </c>
      <c r="CD367" s="622">
        <f t="shared" si="290"/>
        <v>20</v>
      </c>
      <c r="CE367" s="621">
        <f t="shared" si="291"/>
        <v>9.2400000000000017E-3</v>
      </c>
      <c r="CF367" s="605">
        <f t="shared" si="292"/>
        <v>20</v>
      </c>
      <c r="CG367" s="621">
        <f t="shared" si="293"/>
        <v>9.2400000000000017E-3</v>
      </c>
      <c r="CH367" s="553">
        <f t="shared" si="294"/>
        <v>5.6100000000000004E-2</v>
      </c>
      <c r="CI367" s="552">
        <v>85</v>
      </c>
      <c r="CJ367" s="551">
        <f t="shared" si="273"/>
        <v>0.34</v>
      </c>
      <c r="CK367" s="874">
        <v>70</v>
      </c>
      <c r="CL367" s="533">
        <f t="shared" si="274"/>
        <v>15</v>
      </c>
      <c r="CM367" s="619">
        <f t="shared" si="275"/>
        <v>70</v>
      </c>
      <c r="CN367" s="619">
        <f t="shared" si="276"/>
        <v>82.352941176470594</v>
      </c>
      <c r="CO367" s="549">
        <f t="shared" si="295"/>
        <v>82.352941176470594</v>
      </c>
      <c r="CP367" s="619">
        <f t="shared" si="296"/>
        <v>4.6200000000000012E-2</v>
      </c>
      <c r="CQ367" s="619">
        <f t="shared" si="297"/>
        <v>4.6200000000000012E-2</v>
      </c>
      <c r="CR367" s="546">
        <v>0</v>
      </c>
      <c r="CS367" s="546">
        <v>0</v>
      </c>
      <c r="CT367" s="546">
        <v>0</v>
      </c>
      <c r="CU367" s="546">
        <v>0</v>
      </c>
      <c r="CV367" s="546">
        <v>0</v>
      </c>
      <c r="CW367" s="546">
        <v>0</v>
      </c>
      <c r="CX367" s="546">
        <v>0</v>
      </c>
      <c r="CY367" s="546">
        <v>0</v>
      </c>
      <c r="CZ367" s="618">
        <v>0</v>
      </c>
      <c r="DA367" s="618">
        <v>0</v>
      </c>
      <c r="DB367" s="618">
        <v>0</v>
      </c>
      <c r="DC367" s="618">
        <v>0</v>
      </c>
      <c r="DD367" s="618">
        <v>0</v>
      </c>
      <c r="DE367" s="618">
        <v>0</v>
      </c>
      <c r="DF367" s="618">
        <v>0</v>
      </c>
      <c r="DG367" s="618">
        <v>0</v>
      </c>
      <c r="DH367" s="618">
        <v>0</v>
      </c>
      <c r="DI367" s="618">
        <v>0</v>
      </c>
      <c r="DJ367" s="618">
        <v>0</v>
      </c>
      <c r="DK367" s="1034">
        <f t="shared" si="277"/>
        <v>222</v>
      </c>
      <c r="DL367" s="543">
        <f t="shared" si="298"/>
        <v>0.16500000000000001</v>
      </c>
      <c r="DM367" s="542">
        <f t="shared" si="299"/>
        <v>88.8</v>
      </c>
      <c r="DN367" s="594">
        <f t="shared" si="300"/>
        <v>88.8</v>
      </c>
      <c r="DO367" s="540">
        <f t="shared" si="301"/>
        <v>0.14652000000000001</v>
      </c>
      <c r="DP367" s="597">
        <f t="shared" si="309"/>
        <v>0.14652000000000001</v>
      </c>
      <c r="DQ367" s="538">
        <f t="shared" si="302"/>
        <v>0.14652000000000001</v>
      </c>
      <c r="DR367" s="617">
        <f t="shared" si="303"/>
        <v>1</v>
      </c>
      <c r="DS367" s="616">
        <f t="shared" si="304"/>
        <v>0</v>
      </c>
      <c r="DT367" s="259">
        <v>422</v>
      </c>
      <c r="DU367" s="260" t="s">
        <v>262</v>
      </c>
      <c r="DV367" s="259">
        <v>434</v>
      </c>
      <c r="DW367" s="260" t="s">
        <v>261</v>
      </c>
      <c r="DX367" s="259"/>
      <c r="DY367" s="259"/>
      <c r="DZ367" s="259"/>
      <c r="EA367" s="987"/>
      <c r="EB367" s="1041" t="s">
        <v>2670</v>
      </c>
      <c r="EC367" s="802">
        <v>0</v>
      </c>
      <c r="EE367" s="1047"/>
    </row>
    <row r="368" spans="4:135" s="534" customFormat="1" ht="63.75" hidden="1" x14ac:dyDescent="0.3">
      <c r="D368" s="783">
        <v>365</v>
      </c>
      <c r="E368" s="799">
        <v>427</v>
      </c>
      <c r="F368" s="739" t="s">
        <v>202</v>
      </c>
      <c r="G368" s="739" t="s">
        <v>17</v>
      </c>
      <c r="H368" s="739" t="s">
        <v>149</v>
      </c>
      <c r="I368" s="676" t="s">
        <v>1059</v>
      </c>
      <c r="J368" s="573" t="s">
        <v>1062</v>
      </c>
      <c r="K368" s="573" t="s">
        <v>1063</v>
      </c>
      <c r="L368" s="677" t="s">
        <v>2113</v>
      </c>
      <c r="M368" s="571" t="s">
        <v>2017</v>
      </c>
      <c r="N368" s="571">
        <v>0</v>
      </c>
      <c r="O368" s="570">
        <f t="shared" si="308"/>
        <v>3</v>
      </c>
      <c r="P368" s="569">
        <v>3</v>
      </c>
      <c r="Q368" s="628">
        <v>0.25</v>
      </c>
      <c r="R368" s="580">
        <f t="shared" si="282"/>
        <v>0</v>
      </c>
      <c r="S368" s="627">
        <v>0</v>
      </c>
      <c r="T368" s="625">
        <f t="shared" si="264"/>
        <v>0</v>
      </c>
      <c r="U368" s="992">
        <v>3</v>
      </c>
      <c r="V368" s="626">
        <f t="shared" si="265"/>
        <v>3</v>
      </c>
      <c r="W368" s="594">
        <f t="shared" si="266"/>
        <v>0</v>
      </c>
      <c r="X368" s="594">
        <f t="shared" si="283"/>
        <v>0</v>
      </c>
      <c r="Y368" s="594">
        <f t="shared" si="307"/>
        <v>0</v>
      </c>
      <c r="Z368" s="594">
        <f t="shared" si="284"/>
        <v>100</v>
      </c>
      <c r="AA368" s="593">
        <v>1100000000</v>
      </c>
      <c r="AB368" s="593">
        <v>1100000000</v>
      </c>
      <c r="AC368" s="593">
        <v>0</v>
      </c>
      <c r="AD368" s="593">
        <v>0</v>
      </c>
      <c r="AE368" s="593">
        <v>0</v>
      </c>
      <c r="AF368" s="593">
        <v>0</v>
      </c>
      <c r="AG368" s="593">
        <v>0</v>
      </c>
      <c r="AH368" s="593">
        <v>0</v>
      </c>
      <c r="AI368" s="593">
        <v>782103000</v>
      </c>
      <c r="AJ368" s="593">
        <v>782103000</v>
      </c>
      <c r="AK368" s="593">
        <v>0</v>
      </c>
      <c r="AL368" s="593">
        <v>0</v>
      </c>
      <c r="AM368" s="593">
        <v>0</v>
      </c>
      <c r="AN368" s="593">
        <v>0</v>
      </c>
      <c r="AO368" s="593">
        <v>0</v>
      </c>
      <c r="AP368" s="593">
        <v>0</v>
      </c>
      <c r="AQ368" s="593">
        <v>0</v>
      </c>
      <c r="AR368" s="593">
        <v>0</v>
      </c>
      <c r="AS368" s="593">
        <v>0</v>
      </c>
      <c r="AT368" s="570">
        <f t="shared" si="285"/>
        <v>8.3333333333333329E-2</v>
      </c>
      <c r="AU368" s="571">
        <v>1</v>
      </c>
      <c r="AV368" s="625">
        <f t="shared" si="267"/>
        <v>0.33333333333333331</v>
      </c>
      <c r="AW368" s="1003">
        <v>1</v>
      </c>
      <c r="AX368" s="604">
        <f t="shared" si="268"/>
        <v>1</v>
      </c>
      <c r="AY368" s="604">
        <f t="shared" si="269"/>
        <v>100</v>
      </c>
      <c r="AZ368" s="604">
        <f t="shared" si="286"/>
        <v>100</v>
      </c>
      <c r="BA368" s="592">
        <f t="shared" si="287"/>
        <v>8.3333333333333315E-2</v>
      </c>
      <c r="BB368" s="592">
        <f t="shared" si="288"/>
        <v>100</v>
      </c>
      <c r="BC368" s="591">
        <v>0</v>
      </c>
      <c r="BD368" s="591">
        <v>0</v>
      </c>
      <c r="BE368" s="591">
        <v>0</v>
      </c>
      <c r="BF368" s="591">
        <v>0</v>
      </c>
      <c r="BG368" s="591">
        <v>0</v>
      </c>
      <c r="BH368" s="591">
        <v>0</v>
      </c>
      <c r="BI368" s="591">
        <v>0</v>
      </c>
      <c r="BJ368" s="591">
        <v>0</v>
      </c>
      <c r="BK368" s="669">
        <v>31000000</v>
      </c>
      <c r="BL368" s="589">
        <v>31000000</v>
      </c>
      <c r="BM368" s="589">
        <v>0</v>
      </c>
      <c r="BN368" s="589">
        <v>0</v>
      </c>
      <c r="BO368" s="589">
        <v>0</v>
      </c>
      <c r="BP368" s="589">
        <v>0</v>
      </c>
      <c r="BQ368" s="589">
        <v>0</v>
      </c>
      <c r="BR368" s="589">
        <v>0</v>
      </c>
      <c r="BS368" s="589">
        <v>0</v>
      </c>
      <c r="BT368" s="589">
        <v>0</v>
      </c>
      <c r="BU368" s="589">
        <v>0</v>
      </c>
      <c r="BV368" s="588">
        <f t="shared" si="289"/>
        <v>8.3333333333333329E-2</v>
      </c>
      <c r="BW368" s="588">
        <v>1</v>
      </c>
      <c r="BX368" s="623">
        <f t="shared" si="270"/>
        <v>0.33333333333333331</v>
      </c>
      <c r="BY368" s="607">
        <v>1</v>
      </c>
      <c r="BZ368" s="629">
        <v>1</v>
      </c>
      <c r="CA368" s="1017">
        <v>1</v>
      </c>
      <c r="CB368" s="557">
        <f t="shared" si="271"/>
        <v>1</v>
      </c>
      <c r="CC368" s="557">
        <f t="shared" si="272"/>
        <v>100</v>
      </c>
      <c r="CD368" s="622">
        <f t="shared" si="290"/>
        <v>100</v>
      </c>
      <c r="CE368" s="621">
        <f t="shared" si="291"/>
        <v>8.3333333333333315E-2</v>
      </c>
      <c r="CF368" s="605">
        <f t="shared" si="292"/>
        <v>100</v>
      </c>
      <c r="CG368" s="621">
        <f t="shared" si="293"/>
        <v>8.3333333333333315E-2</v>
      </c>
      <c r="CH368" s="553">
        <f t="shared" si="294"/>
        <v>8.3333333333333329E-2</v>
      </c>
      <c r="CI368" s="552">
        <v>1</v>
      </c>
      <c r="CJ368" s="551">
        <f t="shared" si="273"/>
        <v>0.33333333333333331</v>
      </c>
      <c r="CK368" s="874">
        <v>0</v>
      </c>
      <c r="CL368" s="533">
        <f t="shared" si="274"/>
        <v>1</v>
      </c>
      <c r="CM368" s="619">
        <f t="shared" si="275"/>
        <v>0</v>
      </c>
      <c r="CN368" s="619">
        <f t="shared" si="276"/>
        <v>0</v>
      </c>
      <c r="CO368" s="549">
        <f t="shared" si="295"/>
        <v>0</v>
      </c>
      <c r="CP368" s="619">
        <f t="shared" si="296"/>
        <v>0</v>
      </c>
      <c r="CQ368" s="619">
        <f t="shared" si="297"/>
        <v>0</v>
      </c>
      <c r="CR368" s="546">
        <v>0</v>
      </c>
      <c r="CS368" s="546">
        <v>0</v>
      </c>
      <c r="CT368" s="546">
        <v>0</v>
      </c>
      <c r="CU368" s="546">
        <v>0</v>
      </c>
      <c r="CV368" s="546">
        <v>0</v>
      </c>
      <c r="CW368" s="546">
        <v>0</v>
      </c>
      <c r="CX368" s="546">
        <v>0</v>
      </c>
      <c r="CY368" s="546">
        <v>0</v>
      </c>
      <c r="CZ368" s="618">
        <v>0</v>
      </c>
      <c r="DA368" s="618">
        <v>0</v>
      </c>
      <c r="DB368" s="618">
        <v>0</v>
      </c>
      <c r="DC368" s="618">
        <v>0</v>
      </c>
      <c r="DD368" s="618">
        <v>0</v>
      </c>
      <c r="DE368" s="618">
        <v>0</v>
      </c>
      <c r="DF368" s="618">
        <v>0</v>
      </c>
      <c r="DG368" s="618">
        <v>0</v>
      </c>
      <c r="DH368" s="618">
        <v>0</v>
      </c>
      <c r="DI368" s="618">
        <v>0</v>
      </c>
      <c r="DJ368" s="618">
        <v>0</v>
      </c>
      <c r="DK368" s="1034">
        <f t="shared" si="277"/>
        <v>5</v>
      </c>
      <c r="DL368" s="543">
        <f t="shared" si="298"/>
        <v>0.25</v>
      </c>
      <c r="DM368" s="542">
        <f t="shared" si="299"/>
        <v>166.66666666666666</v>
      </c>
      <c r="DN368" s="594">
        <f t="shared" si="300"/>
        <v>100</v>
      </c>
      <c r="DO368" s="540">
        <f t="shared" si="301"/>
        <v>0.25</v>
      </c>
      <c r="DP368" s="597">
        <f t="shared" si="309"/>
        <v>0.25</v>
      </c>
      <c r="DQ368" s="538">
        <f t="shared" si="302"/>
        <v>0.25</v>
      </c>
      <c r="DR368" s="617">
        <f t="shared" si="303"/>
        <v>1</v>
      </c>
      <c r="DS368" s="616">
        <f t="shared" si="304"/>
        <v>0</v>
      </c>
      <c r="DT368" s="259">
        <v>422</v>
      </c>
      <c r="DU368" s="260" t="s">
        <v>262</v>
      </c>
      <c r="DV368" s="259"/>
      <c r="DW368" s="260" t="s">
        <v>242</v>
      </c>
      <c r="DX368" s="259"/>
      <c r="DY368" s="259"/>
      <c r="DZ368" s="259"/>
      <c r="EA368" s="987"/>
      <c r="EB368" s="1041" t="s">
        <v>2671</v>
      </c>
      <c r="EC368" s="802">
        <v>0</v>
      </c>
      <c r="EE368" s="1047"/>
    </row>
    <row r="369" spans="4:135" s="534" customFormat="1" ht="60" hidden="1" x14ac:dyDescent="0.3">
      <c r="D369" s="783">
        <v>366</v>
      </c>
      <c r="E369" s="799">
        <v>428</v>
      </c>
      <c r="F369" s="739" t="s">
        <v>202</v>
      </c>
      <c r="G369" s="739" t="s">
        <v>17</v>
      </c>
      <c r="H369" s="739" t="s">
        <v>149</v>
      </c>
      <c r="I369" s="676" t="s">
        <v>1059</v>
      </c>
      <c r="J369" s="573" t="s">
        <v>1064</v>
      </c>
      <c r="K369" s="573" t="s">
        <v>1065</v>
      </c>
      <c r="L369" s="677" t="s">
        <v>1593</v>
      </c>
      <c r="M369" s="571" t="s">
        <v>2017</v>
      </c>
      <c r="N369" s="571">
        <v>23</v>
      </c>
      <c r="O369" s="570">
        <f t="shared" si="308"/>
        <v>58</v>
      </c>
      <c r="P369" s="569">
        <v>35</v>
      </c>
      <c r="Q369" s="628">
        <v>0.25</v>
      </c>
      <c r="R369" s="580">
        <f t="shared" si="282"/>
        <v>5.7142857142857141E-2</v>
      </c>
      <c r="S369" s="627">
        <v>8</v>
      </c>
      <c r="T369" s="625">
        <f t="shared" si="264"/>
        <v>0.22857142857142856</v>
      </c>
      <c r="U369" s="992">
        <v>1</v>
      </c>
      <c r="V369" s="626">
        <f t="shared" si="265"/>
        <v>1</v>
      </c>
      <c r="W369" s="594">
        <f t="shared" si="266"/>
        <v>12.5</v>
      </c>
      <c r="X369" s="594">
        <f t="shared" si="283"/>
        <v>12.5</v>
      </c>
      <c r="Y369" s="594">
        <f t="shared" si="307"/>
        <v>7.1428571428571426E-3</v>
      </c>
      <c r="Z369" s="594">
        <f t="shared" si="284"/>
        <v>12.5</v>
      </c>
      <c r="AA369" s="593">
        <v>500000000</v>
      </c>
      <c r="AB369" s="593">
        <v>500000000</v>
      </c>
      <c r="AC369" s="593">
        <v>0</v>
      </c>
      <c r="AD369" s="593">
        <v>0</v>
      </c>
      <c r="AE369" s="593">
        <v>0</v>
      </c>
      <c r="AF369" s="593">
        <v>0</v>
      </c>
      <c r="AG369" s="593">
        <v>0</v>
      </c>
      <c r="AH369" s="593">
        <v>0</v>
      </c>
      <c r="AI369" s="593">
        <v>21450000</v>
      </c>
      <c r="AJ369" s="593">
        <v>21450000</v>
      </c>
      <c r="AK369" s="593">
        <v>0</v>
      </c>
      <c r="AL369" s="593">
        <v>0</v>
      </c>
      <c r="AM369" s="593">
        <v>0</v>
      </c>
      <c r="AN369" s="593">
        <v>0</v>
      </c>
      <c r="AO369" s="593">
        <v>0</v>
      </c>
      <c r="AP369" s="593">
        <v>0</v>
      </c>
      <c r="AQ369" s="593">
        <v>0</v>
      </c>
      <c r="AR369" s="593">
        <v>0</v>
      </c>
      <c r="AS369" s="593">
        <v>0</v>
      </c>
      <c r="AT369" s="570">
        <f t="shared" si="285"/>
        <v>8.5714285714285715E-2</v>
      </c>
      <c r="AU369" s="571">
        <v>12</v>
      </c>
      <c r="AV369" s="625">
        <f t="shared" si="267"/>
        <v>0.34285714285714286</v>
      </c>
      <c r="AW369" s="1003">
        <v>9</v>
      </c>
      <c r="AX369" s="604">
        <f t="shared" si="268"/>
        <v>9</v>
      </c>
      <c r="AY369" s="604">
        <f t="shared" si="269"/>
        <v>75</v>
      </c>
      <c r="AZ369" s="604">
        <f t="shared" si="286"/>
        <v>75</v>
      </c>
      <c r="BA369" s="592">
        <f t="shared" si="287"/>
        <v>6.4285714285714293E-2</v>
      </c>
      <c r="BB369" s="592">
        <f t="shared" si="288"/>
        <v>75</v>
      </c>
      <c r="BC369" s="591">
        <v>0</v>
      </c>
      <c r="BD369" s="591">
        <v>0</v>
      </c>
      <c r="BE369" s="591">
        <v>0</v>
      </c>
      <c r="BF369" s="591">
        <v>0</v>
      </c>
      <c r="BG369" s="591">
        <v>0</v>
      </c>
      <c r="BH369" s="591">
        <v>0</v>
      </c>
      <c r="BI369" s="591">
        <v>0</v>
      </c>
      <c r="BJ369" s="591">
        <v>0</v>
      </c>
      <c r="BK369" s="669">
        <v>0</v>
      </c>
      <c r="BL369" s="589">
        <v>0</v>
      </c>
      <c r="BM369" s="589">
        <v>0</v>
      </c>
      <c r="BN369" s="589">
        <v>0</v>
      </c>
      <c r="BO369" s="589">
        <v>0</v>
      </c>
      <c r="BP369" s="589">
        <v>0</v>
      </c>
      <c r="BQ369" s="589">
        <v>0</v>
      </c>
      <c r="BR369" s="589">
        <v>0</v>
      </c>
      <c r="BS369" s="589">
        <v>0</v>
      </c>
      <c r="BT369" s="589">
        <v>0</v>
      </c>
      <c r="BU369" s="589">
        <v>0</v>
      </c>
      <c r="BV369" s="588">
        <f t="shared" si="289"/>
        <v>7.1428571428571425E-2</v>
      </c>
      <c r="BW369" s="588">
        <v>10</v>
      </c>
      <c r="BX369" s="623">
        <f t="shared" si="270"/>
        <v>0.2857142857142857</v>
      </c>
      <c r="BY369" s="607">
        <v>0</v>
      </c>
      <c r="BZ369" s="629">
        <v>0</v>
      </c>
      <c r="CA369" s="1017">
        <v>0</v>
      </c>
      <c r="CB369" s="557">
        <f t="shared" si="271"/>
        <v>0</v>
      </c>
      <c r="CC369" s="557">
        <f t="shared" si="272"/>
        <v>0</v>
      </c>
      <c r="CD369" s="622">
        <f t="shared" si="290"/>
        <v>0</v>
      </c>
      <c r="CE369" s="621">
        <f t="shared" si="291"/>
        <v>0</v>
      </c>
      <c r="CF369" s="605">
        <f t="shared" si="292"/>
        <v>0</v>
      </c>
      <c r="CG369" s="621">
        <f t="shared" si="293"/>
        <v>0</v>
      </c>
      <c r="CH369" s="553">
        <f t="shared" si="294"/>
        <v>3.5714285714285712E-2</v>
      </c>
      <c r="CI369" s="552">
        <v>5</v>
      </c>
      <c r="CJ369" s="551">
        <f t="shared" si="273"/>
        <v>0.14285714285714285</v>
      </c>
      <c r="CK369" s="874">
        <v>19</v>
      </c>
      <c r="CL369" s="533">
        <f t="shared" si="274"/>
        <v>-14</v>
      </c>
      <c r="CM369" s="619">
        <f t="shared" si="275"/>
        <v>19</v>
      </c>
      <c r="CN369" s="619">
        <f t="shared" si="276"/>
        <v>380</v>
      </c>
      <c r="CO369" s="549">
        <f t="shared" si="295"/>
        <v>100</v>
      </c>
      <c r="CP369" s="619">
        <f t="shared" si="296"/>
        <v>3.5714285714285712E-2</v>
      </c>
      <c r="CQ369" s="619">
        <f t="shared" si="297"/>
        <v>0.1357142857142857</v>
      </c>
      <c r="CR369" s="546">
        <v>0</v>
      </c>
      <c r="CS369" s="546">
        <v>0</v>
      </c>
      <c r="CT369" s="546">
        <v>0</v>
      </c>
      <c r="CU369" s="546">
        <v>0</v>
      </c>
      <c r="CV369" s="546">
        <v>0</v>
      </c>
      <c r="CW369" s="546">
        <v>0</v>
      </c>
      <c r="CX369" s="546">
        <v>0</v>
      </c>
      <c r="CY369" s="546">
        <v>0</v>
      </c>
      <c r="CZ369" s="618">
        <v>0</v>
      </c>
      <c r="DA369" s="618">
        <v>0</v>
      </c>
      <c r="DB369" s="618">
        <v>0</v>
      </c>
      <c r="DC369" s="618">
        <v>0</v>
      </c>
      <c r="DD369" s="618">
        <v>0</v>
      </c>
      <c r="DE369" s="618">
        <v>0</v>
      </c>
      <c r="DF369" s="618">
        <v>0</v>
      </c>
      <c r="DG369" s="618">
        <v>0</v>
      </c>
      <c r="DH369" s="618">
        <v>0</v>
      </c>
      <c r="DI369" s="618">
        <v>0</v>
      </c>
      <c r="DJ369" s="618">
        <v>0</v>
      </c>
      <c r="DK369" s="1034">
        <f t="shared" si="277"/>
        <v>29</v>
      </c>
      <c r="DL369" s="543">
        <f t="shared" si="298"/>
        <v>0.25</v>
      </c>
      <c r="DM369" s="542">
        <f t="shared" si="299"/>
        <v>82.857142857142861</v>
      </c>
      <c r="DN369" s="594">
        <f t="shared" si="300"/>
        <v>82.857142857142861</v>
      </c>
      <c r="DO369" s="540">
        <f t="shared" si="301"/>
        <v>0.20714285714285716</v>
      </c>
      <c r="DP369" s="597">
        <f t="shared" si="309"/>
        <v>0.20714285714285716</v>
      </c>
      <c r="DQ369" s="538">
        <f t="shared" si="302"/>
        <v>0.20714285714285716</v>
      </c>
      <c r="DR369" s="617">
        <f t="shared" si="303"/>
        <v>1</v>
      </c>
      <c r="DS369" s="616">
        <f t="shared" si="304"/>
        <v>0</v>
      </c>
      <c r="DT369" s="259">
        <v>422</v>
      </c>
      <c r="DU369" s="260" t="s">
        <v>262</v>
      </c>
      <c r="DV369" s="259"/>
      <c r="DW369" s="260" t="s">
        <v>242</v>
      </c>
      <c r="DX369" s="259"/>
      <c r="DY369" s="259"/>
      <c r="DZ369" s="259"/>
      <c r="EA369" s="987"/>
      <c r="EB369" s="1041" t="s">
        <v>2672</v>
      </c>
      <c r="EC369" s="802">
        <v>0</v>
      </c>
      <c r="EE369" s="1047"/>
    </row>
    <row r="370" spans="4:135" s="534" customFormat="1" ht="76.5" hidden="1" x14ac:dyDescent="0.3">
      <c r="D370" s="783">
        <v>367</v>
      </c>
      <c r="E370" s="799">
        <v>429</v>
      </c>
      <c r="F370" s="739" t="s">
        <v>202</v>
      </c>
      <c r="G370" s="739" t="s">
        <v>17</v>
      </c>
      <c r="H370" s="739" t="s">
        <v>149</v>
      </c>
      <c r="I370" s="676" t="s">
        <v>1059</v>
      </c>
      <c r="J370" s="573" t="s">
        <v>1066</v>
      </c>
      <c r="K370" s="573" t="s">
        <v>1067</v>
      </c>
      <c r="L370" s="677" t="s">
        <v>2132</v>
      </c>
      <c r="M370" s="571" t="s">
        <v>2017</v>
      </c>
      <c r="N370" s="571">
        <v>2714</v>
      </c>
      <c r="O370" s="570">
        <f t="shared" si="308"/>
        <v>4714</v>
      </c>
      <c r="P370" s="569">
        <v>2000</v>
      </c>
      <c r="Q370" s="628">
        <v>0.25</v>
      </c>
      <c r="R370" s="580">
        <f t="shared" si="282"/>
        <v>6.25E-2</v>
      </c>
      <c r="S370" s="627">
        <v>500</v>
      </c>
      <c r="T370" s="625">
        <f t="shared" si="264"/>
        <v>0.25</v>
      </c>
      <c r="U370" s="992">
        <v>322</v>
      </c>
      <c r="V370" s="626">
        <f t="shared" si="265"/>
        <v>322</v>
      </c>
      <c r="W370" s="594">
        <f t="shared" si="266"/>
        <v>64.400000000000006</v>
      </c>
      <c r="X370" s="594">
        <f t="shared" si="283"/>
        <v>64.400000000000006</v>
      </c>
      <c r="Y370" s="594">
        <f t="shared" si="307"/>
        <v>4.0250000000000001E-2</v>
      </c>
      <c r="Z370" s="594">
        <f t="shared" si="284"/>
        <v>64.400000000000006</v>
      </c>
      <c r="AA370" s="593">
        <v>5850000000</v>
      </c>
      <c r="AB370" s="593">
        <v>150000000</v>
      </c>
      <c r="AC370" s="593">
        <v>0</v>
      </c>
      <c r="AD370" s="593">
        <v>5700000000</v>
      </c>
      <c r="AE370" s="593">
        <v>0</v>
      </c>
      <c r="AF370" s="593">
        <v>0</v>
      </c>
      <c r="AG370" s="593">
        <v>0</v>
      </c>
      <c r="AH370" s="593">
        <v>0</v>
      </c>
      <c r="AI370" s="593">
        <v>150000000</v>
      </c>
      <c r="AJ370" s="593">
        <v>150000000</v>
      </c>
      <c r="AK370" s="593">
        <v>0</v>
      </c>
      <c r="AL370" s="593">
        <v>0</v>
      </c>
      <c r="AM370" s="593">
        <v>0</v>
      </c>
      <c r="AN370" s="593">
        <v>0</v>
      </c>
      <c r="AO370" s="593">
        <v>0</v>
      </c>
      <c r="AP370" s="593">
        <v>0</v>
      </c>
      <c r="AQ370" s="593">
        <v>0</v>
      </c>
      <c r="AR370" s="593">
        <v>0</v>
      </c>
      <c r="AS370" s="593">
        <v>0</v>
      </c>
      <c r="AT370" s="570">
        <f t="shared" si="285"/>
        <v>6.25E-2</v>
      </c>
      <c r="AU370" s="571">
        <v>500</v>
      </c>
      <c r="AV370" s="625">
        <f t="shared" si="267"/>
        <v>0.25</v>
      </c>
      <c r="AW370" s="1003">
        <v>565</v>
      </c>
      <c r="AX370" s="604">
        <f t="shared" si="268"/>
        <v>565</v>
      </c>
      <c r="AY370" s="604">
        <f t="shared" si="269"/>
        <v>113</v>
      </c>
      <c r="AZ370" s="604">
        <f t="shared" si="286"/>
        <v>100</v>
      </c>
      <c r="BA370" s="592">
        <f t="shared" si="287"/>
        <v>6.25E-2</v>
      </c>
      <c r="BB370" s="592">
        <f t="shared" si="288"/>
        <v>100</v>
      </c>
      <c r="BC370" s="591">
        <v>0</v>
      </c>
      <c r="BD370" s="591">
        <v>0</v>
      </c>
      <c r="BE370" s="591">
        <v>0</v>
      </c>
      <c r="BF370" s="591">
        <v>0</v>
      </c>
      <c r="BG370" s="591">
        <v>0</v>
      </c>
      <c r="BH370" s="591">
        <v>0</v>
      </c>
      <c r="BI370" s="591">
        <v>0</v>
      </c>
      <c r="BJ370" s="591">
        <v>0</v>
      </c>
      <c r="BK370" s="669">
        <v>150000000</v>
      </c>
      <c r="BL370" s="589">
        <v>150000000</v>
      </c>
      <c r="BM370" s="589">
        <v>0</v>
      </c>
      <c r="BN370" s="589">
        <v>0</v>
      </c>
      <c r="BO370" s="589">
        <v>0</v>
      </c>
      <c r="BP370" s="589">
        <v>0</v>
      </c>
      <c r="BQ370" s="589">
        <v>0</v>
      </c>
      <c r="BR370" s="589">
        <v>0</v>
      </c>
      <c r="BS370" s="589">
        <v>0</v>
      </c>
      <c r="BT370" s="589">
        <v>0</v>
      </c>
      <c r="BU370" s="589">
        <v>0</v>
      </c>
      <c r="BV370" s="588">
        <f t="shared" si="289"/>
        <v>6.25E-2</v>
      </c>
      <c r="BW370" s="588">
        <v>500</v>
      </c>
      <c r="BX370" s="623">
        <f t="shared" si="270"/>
        <v>0.25</v>
      </c>
      <c r="BY370" s="607">
        <v>0</v>
      </c>
      <c r="BZ370" s="629">
        <v>0</v>
      </c>
      <c r="CA370" s="1017">
        <v>1166</v>
      </c>
      <c r="CB370" s="557">
        <f t="shared" si="271"/>
        <v>1166</v>
      </c>
      <c r="CC370" s="557">
        <f t="shared" si="272"/>
        <v>233.2</v>
      </c>
      <c r="CD370" s="622">
        <f t="shared" si="290"/>
        <v>100</v>
      </c>
      <c r="CE370" s="621">
        <f t="shared" si="291"/>
        <v>6.25E-2</v>
      </c>
      <c r="CF370" s="605">
        <f t="shared" si="292"/>
        <v>100</v>
      </c>
      <c r="CG370" s="621">
        <f t="shared" si="293"/>
        <v>0.14574999999999999</v>
      </c>
      <c r="CH370" s="553">
        <f t="shared" si="294"/>
        <v>6.25E-2</v>
      </c>
      <c r="CI370" s="552">
        <v>500</v>
      </c>
      <c r="CJ370" s="551">
        <f t="shared" si="273"/>
        <v>0.25</v>
      </c>
      <c r="CK370" s="875">
        <v>702</v>
      </c>
      <c r="CL370" s="533">
        <f t="shared" si="274"/>
        <v>-202</v>
      </c>
      <c r="CM370" s="619">
        <f t="shared" si="275"/>
        <v>702</v>
      </c>
      <c r="CN370" s="619">
        <f t="shared" si="276"/>
        <v>140.4</v>
      </c>
      <c r="CO370" s="549">
        <f t="shared" si="295"/>
        <v>100</v>
      </c>
      <c r="CP370" s="619">
        <f t="shared" si="296"/>
        <v>6.25E-2</v>
      </c>
      <c r="CQ370" s="619">
        <f t="shared" si="297"/>
        <v>8.7750000000000009E-2</v>
      </c>
      <c r="CR370" s="546">
        <v>0</v>
      </c>
      <c r="CS370" s="546">
        <v>0</v>
      </c>
      <c r="CT370" s="546">
        <v>0</v>
      </c>
      <c r="CU370" s="546">
        <v>0</v>
      </c>
      <c r="CV370" s="546">
        <v>0</v>
      </c>
      <c r="CW370" s="546">
        <v>0</v>
      </c>
      <c r="CX370" s="546">
        <v>0</v>
      </c>
      <c r="CY370" s="546">
        <v>0</v>
      </c>
      <c r="CZ370" s="618">
        <v>0</v>
      </c>
      <c r="DA370" s="618">
        <v>0</v>
      </c>
      <c r="DB370" s="618">
        <v>0</v>
      </c>
      <c r="DC370" s="618">
        <v>0</v>
      </c>
      <c r="DD370" s="618">
        <v>0</v>
      </c>
      <c r="DE370" s="618">
        <v>0</v>
      </c>
      <c r="DF370" s="618">
        <v>0</v>
      </c>
      <c r="DG370" s="618">
        <v>0</v>
      </c>
      <c r="DH370" s="618">
        <v>0</v>
      </c>
      <c r="DI370" s="618">
        <v>0</v>
      </c>
      <c r="DJ370" s="618">
        <v>0</v>
      </c>
      <c r="DK370" s="1034">
        <f t="shared" si="277"/>
        <v>2755</v>
      </c>
      <c r="DL370" s="543">
        <f t="shared" si="298"/>
        <v>0.25</v>
      </c>
      <c r="DM370" s="542">
        <f t="shared" si="299"/>
        <v>137.75</v>
      </c>
      <c r="DN370" s="594">
        <f t="shared" si="300"/>
        <v>100</v>
      </c>
      <c r="DO370" s="540">
        <f t="shared" si="301"/>
        <v>0.25</v>
      </c>
      <c r="DP370" s="597">
        <f t="shared" si="309"/>
        <v>0.25</v>
      </c>
      <c r="DQ370" s="538">
        <f t="shared" si="302"/>
        <v>0.25</v>
      </c>
      <c r="DR370" s="617">
        <f t="shared" si="303"/>
        <v>1</v>
      </c>
      <c r="DS370" s="616">
        <f t="shared" si="304"/>
        <v>0</v>
      </c>
      <c r="DT370" s="259">
        <v>422</v>
      </c>
      <c r="DU370" s="260" t="s">
        <v>262</v>
      </c>
      <c r="DV370" s="259"/>
      <c r="DW370" s="260" t="s">
        <v>242</v>
      </c>
      <c r="DX370" s="259"/>
      <c r="DY370" s="259"/>
      <c r="DZ370" s="259"/>
      <c r="EA370" s="987"/>
      <c r="EB370" s="1041" t="s">
        <v>2673</v>
      </c>
      <c r="EC370" s="802">
        <v>0</v>
      </c>
      <c r="EE370" s="1047"/>
    </row>
    <row r="371" spans="4:135" s="534" customFormat="1" ht="76.5" hidden="1" x14ac:dyDescent="0.3">
      <c r="D371" s="783">
        <v>368</v>
      </c>
      <c r="E371" s="799">
        <v>430</v>
      </c>
      <c r="F371" s="739" t="s">
        <v>202</v>
      </c>
      <c r="G371" s="739" t="s">
        <v>17</v>
      </c>
      <c r="H371" s="739" t="s">
        <v>149</v>
      </c>
      <c r="I371" s="676" t="s">
        <v>1059</v>
      </c>
      <c r="J371" s="573" t="s">
        <v>1068</v>
      </c>
      <c r="K371" s="573" t="s">
        <v>1069</v>
      </c>
      <c r="L371" s="677" t="s">
        <v>1</v>
      </c>
      <c r="M371" s="571" t="s">
        <v>2017</v>
      </c>
      <c r="N371" s="571">
        <v>0</v>
      </c>
      <c r="O371" s="570">
        <f t="shared" si="308"/>
        <v>1</v>
      </c>
      <c r="P371" s="569">
        <v>1</v>
      </c>
      <c r="Q371" s="628">
        <v>0.25</v>
      </c>
      <c r="R371" s="580">
        <f t="shared" si="282"/>
        <v>0.17499999999999999</v>
      </c>
      <c r="S371" s="627">
        <v>0.7</v>
      </c>
      <c r="T371" s="625">
        <f t="shared" si="264"/>
        <v>0.7</v>
      </c>
      <c r="U371" s="992">
        <v>0.2</v>
      </c>
      <c r="V371" s="626">
        <f t="shared" si="265"/>
        <v>0.2</v>
      </c>
      <c r="W371" s="594">
        <f t="shared" si="266"/>
        <v>28.571428571428573</v>
      </c>
      <c r="X371" s="594">
        <f t="shared" si="283"/>
        <v>28.571428571428573</v>
      </c>
      <c r="Y371" s="594">
        <f t="shared" si="307"/>
        <v>0.05</v>
      </c>
      <c r="Z371" s="594">
        <f t="shared" si="284"/>
        <v>28.571428571428573</v>
      </c>
      <c r="AA371" s="593">
        <v>100000000</v>
      </c>
      <c r="AB371" s="593">
        <v>100000000</v>
      </c>
      <c r="AC371" s="593">
        <v>0</v>
      </c>
      <c r="AD371" s="593">
        <v>0</v>
      </c>
      <c r="AE371" s="593">
        <v>0</v>
      </c>
      <c r="AF371" s="593">
        <v>0</v>
      </c>
      <c r="AG371" s="593">
        <v>0</v>
      </c>
      <c r="AH371" s="593">
        <v>0</v>
      </c>
      <c r="AI371" s="593">
        <v>0</v>
      </c>
      <c r="AJ371" s="593">
        <v>0</v>
      </c>
      <c r="AK371" s="593">
        <v>0</v>
      </c>
      <c r="AL371" s="593">
        <v>0</v>
      </c>
      <c r="AM371" s="593">
        <v>0</v>
      </c>
      <c r="AN371" s="593">
        <v>0</v>
      </c>
      <c r="AO371" s="593">
        <v>0</v>
      </c>
      <c r="AP371" s="593">
        <v>0</v>
      </c>
      <c r="AQ371" s="593">
        <v>0</v>
      </c>
      <c r="AR371" s="593">
        <v>0</v>
      </c>
      <c r="AS371" s="593">
        <v>0</v>
      </c>
      <c r="AT371" s="570">
        <f t="shared" si="285"/>
        <v>2.5000000000000001E-2</v>
      </c>
      <c r="AU371" s="571">
        <v>0.1</v>
      </c>
      <c r="AV371" s="625">
        <f t="shared" si="267"/>
        <v>0.1</v>
      </c>
      <c r="AW371" s="1003">
        <v>0.4</v>
      </c>
      <c r="AX371" s="604">
        <f t="shared" si="268"/>
        <v>0.4</v>
      </c>
      <c r="AY371" s="604">
        <f t="shared" si="269"/>
        <v>400</v>
      </c>
      <c r="AZ371" s="604">
        <f t="shared" si="286"/>
        <v>100</v>
      </c>
      <c r="BA371" s="592">
        <f t="shared" si="287"/>
        <v>2.5000000000000001E-2</v>
      </c>
      <c r="BB371" s="592">
        <f t="shared" si="288"/>
        <v>100</v>
      </c>
      <c r="BC371" s="591">
        <v>0</v>
      </c>
      <c r="BD371" s="591">
        <v>0</v>
      </c>
      <c r="BE371" s="591">
        <v>0</v>
      </c>
      <c r="BF371" s="591">
        <v>0</v>
      </c>
      <c r="BG371" s="591">
        <v>0</v>
      </c>
      <c r="BH371" s="591">
        <v>0</v>
      </c>
      <c r="BI371" s="591">
        <v>0</v>
      </c>
      <c r="BJ371" s="591">
        <v>0</v>
      </c>
      <c r="BK371" s="669">
        <v>110900000</v>
      </c>
      <c r="BL371" s="589">
        <v>110900000</v>
      </c>
      <c r="BM371" s="589">
        <v>0</v>
      </c>
      <c r="BN371" s="589">
        <v>0</v>
      </c>
      <c r="BO371" s="589">
        <v>0</v>
      </c>
      <c r="BP371" s="589">
        <v>0</v>
      </c>
      <c r="BQ371" s="589">
        <v>0</v>
      </c>
      <c r="BR371" s="589">
        <v>0</v>
      </c>
      <c r="BS371" s="589">
        <v>0</v>
      </c>
      <c r="BT371" s="589">
        <v>0</v>
      </c>
      <c r="BU371" s="589">
        <v>0</v>
      </c>
      <c r="BV371" s="588">
        <f t="shared" si="289"/>
        <v>2.5000000000000001E-2</v>
      </c>
      <c r="BW371" s="588">
        <v>0.1</v>
      </c>
      <c r="BX371" s="623">
        <f t="shared" si="270"/>
        <v>0.1</v>
      </c>
      <c r="BY371" s="607">
        <v>5.000000074505806E-2</v>
      </c>
      <c r="BZ371" s="629">
        <v>0.05</v>
      </c>
      <c r="CA371" s="1017">
        <v>0.25</v>
      </c>
      <c r="CB371" s="557">
        <f t="shared" si="271"/>
        <v>0.25</v>
      </c>
      <c r="CC371" s="557">
        <f t="shared" si="272"/>
        <v>250</v>
      </c>
      <c r="CD371" s="622">
        <f t="shared" si="290"/>
        <v>100</v>
      </c>
      <c r="CE371" s="621">
        <f t="shared" si="291"/>
        <v>2.5000000000000001E-2</v>
      </c>
      <c r="CF371" s="605">
        <f t="shared" si="292"/>
        <v>100</v>
      </c>
      <c r="CG371" s="621">
        <f t="shared" si="293"/>
        <v>6.25E-2</v>
      </c>
      <c r="CH371" s="553">
        <f t="shared" si="294"/>
        <v>2.5000000000000001E-2</v>
      </c>
      <c r="CI371" s="552">
        <v>0.1</v>
      </c>
      <c r="CJ371" s="551">
        <f t="shared" si="273"/>
        <v>0.1</v>
      </c>
      <c r="CK371" s="875">
        <v>0</v>
      </c>
      <c r="CL371" s="533">
        <f t="shared" si="274"/>
        <v>0.1</v>
      </c>
      <c r="CM371" s="619">
        <f t="shared" si="275"/>
        <v>0</v>
      </c>
      <c r="CN371" s="619">
        <f t="shared" si="276"/>
        <v>0</v>
      </c>
      <c r="CO371" s="549">
        <f t="shared" si="295"/>
        <v>0</v>
      </c>
      <c r="CP371" s="619">
        <f t="shared" si="296"/>
        <v>0</v>
      </c>
      <c r="CQ371" s="619">
        <f t="shared" si="297"/>
        <v>0</v>
      </c>
      <c r="CR371" s="546">
        <v>0</v>
      </c>
      <c r="CS371" s="546">
        <v>0</v>
      </c>
      <c r="CT371" s="546">
        <v>0</v>
      </c>
      <c r="CU371" s="546">
        <v>0</v>
      </c>
      <c r="CV371" s="546">
        <v>0</v>
      </c>
      <c r="CW371" s="546">
        <v>0</v>
      </c>
      <c r="CX371" s="546">
        <v>0</v>
      </c>
      <c r="CY371" s="546">
        <v>0</v>
      </c>
      <c r="CZ371" s="618">
        <v>0</v>
      </c>
      <c r="DA371" s="618">
        <v>0</v>
      </c>
      <c r="DB371" s="618">
        <v>0</v>
      </c>
      <c r="DC371" s="618">
        <v>0</v>
      </c>
      <c r="DD371" s="618">
        <v>0</v>
      </c>
      <c r="DE371" s="618">
        <v>0</v>
      </c>
      <c r="DF371" s="618">
        <v>0</v>
      </c>
      <c r="DG371" s="618">
        <v>0</v>
      </c>
      <c r="DH371" s="618">
        <v>0</v>
      </c>
      <c r="DI371" s="618">
        <v>0</v>
      </c>
      <c r="DJ371" s="618">
        <v>0</v>
      </c>
      <c r="DK371" s="1034">
        <f t="shared" si="277"/>
        <v>0.85000000000000009</v>
      </c>
      <c r="DL371" s="543">
        <f t="shared" si="298"/>
        <v>0.24999999999999997</v>
      </c>
      <c r="DM371" s="542">
        <f t="shared" si="299"/>
        <v>85.000000000000014</v>
      </c>
      <c r="DN371" s="594">
        <f t="shared" si="300"/>
        <v>85.000000000000014</v>
      </c>
      <c r="DO371" s="540">
        <f t="shared" si="301"/>
        <v>0.21250000000000002</v>
      </c>
      <c r="DP371" s="597">
        <f t="shared" si="309"/>
        <v>0.21250000000000002</v>
      </c>
      <c r="DQ371" s="538">
        <f t="shared" si="302"/>
        <v>0.21250000000000002</v>
      </c>
      <c r="DR371" s="617">
        <f t="shared" si="303"/>
        <v>0.99999999999999989</v>
      </c>
      <c r="DS371" s="616">
        <f t="shared" si="304"/>
        <v>0</v>
      </c>
      <c r="DT371" s="259">
        <v>422</v>
      </c>
      <c r="DU371" s="260" t="s">
        <v>262</v>
      </c>
      <c r="DV371" s="259"/>
      <c r="DW371" s="260" t="s">
        <v>242</v>
      </c>
      <c r="DX371" s="259"/>
      <c r="DY371" s="259"/>
      <c r="DZ371" s="259"/>
      <c r="EA371" s="987"/>
      <c r="EB371" s="1041" t="s">
        <v>2674</v>
      </c>
      <c r="EC371" s="802">
        <v>0</v>
      </c>
      <c r="EE371" s="1047"/>
    </row>
    <row r="372" spans="4:135" s="534" customFormat="1" ht="60" hidden="1" x14ac:dyDescent="0.3">
      <c r="D372" s="783">
        <v>369</v>
      </c>
      <c r="E372" s="799">
        <v>431</v>
      </c>
      <c r="F372" s="739" t="s">
        <v>202</v>
      </c>
      <c r="G372" s="739" t="s">
        <v>17</v>
      </c>
      <c r="H372" s="739" t="s">
        <v>149</v>
      </c>
      <c r="I372" s="676" t="s">
        <v>1059</v>
      </c>
      <c r="J372" s="573" t="s">
        <v>1070</v>
      </c>
      <c r="K372" s="573" t="s">
        <v>1071</v>
      </c>
      <c r="L372" s="677" t="s">
        <v>2131</v>
      </c>
      <c r="M372" s="571" t="s">
        <v>2017</v>
      </c>
      <c r="N372" s="571">
        <v>0</v>
      </c>
      <c r="O372" s="570">
        <f t="shared" si="308"/>
        <v>30</v>
      </c>
      <c r="P372" s="569">
        <v>30</v>
      </c>
      <c r="Q372" s="628">
        <v>0.16500000000000001</v>
      </c>
      <c r="R372" s="580">
        <f t="shared" si="282"/>
        <v>3.85E-2</v>
      </c>
      <c r="S372" s="627">
        <v>7</v>
      </c>
      <c r="T372" s="625">
        <f t="shared" ref="T372:T397" si="310">IF($M372="M",0.25,(IF($P372&gt;0,S372/$P372," ")))</f>
        <v>0.23333333333333334</v>
      </c>
      <c r="U372" s="992">
        <v>18</v>
      </c>
      <c r="V372" s="626">
        <f t="shared" ref="V372:V397" si="311">+IF(M372="I",(+U372),IF(M372="M",(+U372)/4,))</f>
        <v>18</v>
      </c>
      <c r="W372" s="594">
        <f t="shared" ref="W372:W397" si="312">IF(S372=0,0,+U372*100/S372)</f>
        <v>257.14285714285717</v>
      </c>
      <c r="X372" s="594">
        <f t="shared" si="283"/>
        <v>100</v>
      </c>
      <c r="Y372" s="594">
        <f t="shared" si="307"/>
        <v>3.85E-2</v>
      </c>
      <c r="Z372" s="594">
        <f t="shared" si="284"/>
        <v>100</v>
      </c>
      <c r="AA372" s="593">
        <v>184136000</v>
      </c>
      <c r="AB372" s="593">
        <v>184136000</v>
      </c>
      <c r="AC372" s="593">
        <v>0</v>
      </c>
      <c r="AD372" s="593">
        <v>0</v>
      </c>
      <c r="AE372" s="593">
        <v>0</v>
      </c>
      <c r="AF372" s="593">
        <v>0</v>
      </c>
      <c r="AG372" s="593">
        <v>0</v>
      </c>
      <c r="AH372" s="593">
        <v>0</v>
      </c>
      <c r="AI372" s="593">
        <v>240027000</v>
      </c>
      <c r="AJ372" s="593">
        <v>240027000</v>
      </c>
      <c r="AK372" s="593">
        <v>0</v>
      </c>
      <c r="AL372" s="593">
        <v>0</v>
      </c>
      <c r="AM372" s="593">
        <v>0</v>
      </c>
      <c r="AN372" s="593">
        <v>0</v>
      </c>
      <c r="AO372" s="593">
        <v>0</v>
      </c>
      <c r="AP372" s="593">
        <v>0</v>
      </c>
      <c r="AQ372" s="593">
        <v>0</v>
      </c>
      <c r="AR372" s="593">
        <v>0</v>
      </c>
      <c r="AS372" s="593">
        <v>0</v>
      </c>
      <c r="AT372" s="570">
        <f t="shared" si="285"/>
        <v>3.85E-2</v>
      </c>
      <c r="AU372" s="571">
        <v>7</v>
      </c>
      <c r="AV372" s="625">
        <f t="shared" ref="AV372:AV397" si="313">IF($M372="M",0.25,(IF($P372&gt;0,AU372/$P372," ")))</f>
        <v>0.23333333333333334</v>
      </c>
      <c r="AW372" s="1003">
        <v>14</v>
      </c>
      <c r="AX372" s="604">
        <f t="shared" ref="AX372:AX397" si="314">+IF(M372="I",(+AW372),IF(M372="M",(+AW372)/4,))</f>
        <v>14</v>
      </c>
      <c r="AY372" s="604">
        <f t="shared" ref="AY372:AY397" si="315">IF(AU372=0,0,+AW372*100/AU372)</f>
        <v>200</v>
      </c>
      <c r="AZ372" s="604">
        <f t="shared" si="286"/>
        <v>100</v>
      </c>
      <c r="BA372" s="592">
        <f t="shared" si="287"/>
        <v>3.85E-2</v>
      </c>
      <c r="BB372" s="592">
        <f t="shared" si="288"/>
        <v>100</v>
      </c>
      <c r="BC372" s="591">
        <v>0</v>
      </c>
      <c r="BD372" s="591">
        <v>0</v>
      </c>
      <c r="BE372" s="591">
        <v>0</v>
      </c>
      <c r="BF372" s="591">
        <v>0</v>
      </c>
      <c r="BG372" s="591">
        <v>0</v>
      </c>
      <c r="BH372" s="591">
        <v>0</v>
      </c>
      <c r="BI372" s="591">
        <v>0</v>
      </c>
      <c r="BJ372" s="591">
        <v>0</v>
      </c>
      <c r="BK372" s="669">
        <v>330362160</v>
      </c>
      <c r="BL372" s="589">
        <v>330362160</v>
      </c>
      <c r="BM372" s="589">
        <v>0</v>
      </c>
      <c r="BN372" s="589">
        <v>0</v>
      </c>
      <c r="BO372" s="589">
        <v>0</v>
      </c>
      <c r="BP372" s="589">
        <v>0</v>
      </c>
      <c r="BQ372" s="589">
        <v>0</v>
      </c>
      <c r="BR372" s="589">
        <v>0</v>
      </c>
      <c r="BS372" s="589">
        <v>0</v>
      </c>
      <c r="BT372" s="589">
        <v>0</v>
      </c>
      <c r="BU372" s="589">
        <v>0</v>
      </c>
      <c r="BV372" s="588">
        <f t="shared" si="289"/>
        <v>4.9500000000000002E-2</v>
      </c>
      <c r="BW372" s="588">
        <v>9</v>
      </c>
      <c r="BX372" s="623">
        <f t="shared" ref="BX372:BX397" si="316">IF($M372="M",0.25,(IF($P372&gt;0,BW372/$P372," ")))</f>
        <v>0.3</v>
      </c>
      <c r="BY372" s="607">
        <v>0</v>
      </c>
      <c r="BZ372" s="629">
        <v>2</v>
      </c>
      <c r="CA372" s="1017">
        <v>11</v>
      </c>
      <c r="CB372" s="557">
        <f t="shared" ref="CB372:CB397" si="317">+IF(M372="I",(+CA372),IF(M372="M",(+CA372)/4,))</f>
        <v>11</v>
      </c>
      <c r="CC372" s="557">
        <f t="shared" ref="CC372:CC397" si="318">IF(BW372=0,0,+CA372*100/BW372)</f>
        <v>122.22222222222223</v>
      </c>
      <c r="CD372" s="622">
        <f t="shared" si="290"/>
        <v>100</v>
      </c>
      <c r="CE372" s="621">
        <f t="shared" si="291"/>
        <v>4.9500000000000002E-2</v>
      </c>
      <c r="CF372" s="605">
        <f t="shared" si="292"/>
        <v>100</v>
      </c>
      <c r="CG372" s="621">
        <f t="shared" si="293"/>
        <v>6.0500000000000005E-2</v>
      </c>
      <c r="CH372" s="553">
        <f t="shared" si="294"/>
        <v>3.85E-2</v>
      </c>
      <c r="CI372" s="552">
        <v>7</v>
      </c>
      <c r="CJ372" s="551">
        <f t="shared" ref="CJ372:CJ397" si="319">IF($M372="M",0.25,(IF($P372&gt;0,CI372/$P372," ")))</f>
        <v>0.23333333333333334</v>
      </c>
      <c r="CK372" s="874">
        <v>0</v>
      </c>
      <c r="CL372" s="533">
        <f t="shared" ref="CL372:CL435" si="320">+CI372-CK372</f>
        <v>7</v>
      </c>
      <c r="CM372" s="619">
        <f t="shared" ref="CM372:CM397" si="321">+IF(M372="I",(+CK372),IF(M372="M",(+CK372)/4,))</f>
        <v>0</v>
      </c>
      <c r="CN372" s="619">
        <f t="shared" ref="CN372:CN397" si="322">IF(CI372=0,0,+CK372*100/CI372)</f>
        <v>0</v>
      </c>
      <c r="CO372" s="549">
        <f t="shared" si="295"/>
        <v>0</v>
      </c>
      <c r="CP372" s="619">
        <f t="shared" si="296"/>
        <v>0</v>
      </c>
      <c r="CQ372" s="619">
        <f t="shared" si="297"/>
        <v>0</v>
      </c>
      <c r="CR372" s="546">
        <v>0</v>
      </c>
      <c r="CS372" s="546">
        <v>0</v>
      </c>
      <c r="CT372" s="546">
        <v>0</v>
      </c>
      <c r="CU372" s="546">
        <v>0</v>
      </c>
      <c r="CV372" s="546">
        <v>0</v>
      </c>
      <c r="CW372" s="546">
        <v>0</v>
      </c>
      <c r="CX372" s="546">
        <v>0</v>
      </c>
      <c r="CY372" s="546">
        <v>0</v>
      </c>
      <c r="CZ372" s="618">
        <v>0</v>
      </c>
      <c r="DA372" s="618">
        <v>0</v>
      </c>
      <c r="DB372" s="618">
        <v>0</v>
      </c>
      <c r="DC372" s="618">
        <v>0</v>
      </c>
      <c r="DD372" s="618">
        <v>0</v>
      </c>
      <c r="DE372" s="618">
        <v>0</v>
      </c>
      <c r="DF372" s="618">
        <v>0</v>
      </c>
      <c r="DG372" s="618">
        <v>0</v>
      </c>
      <c r="DH372" s="618">
        <v>0</v>
      </c>
      <c r="DI372" s="618">
        <v>0</v>
      </c>
      <c r="DJ372" s="618">
        <v>0</v>
      </c>
      <c r="DK372" s="1034">
        <f t="shared" ref="DK372:DK397" si="323">+IF(M372="I",(+U372+AW372+CA372+CK372),IF(M372="M",(+U372+AW372+CA372+CK372)/4,))</f>
        <v>43</v>
      </c>
      <c r="DL372" s="543">
        <f t="shared" si="298"/>
        <v>0.16500000000000001</v>
      </c>
      <c r="DM372" s="542">
        <f t="shared" si="299"/>
        <v>143.33333333333334</v>
      </c>
      <c r="DN372" s="594">
        <f t="shared" si="300"/>
        <v>100</v>
      </c>
      <c r="DO372" s="540">
        <f t="shared" si="301"/>
        <v>0.16500000000000001</v>
      </c>
      <c r="DP372" s="597">
        <f t="shared" si="309"/>
        <v>0.16500000000000001</v>
      </c>
      <c r="DQ372" s="538">
        <f t="shared" si="302"/>
        <v>0.16500000000000001</v>
      </c>
      <c r="DR372" s="617">
        <f t="shared" si="303"/>
        <v>1</v>
      </c>
      <c r="DS372" s="616">
        <f t="shared" si="304"/>
        <v>0</v>
      </c>
      <c r="DT372" s="259">
        <v>422</v>
      </c>
      <c r="DU372" s="260" t="s">
        <v>262</v>
      </c>
      <c r="DV372" s="259"/>
      <c r="DW372" s="260" t="s">
        <v>242</v>
      </c>
      <c r="DX372" s="259"/>
      <c r="DY372" s="259"/>
      <c r="DZ372" s="259"/>
      <c r="EA372" s="987"/>
      <c r="EB372" s="1041" t="s">
        <v>2675</v>
      </c>
      <c r="EC372" s="802">
        <v>0</v>
      </c>
      <c r="EE372" s="1047"/>
    </row>
    <row r="373" spans="4:135" s="534" customFormat="1" ht="60" hidden="1" x14ac:dyDescent="0.3">
      <c r="D373" s="783">
        <v>370</v>
      </c>
      <c r="E373" s="799">
        <v>432</v>
      </c>
      <c r="F373" s="739" t="s">
        <v>202</v>
      </c>
      <c r="G373" s="739" t="s">
        <v>17</v>
      </c>
      <c r="H373" s="739" t="s">
        <v>149</v>
      </c>
      <c r="I373" s="676" t="s">
        <v>1072</v>
      </c>
      <c r="J373" s="573" t="s">
        <v>1073</v>
      </c>
      <c r="K373" s="573" t="s">
        <v>1074</v>
      </c>
      <c r="L373" s="677" t="s">
        <v>2111</v>
      </c>
      <c r="M373" s="571" t="s">
        <v>2017</v>
      </c>
      <c r="N373" s="571">
        <v>2</v>
      </c>
      <c r="O373" s="570">
        <f t="shared" si="308"/>
        <v>4</v>
      </c>
      <c r="P373" s="569">
        <v>2</v>
      </c>
      <c r="Q373" s="628">
        <v>0.16500000000000001</v>
      </c>
      <c r="R373" s="580">
        <f t="shared" si="282"/>
        <v>0</v>
      </c>
      <c r="S373" s="627">
        <v>0</v>
      </c>
      <c r="T373" s="625">
        <f t="shared" si="310"/>
        <v>0</v>
      </c>
      <c r="U373" s="992">
        <v>1</v>
      </c>
      <c r="V373" s="626">
        <f t="shared" si="311"/>
        <v>1</v>
      </c>
      <c r="W373" s="594">
        <f t="shared" si="312"/>
        <v>0</v>
      </c>
      <c r="X373" s="594">
        <f t="shared" si="283"/>
        <v>0</v>
      </c>
      <c r="Y373" s="594">
        <f t="shared" si="307"/>
        <v>0</v>
      </c>
      <c r="Z373" s="594">
        <f t="shared" si="284"/>
        <v>100</v>
      </c>
      <c r="AA373" s="593">
        <v>0</v>
      </c>
      <c r="AB373" s="593">
        <v>0</v>
      </c>
      <c r="AC373" s="593">
        <v>0</v>
      </c>
      <c r="AD373" s="593">
        <v>0</v>
      </c>
      <c r="AE373" s="593">
        <v>0</v>
      </c>
      <c r="AF373" s="593">
        <v>0</v>
      </c>
      <c r="AG373" s="593">
        <v>0</v>
      </c>
      <c r="AH373" s="593">
        <v>0</v>
      </c>
      <c r="AI373" s="593">
        <v>0</v>
      </c>
      <c r="AJ373" s="593">
        <v>0</v>
      </c>
      <c r="AK373" s="593">
        <v>0</v>
      </c>
      <c r="AL373" s="593">
        <v>0</v>
      </c>
      <c r="AM373" s="593">
        <v>0</v>
      </c>
      <c r="AN373" s="593">
        <v>0</v>
      </c>
      <c r="AO373" s="593">
        <v>0</v>
      </c>
      <c r="AP373" s="593">
        <v>0</v>
      </c>
      <c r="AQ373" s="593">
        <v>0</v>
      </c>
      <c r="AR373" s="593">
        <v>0</v>
      </c>
      <c r="AS373" s="593">
        <v>0</v>
      </c>
      <c r="AT373" s="570">
        <f t="shared" si="285"/>
        <v>8.2500000000000004E-2</v>
      </c>
      <c r="AU373" s="571">
        <v>1</v>
      </c>
      <c r="AV373" s="625">
        <f t="shared" si="313"/>
        <v>0.5</v>
      </c>
      <c r="AW373" s="1003">
        <v>1</v>
      </c>
      <c r="AX373" s="604">
        <f t="shared" si="314"/>
        <v>1</v>
      </c>
      <c r="AY373" s="604">
        <f t="shared" si="315"/>
        <v>100</v>
      </c>
      <c r="AZ373" s="604">
        <f t="shared" si="286"/>
        <v>100</v>
      </c>
      <c r="BA373" s="592">
        <f t="shared" si="287"/>
        <v>8.2500000000000004E-2</v>
      </c>
      <c r="BB373" s="592">
        <f t="shared" si="288"/>
        <v>100</v>
      </c>
      <c r="BC373" s="591">
        <v>0</v>
      </c>
      <c r="BD373" s="591">
        <v>0</v>
      </c>
      <c r="BE373" s="591">
        <v>0</v>
      </c>
      <c r="BF373" s="591">
        <v>0</v>
      </c>
      <c r="BG373" s="591">
        <v>0</v>
      </c>
      <c r="BH373" s="591">
        <v>0</v>
      </c>
      <c r="BI373" s="591">
        <v>0</v>
      </c>
      <c r="BJ373" s="591">
        <v>0</v>
      </c>
      <c r="BK373" s="669">
        <v>31000000</v>
      </c>
      <c r="BL373" s="589">
        <v>31000000</v>
      </c>
      <c r="BM373" s="589">
        <v>0</v>
      </c>
      <c r="BN373" s="589">
        <v>0</v>
      </c>
      <c r="BO373" s="589">
        <v>0</v>
      </c>
      <c r="BP373" s="589">
        <v>0</v>
      </c>
      <c r="BQ373" s="589">
        <v>0</v>
      </c>
      <c r="BR373" s="589">
        <v>0</v>
      </c>
      <c r="BS373" s="589">
        <v>0</v>
      </c>
      <c r="BT373" s="589">
        <v>0</v>
      </c>
      <c r="BU373" s="589">
        <v>0</v>
      </c>
      <c r="BV373" s="588">
        <f t="shared" si="289"/>
        <v>8.2500000000000004E-2</v>
      </c>
      <c r="BW373" s="588">
        <v>1</v>
      </c>
      <c r="BX373" s="623">
        <f t="shared" si="316"/>
        <v>0.5</v>
      </c>
      <c r="BY373" s="607">
        <v>1</v>
      </c>
      <c r="BZ373" s="629">
        <v>0</v>
      </c>
      <c r="CA373" s="1017">
        <v>1</v>
      </c>
      <c r="CB373" s="557">
        <f t="shared" si="317"/>
        <v>1</v>
      </c>
      <c r="CC373" s="557">
        <f t="shared" si="318"/>
        <v>100</v>
      </c>
      <c r="CD373" s="622">
        <f t="shared" si="290"/>
        <v>100</v>
      </c>
      <c r="CE373" s="621">
        <f t="shared" si="291"/>
        <v>8.2500000000000004E-2</v>
      </c>
      <c r="CF373" s="605">
        <f t="shared" si="292"/>
        <v>100</v>
      </c>
      <c r="CG373" s="621">
        <f t="shared" si="293"/>
        <v>8.2500000000000004E-2</v>
      </c>
      <c r="CH373" s="553">
        <f t="shared" si="294"/>
        <v>0</v>
      </c>
      <c r="CI373" s="552">
        <v>0</v>
      </c>
      <c r="CJ373" s="551">
        <f t="shared" si="319"/>
        <v>0</v>
      </c>
      <c r="CK373" s="874">
        <v>0</v>
      </c>
      <c r="CL373" s="533">
        <f t="shared" si="320"/>
        <v>0</v>
      </c>
      <c r="CM373" s="619">
        <f t="shared" si="321"/>
        <v>0</v>
      </c>
      <c r="CN373" s="619">
        <f t="shared" si="322"/>
        <v>0</v>
      </c>
      <c r="CO373" s="549">
        <f t="shared" si="295"/>
        <v>0</v>
      </c>
      <c r="CP373" s="619">
        <f t="shared" si="296"/>
        <v>0</v>
      </c>
      <c r="CQ373" s="619">
        <f t="shared" si="297"/>
        <v>0</v>
      </c>
      <c r="CR373" s="546">
        <v>0</v>
      </c>
      <c r="CS373" s="546">
        <v>0</v>
      </c>
      <c r="CT373" s="546">
        <v>0</v>
      </c>
      <c r="CU373" s="546">
        <v>0</v>
      </c>
      <c r="CV373" s="546">
        <v>0</v>
      </c>
      <c r="CW373" s="546">
        <v>0</v>
      </c>
      <c r="CX373" s="546">
        <v>0</v>
      </c>
      <c r="CY373" s="546">
        <v>0</v>
      </c>
      <c r="CZ373" s="618">
        <v>0</v>
      </c>
      <c r="DA373" s="618">
        <v>0</v>
      </c>
      <c r="DB373" s="618">
        <v>0</v>
      </c>
      <c r="DC373" s="618">
        <v>0</v>
      </c>
      <c r="DD373" s="618">
        <v>0</v>
      </c>
      <c r="DE373" s="618">
        <v>0</v>
      </c>
      <c r="DF373" s="618">
        <v>0</v>
      </c>
      <c r="DG373" s="618">
        <v>0</v>
      </c>
      <c r="DH373" s="618">
        <v>0</v>
      </c>
      <c r="DI373" s="618">
        <v>0</v>
      </c>
      <c r="DJ373" s="618">
        <v>0</v>
      </c>
      <c r="DK373" s="1034">
        <f t="shared" si="323"/>
        <v>3</v>
      </c>
      <c r="DL373" s="543">
        <f t="shared" si="298"/>
        <v>0.16500000000000001</v>
      </c>
      <c r="DM373" s="542">
        <f t="shared" si="299"/>
        <v>150</v>
      </c>
      <c r="DN373" s="594">
        <f t="shared" si="300"/>
        <v>100</v>
      </c>
      <c r="DO373" s="540">
        <f t="shared" si="301"/>
        <v>0.16500000000000001</v>
      </c>
      <c r="DP373" s="597">
        <f t="shared" si="309"/>
        <v>0.16500000000000001</v>
      </c>
      <c r="DQ373" s="538">
        <f t="shared" si="302"/>
        <v>0.16500000000000001</v>
      </c>
      <c r="DR373" s="617">
        <f t="shared" si="303"/>
        <v>1</v>
      </c>
      <c r="DS373" s="616">
        <f t="shared" si="304"/>
        <v>0</v>
      </c>
      <c r="DT373" s="259">
        <v>422</v>
      </c>
      <c r="DU373" s="260" t="s">
        <v>262</v>
      </c>
      <c r="DV373" s="259"/>
      <c r="DW373" s="260" t="s">
        <v>242</v>
      </c>
      <c r="DX373" s="259"/>
      <c r="DY373" s="259"/>
      <c r="DZ373" s="259"/>
      <c r="EA373" s="987"/>
      <c r="EB373" s="1041" t="s">
        <v>2676</v>
      </c>
      <c r="EC373" s="802">
        <v>0</v>
      </c>
      <c r="EE373" s="1047"/>
    </row>
    <row r="374" spans="4:135" s="534" customFormat="1" ht="60" hidden="1" x14ac:dyDescent="0.3">
      <c r="D374" s="783">
        <v>371</v>
      </c>
      <c r="E374" s="799">
        <v>433</v>
      </c>
      <c r="F374" s="739" t="s">
        <v>202</v>
      </c>
      <c r="G374" s="739" t="s">
        <v>17</v>
      </c>
      <c r="H374" s="739" t="s">
        <v>149</v>
      </c>
      <c r="I374" s="676" t="s">
        <v>1072</v>
      </c>
      <c r="J374" s="573" t="s">
        <v>1075</v>
      </c>
      <c r="K374" s="573" t="s">
        <v>1076</v>
      </c>
      <c r="L374" s="677" t="s">
        <v>1</v>
      </c>
      <c r="M374" s="571" t="s">
        <v>2032</v>
      </c>
      <c r="N374" s="571">
        <v>0</v>
      </c>
      <c r="O374" s="570">
        <f>+P374</f>
        <v>15</v>
      </c>
      <c r="P374" s="569">
        <v>15</v>
      </c>
      <c r="Q374" s="628">
        <v>0.16500000000000001</v>
      </c>
      <c r="R374" s="580">
        <f t="shared" si="282"/>
        <v>4.1250000000000002E-2</v>
      </c>
      <c r="S374" s="627">
        <v>15</v>
      </c>
      <c r="T374" s="625">
        <f t="shared" si="310"/>
        <v>0.25</v>
      </c>
      <c r="U374" s="992">
        <v>17</v>
      </c>
      <c r="V374" s="626">
        <f t="shared" si="311"/>
        <v>4.25</v>
      </c>
      <c r="W374" s="594">
        <f t="shared" si="312"/>
        <v>113.33333333333333</v>
      </c>
      <c r="X374" s="594">
        <f t="shared" si="283"/>
        <v>100</v>
      </c>
      <c r="Y374" s="594">
        <f t="shared" si="307"/>
        <v>4.1250000000000002E-2</v>
      </c>
      <c r="Z374" s="594">
        <f t="shared" si="284"/>
        <v>100</v>
      </c>
      <c r="AA374" s="593">
        <v>0</v>
      </c>
      <c r="AB374" s="593">
        <v>0</v>
      </c>
      <c r="AC374" s="593">
        <v>0</v>
      </c>
      <c r="AD374" s="593">
        <v>0</v>
      </c>
      <c r="AE374" s="593">
        <v>0</v>
      </c>
      <c r="AF374" s="593">
        <v>0</v>
      </c>
      <c r="AG374" s="593">
        <v>0</v>
      </c>
      <c r="AH374" s="593">
        <v>0</v>
      </c>
      <c r="AI374" s="593">
        <v>0</v>
      </c>
      <c r="AJ374" s="593">
        <v>0</v>
      </c>
      <c r="AK374" s="593">
        <v>0</v>
      </c>
      <c r="AL374" s="593">
        <v>0</v>
      </c>
      <c r="AM374" s="593">
        <v>0</v>
      </c>
      <c r="AN374" s="593">
        <v>0</v>
      </c>
      <c r="AO374" s="593">
        <v>0</v>
      </c>
      <c r="AP374" s="593">
        <v>0</v>
      </c>
      <c r="AQ374" s="593">
        <v>0</v>
      </c>
      <c r="AR374" s="593">
        <v>0</v>
      </c>
      <c r="AS374" s="593">
        <v>0</v>
      </c>
      <c r="AT374" s="570">
        <f t="shared" si="285"/>
        <v>4.1250000000000002E-2</v>
      </c>
      <c r="AU374" s="571">
        <v>15</v>
      </c>
      <c r="AV374" s="625">
        <f t="shared" si="313"/>
        <v>0.25</v>
      </c>
      <c r="AW374" s="1003">
        <v>8</v>
      </c>
      <c r="AX374" s="604">
        <f t="shared" si="314"/>
        <v>2</v>
      </c>
      <c r="AY374" s="604">
        <f t="shared" si="315"/>
        <v>53.333333333333336</v>
      </c>
      <c r="AZ374" s="604">
        <f t="shared" si="286"/>
        <v>53.333333333333336</v>
      </c>
      <c r="BA374" s="592">
        <f t="shared" si="287"/>
        <v>2.2000000000000002E-2</v>
      </c>
      <c r="BB374" s="592">
        <f t="shared" si="288"/>
        <v>53.333333333333336</v>
      </c>
      <c r="BC374" s="591">
        <v>0</v>
      </c>
      <c r="BD374" s="591">
        <v>0</v>
      </c>
      <c r="BE374" s="591">
        <v>0</v>
      </c>
      <c r="BF374" s="591">
        <v>0</v>
      </c>
      <c r="BG374" s="591">
        <v>0</v>
      </c>
      <c r="BH374" s="591">
        <v>0</v>
      </c>
      <c r="BI374" s="591">
        <v>0</v>
      </c>
      <c r="BJ374" s="591">
        <v>0</v>
      </c>
      <c r="BK374" s="669">
        <v>0</v>
      </c>
      <c r="BL374" s="589">
        <v>0</v>
      </c>
      <c r="BM374" s="589">
        <v>0</v>
      </c>
      <c r="BN374" s="589">
        <v>0</v>
      </c>
      <c r="BO374" s="589">
        <v>0</v>
      </c>
      <c r="BP374" s="589">
        <v>0</v>
      </c>
      <c r="BQ374" s="589">
        <v>0</v>
      </c>
      <c r="BR374" s="589">
        <v>0</v>
      </c>
      <c r="BS374" s="589">
        <v>0</v>
      </c>
      <c r="BT374" s="589">
        <v>0</v>
      </c>
      <c r="BU374" s="589">
        <v>0</v>
      </c>
      <c r="BV374" s="588">
        <f t="shared" si="289"/>
        <v>4.1250000000000002E-2</v>
      </c>
      <c r="BW374" s="588">
        <v>15</v>
      </c>
      <c r="BX374" s="623">
        <f t="shared" si="316"/>
        <v>0.25</v>
      </c>
      <c r="BY374" s="607">
        <v>0</v>
      </c>
      <c r="BZ374" s="629">
        <v>0</v>
      </c>
      <c r="CA374" s="1017">
        <v>0</v>
      </c>
      <c r="CB374" s="557">
        <f t="shared" si="317"/>
        <v>0</v>
      </c>
      <c r="CC374" s="557">
        <f t="shared" si="318"/>
        <v>0</v>
      </c>
      <c r="CD374" s="622">
        <f t="shared" si="290"/>
        <v>0</v>
      </c>
      <c r="CE374" s="621">
        <f t="shared" si="291"/>
        <v>0</v>
      </c>
      <c r="CF374" s="605">
        <f t="shared" si="292"/>
        <v>0</v>
      </c>
      <c r="CG374" s="621">
        <f t="shared" si="293"/>
        <v>0</v>
      </c>
      <c r="CH374" s="553">
        <f t="shared" si="294"/>
        <v>4.1250000000000002E-2</v>
      </c>
      <c r="CI374" s="552">
        <v>15</v>
      </c>
      <c r="CJ374" s="551">
        <f t="shared" si="319"/>
        <v>0.25</v>
      </c>
      <c r="CK374" s="874">
        <v>0</v>
      </c>
      <c r="CL374" s="533">
        <f t="shared" si="320"/>
        <v>15</v>
      </c>
      <c r="CM374" s="619">
        <f t="shared" si="321"/>
        <v>0</v>
      </c>
      <c r="CN374" s="619">
        <f t="shared" si="322"/>
        <v>0</v>
      </c>
      <c r="CO374" s="619">
        <f t="shared" si="295"/>
        <v>0</v>
      </c>
      <c r="CP374" s="619">
        <f t="shared" si="296"/>
        <v>0</v>
      </c>
      <c r="CQ374" s="619">
        <f t="shared" si="297"/>
        <v>0</v>
      </c>
      <c r="CR374" s="546">
        <v>0</v>
      </c>
      <c r="CS374" s="546">
        <v>0</v>
      </c>
      <c r="CT374" s="546">
        <v>0</v>
      </c>
      <c r="CU374" s="546">
        <v>0</v>
      </c>
      <c r="CV374" s="546">
        <v>0</v>
      </c>
      <c r="CW374" s="546">
        <v>0</v>
      </c>
      <c r="CX374" s="546">
        <v>0</v>
      </c>
      <c r="CY374" s="546">
        <v>0</v>
      </c>
      <c r="CZ374" s="618">
        <v>0</v>
      </c>
      <c r="DA374" s="618">
        <v>0</v>
      </c>
      <c r="DB374" s="618">
        <v>0</v>
      </c>
      <c r="DC374" s="618">
        <v>0</v>
      </c>
      <c r="DD374" s="618">
        <v>0</v>
      </c>
      <c r="DE374" s="618">
        <v>0</v>
      </c>
      <c r="DF374" s="618">
        <v>0</v>
      </c>
      <c r="DG374" s="618">
        <v>0</v>
      </c>
      <c r="DH374" s="618">
        <v>0</v>
      </c>
      <c r="DI374" s="618">
        <v>0</v>
      </c>
      <c r="DJ374" s="618">
        <v>0</v>
      </c>
      <c r="DK374" s="1034">
        <f t="shared" si="323"/>
        <v>6.25</v>
      </c>
      <c r="DL374" s="543">
        <f t="shared" si="298"/>
        <v>0.16500000000000001</v>
      </c>
      <c r="DM374" s="542">
        <f t="shared" si="299"/>
        <v>41.666666666666664</v>
      </c>
      <c r="DN374" s="594">
        <f t="shared" si="300"/>
        <v>41.666666666666664</v>
      </c>
      <c r="DO374" s="540">
        <f t="shared" si="301"/>
        <v>6.8750000000000006E-2</v>
      </c>
      <c r="DP374" s="597">
        <f>+IF(M374="M",DO374,0)</f>
        <v>6.8750000000000006E-2</v>
      </c>
      <c r="DQ374" s="538">
        <f t="shared" si="302"/>
        <v>6.8750000000000006E-2</v>
      </c>
      <c r="DR374" s="617">
        <f t="shared" si="303"/>
        <v>1</v>
      </c>
      <c r="DS374" s="616">
        <f t="shared" si="304"/>
        <v>0</v>
      </c>
      <c r="DT374" s="259">
        <v>422</v>
      </c>
      <c r="DU374" s="260" t="s">
        <v>262</v>
      </c>
      <c r="DV374" s="259"/>
      <c r="DW374" s="260" t="s">
        <v>242</v>
      </c>
      <c r="DX374" s="259"/>
      <c r="DY374" s="259"/>
      <c r="DZ374" s="259"/>
      <c r="EA374" s="987"/>
      <c r="EB374" s="1041" t="s">
        <v>2677</v>
      </c>
      <c r="EC374" s="802">
        <v>0</v>
      </c>
      <c r="EE374" s="1047"/>
    </row>
    <row r="375" spans="4:135" s="534" customFormat="1" ht="51" hidden="1" x14ac:dyDescent="0.3">
      <c r="D375" s="783">
        <v>372</v>
      </c>
      <c r="E375" s="799">
        <v>435</v>
      </c>
      <c r="F375" s="739" t="s">
        <v>202</v>
      </c>
      <c r="G375" s="739" t="s">
        <v>17</v>
      </c>
      <c r="H375" s="739" t="s">
        <v>150</v>
      </c>
      <c r="I375" s="676" t="s">
        <v>1077</v>
      </c>
      <c r="J375" s="573" t="s">
        <v>1078</v>
      </c>
      <c r="K375" s="573" t="s">
        <v>1079</v>
      </c>
      <c r="L375" s="677" t="s">
        <v>1664</v>
      </c>
      <c r="M375" s="571" t="s">
        <v>2017</v>
      </c>
      <c r="N375" s="571">
        <v>0</v>
      </c>
      <c r="O375" s="570">
        <f t="shared" ref="O375:O392" si="324">+N375+P375</f>
        <v>4</v>
      </c>
      <c r="P375" s="569">
        <v>4</v>
      </c>
      <c r="Q375" s="628">
        <v>0.16500000000000001</v>
      </c>
      <c r="R375" s="580">
        <f t="shared" si="282"/>
        <v>4.1250000000000002E-2</v>
      </c>
      <c r="S375" s="627">
        <v>1</v>
      </c>
      <c r="T375" s="625">
        <f t="shared" si="310"/>
        <v>0.25</v>
      </c>
      <c r="U375" s="992">
        <v>0</v>
      </c>
      <c r="V375" s="626">
        <f t="shared" si="311"/>
        <v>0</v>
      </c>
      <c r="W375" s="594">
        <f t="shared" si="312"/>
        <v>0</v>
      </c>
      <c r="X375" s="594">
        <f t="shared" si="283"/>
        <v>0</v>
      </c>
      <c r="Y375" s="594">
        <f t="shared" si="307"/>
        <v>0</v>
      </c>
      <c r="Z375" s="594">
        <f t="shared" si="284"/>
        <v>0</v>
      </c>
      <c r="AA375" s="593">
        <v>120000000</v>
      </c>
      <c r="AB375" s="593">
        <v>120000000</v>
      </c>
      <c r="AC375" s="593">
        <v>0</v>
      </c>
      <c r="AD375" s="593">
        <v>0</v>
      </c>
      <c r="AE375" s="593">
        <v>0</v>
      </c>
      <c r="AF375" s="593">
        <v>0</v>
      </c>
      <c r="AG375" s="593">
        <v>0</v>
      </c>
      <c r="AH375" s="593">
        <v>0</v>
      </c>
      <c r="AI375" s="593">
        <v>0</v>
      </c>
      <c r="AJ375" s="593">
        <v>0</v>
      </c>
      <c r="AK375" s="593">
        <v>0</v>
      </c>
      <c r="AL375" s="593">
        <v>0</v>
      </c>
      <c r="AM375" s="593">
        <v>0</v>
      </c>
      <c r="AN375" s="593">
        <v>0</v>
      </c>
      <c r="AO375" s="593">
        <v>0</v>
      </c>
      <c r="AP375" s="593">
        <v>0</v>
      </c>
      <c r="AQ375" s="593">
        <v>0</v>
      </c>
      <c r="AR375" s="593">
        <v>0</v>
      </c>
      <c r="AS375" s="593">
        <v>0</v>
      </c>
      <c r="AT375" s="570">
        <f t="shared" si="285"/>
        <v>4.1250000000000002E-2</v>
      </c>
      <c r="AU375" s="571">
        <v>1</v>
      </c>
      <c r="AV375" s="625">
        <f t="shared" si="313"/>
        <v>0.25</v>
      </c>
      <c r="AW375" s="1003">
        <v>4</v>
      </c>
      <c r="AX375" s="604">
        <f t="shared" si="314"/>
        <v>4</v>
      </c>
      <c r="AY375" s="604">
        <f t="shared" si="315"/>
        <v>400</v>
      </c>
      <c r="AZ375" s="604">
        <f t="shared" si="286"/>
        <v>100</v>
      </c>
      <c r="BA375" s="592">
        <f t="shared" si="287"/>
        <v>4.1250000000000002E-2</v>
      </c>
      <c r="BB375" s="592">
        <f t="shared" si="288"/>
        <v>100</v>
      </c>
      <c r="BC375" s="591">
        <v>0</v>
      </c>
      <c r="BD375" s="591">
        <v>0</v>
      </c>
      <c r="BE375" s="591">
        <v>0</v>
      </c>
      <c r="BF375" s="591">
        <v>0</v>
      </c>
      <c r="BG375" s="591">
        <v>0</v>
      </c>
      <c r="BH375" s="591">
        <v>0</v>
      </c>
      <c r="BI375" s="591">
        <v>0</v>
      </c>
      <c r="BJ375" s="591">
        <v>0</v>
      </c>
      <c r="BK375" s="669">
        <v>92479477</v>
      </c>
      <c r="BL375" s="589">
        <v>92479477</v>
      </c>
      <c r="BM375" s="589">
        <v>0</v>
      </c>
      <c r="BN375" s="589">
        <v>0</v>
      </c>
      <c r="BO375" s="589">
        <v>0</v>
      </c>
      <c r="BP375" s="589">
        <v>0</v>
      </c>
      <c r="BQ375" s="589">
        <v>0</v>
      </c>
      <c r="BR375" s="589">
        <v>0</v>
      </c>
      <c r="BS375" s="589">
        <v>0</v>
      </c>
      <c r="BT375" s="589">
        <v>0</v>
      </c>
      <c r="BU375" s="589">
        <v>0</v>
      </c>
      <c r="BV375" s="588">
        <f t="shared" si="289"/>
        <v>4.1250000000000002E-2</v>
      </c>
      <c r="BW375" s="588">
        <v>1</v>
      </c>
      <c r="BX375" s="623">
        <f t="shared" si="316"/>
        <v>0.25</v>
      </c>
      <c r="BY375" s="607">
        <v>0</v>
      </c>
      <c r="BZ375" s="629">
        <v>4</v>
      </c>
      <c r="CA375" s="1017">
        <v>5</v>
      </c>
      <c r="CB375" s="557">
        <f t="shared" si="317"/>
        <v>5</v>
      </c>
      <c r="CC375" s="557">
        <f t="shared" si="318"/>
        <v>500</v>
      </c>
      <c r="CD375" s="622">
        <f t="shared" si="290"/>
        <v>100</v>
      </c>
      <c r="CE375" s="621">
        <f t="shared" si="291"/>
        <v>4.1250000000000002E-2</v>
      </c>
      <c r="CF375" s="605">
        <f t="shared" si="292"/>
        <v>100</v>
      </c>
      <c r="CG375" s="621">
        <f t="shared" si="293"/>
        <v>0.20624999999999999</v>
      </c>
      <c r="CH375" s="553">
        <f t="shared" si="294"/>
        <v>4.1250000000000002E-2</v>
      </c>
      <c r="CI375" s="552">
        <v>1</v>
      </c>
      <c r="CJ375" s="551">
        <f t="shared" si="319"/>
        <v>0.25</v>
      </c>
      <c r="CK375" s="874">
        <v>0</v>
      </c>
      <c r="CL375" s="533">
        <f t="shared" si="320"/>
        <v>1</v>
      </c>
      <c r="CM375" s="619">
        <f t="shared" si="321"/>
        <v>0</v>
      </c>
      <c r="CN375" s="619">
        <f t="shared" si="322"/>
        <v>0</v>
      </c>
      <c r="CO375" s="549">
        <f t="shared" si="295"/>
        <v>0</v>
      </c>
      <c r="CP375" s="619">
        <f t="shared" si="296"/>
        <v>0</v>
      </c>
      <c r="CQ375" s="619">
        <f t="shared" si="297"/>
        <v>0</v>
      </c>
      <c r="CR375" s="546">
        <v>0</v>
      </c>
      <c r="CS375" s="546">
        <v>0</v>
      </c>
      <c r="CT375" s="546">
        <v>0</v>
      </c>
      <c r="CU375" s="546">
        <v>0</v>
      </c>
      <c r="CV375" s="546">
        <v>0</v>
      </c>
      <c r="CW375" s="546">
        <v>0</v>
      </c>
      <c r="CX375" s="546">
        <v>0</v>
      </c>
      <c r="CY375" s="546">
        <v>0</v>
      </c>
      <c r="CZ375" s="618">
        <v>0</v>
      </c>
      <c r="DA375" s="618">
        <v>0</v>
      </c>
      <c r="DB375" s="618">
        <v>0</v>
      </c>
      <c r="DC375" s="618">
        <v>0</v>
      </c>
      <c r="DD375" s="618">
        <v>0</v>
      </c>
      <c r="DE375" s="618">
        <v>0</v>
      </c>
      <c r="DF375" s="618">
        <v>0</v>
      </c>
      <c r="DG375" s="618">
        <v>0</v>
      </c>
      <c r="DH375" s="618">
        <v>0</v>
      </c>
      <c r="DI375" s="618">
        <v>0</v>
      </c>
      <c r="DJ375" s="618">
        <v>0</v>
      </c>
      <c r="DK375" s="1034">
        <f t="shared" si="323"/>
        <v>9</v>
      </c>
      <c r="DL375" s="543">
        <f t="shared" si="298"/>
        <v>0.16500000000000001</v>
      </c>
      <c r="DM375" s="542">
        <f t="shared" si="299"/>
        <v>225</v>
      </c>
      <c r="DN375" s="594">
        <f t="shared" si="300"/>
        <v>100</v>
      </c>
      <c r="DO375" s="540">
        <f t="shared" si="301"/>
        <v>0.16500000000000001</v>
      </c>
      <c r="DP375" s="597">
        <f t="shared" ref="DP375:DP393" si="325">+IF(((DN375*Q375)/100)&lt;Q375, ((DN375*Q375)/100),Q375)</f>
        <v>0.16500000000000001</v>
      </c>
      <c r="DQ375" s="538">
        <f t="shared" si="302"/>
        <v>0.16500000000000001</v>
      </c>
      <c r="DR375" s="617">
        <f t="shared" si="303"/>
        <v>1</v>
      </c>
      <c r="DS375" s="616">
        <f t="shared" si="304"/>
        <v>0</v>
      </c>
      <c r="DT375" s="259">
        <v>434</v>
      </c>
      <c r="DU375" s="260" t="s">
        <v>261</v>
      </c>
      <c r="DV375" s="259"/>
      <c r="DW375" s="260" t="s">
        <v>242</v>
      </c>
      <c r="DX375" s="259"/>
      <c r="DY375" s="259"/>
      <c r="DZ375" s="259"/>
      <c r="EA375" s="987"/>
      <c r="EB375" s="1041" t="s">
        <v>2678</v>
      </c>
      <c r="EC375" s="802">
        <v>0</v>
      </c>
      <c r="EE375" s="1047"/>
    </row>
    <row r="376" spans="4:135" s="534" customFormat="1" ht="51" hidden="1" x14ac:dyDescent="0.3">
      <c r="D376" s="783">
        <v>373</v>
      </c>
      <c r="E376" s="799">
        <v>436</v>
      </c>
      <c r="F376" s="739" t="s">
        <v>202</v>
      </c>
      <c r="G376" s="739" t="s">
        <v>17</v>
      </c>
      <c r="H376" s="739" t="s">
        <v>150</v>
      </c>
      <c r="I376" s="676" t="s">
        <v>1077</v>
      </c>
      <c r="J376" s="573" t="s">
        <v>1080</v>
      </c>
      <c r="K376" s="573" t="s">
        <v>1081</v>
      </c>
      <c r="L376" s="677" t="s">
        <v>2130</v>
      </c>
      <c r="M376" s="571" t="s">
        <v>2017</v>
      </c>
      <c r="N376" s="571">
        <v>0</v>
      </c>
      <c r="O376" s="570">
        <f t="shared" si="324"/>
        <v>100</v>
      </c>
      <c r="P376" s="569">
        <v>100</v>
      </c>
      <c r="Q376" s="628">
        <v>0.25</v>
      </c>
      <c r="R376" s="580">
        <f t="shared" si="282"/>
        <v>2.5000000000000001E-2</v>
      </c>
      <c r="S376" s="627">
        <v>10</v>
      </c>
      <c r="T376" s="625">
        <f t="shared" si="310"/>
        <v>0.1</v>
      </c>
      <c r="U376" s="992">
        <v>10</v>
      </c>
      <c r="V376" s="626">
        <f t="shared" si="311"/>
        <v>10</v>
      </c>
      <c r="W376" s="594">
        <f t="shared" si="312"/>
        <v>100</v>
      </c>
      <c r="X376" s="594">
        <f t="shared" si="283"/>
        <v>100</v>
      </c>
      <c r="Y376" s="594">
        <f t="shared" si="307"/>
        <v>2.5000000000000001E-2</v>
      </c>
      <c r="Z376" s="594">
        <f t="shared" si="284"/>
        <v>100</v>
      </c>
      <c r="AA376" s="593">
        <v>40000000</v>
      </c>
      <c r="AB376" s="593">
        <v>40000000</v>
      </c>
      <c r="AC376" s="593">
        <v>0</v>
      </c>
      <c r="AD376" s="593">
        <v>0</v>
      </c>
      <c r="AE376" s="593">
        <v>0</v>
      </c>
      <c r="AF376" s="593">
        <v>0</v>
      </c>
      <c r="AG376" s="593">
        <v>0</v>
      </c>
      <c r="AH376" s="593">
        <v>0</v>
      </c>
      <c r="AI376" s="593">
        <v>8000000</v>
      </c>
      <c r="AJ376" s="593">
        <v>8000000</v>
      </c>
      <c r="AK376" s="593">
        <v>0</v>
      </c>
      <c r="AL376" s="593">
        <v>0</v>
      </c>
      <c r="AM376" s="593">
        <v>0</v>
      </c>
      <c r="AN376" s="593">
        <v>0</v>
      </c>
      <c r="AO376" s="593">
        <v>0</v>
      </c>
      <c r="AP376" s="593">
        <v>0</v>
      </c>
      <c r="AQ376" s="593">
        <v>0</v>
      </c>
      <c r="AR376" s="593">
        <v>0</v>
      </c>
      <c r="AS376" s="593">
        <v>0</v>
      </c>
      <c r="AT376" s="570">
        <f t="shared" si="285"/>
        <v>7.4999999999999997E-2</v>
      </c>
      <c r="AU376" s="571">
        <v>30</v>
      </c>
      <c r="AV376" s="625">
        <f t="shared" si="313"/>
        <v>0.3</v>
      </c>
      <c r="AW376" s="1003">
        <v>40</v>
      </c>
      <c r="AX376" s="604">
        <f t="shared" si="314"/>
        <v>40</v>
      </c>
      <c r="AY376" s="604">
        <f t="shared" si="315"/>
        <v>133.33333333333334</v>
      </c>
      <c r="AZ376" s="604">
        <f t="shared" si="286"/>
        <v>100</v>
      </c>
      <c r="BA376" s="592">
        <f t="shared" si="287"/>
        <v>7.4999999999999997E-2</v>
      </c>
      <c r="BB376" s="592">
        <f t="shared" si="288"/>
        <v>100</v>
      </c>
      <c r="BC376" s="591">
        <v>0</v>
      </c>
      <c r="BD376" s="591">
        <v>0</v>
      </c>
      <c r="BE376" s="591">
        <v>0</v>
      </c>
      <c r="BF376" s="591">
        <v>0</v>
      </c>
      <c r="BG376" s="591">
        <v>0</v>
      </c>
      <c r="BH376" s="591">
        <v>0</v>
      </c>
      <c r="BI376" s="591">
        <v>0</v>
      </c>
      <c r="BJ376" s="591">
        <v>0</v>
      </c>
      <c r="BK376" s="669">
        <v>344856875</v>
      </c>
      <c r="BL376" s="589">
        <v>344856875</v>
      </c>
      <c r="BM376" s="589">
        <v>0</v>
      </c>
      <c r="BN376" s="589">
        <v>0</v>
      </c>
      <c r="BO376" s="589">
        <v>0</v>
      </c>
      <c r="BP376" s="589">
        <v>0</v>
      </c>
      <c r="BQ376" s="589">
        <v>0</v>
      </c>
      <c r="BR376" s="589">
        <v>0</v>
      </c>
      <c r="BS376" s="589">
        <v>0</v>
      </c>
      <c r="BT376" s="589">
        <v>0</v>
      </c>
      <c r="BU376" s="589">
        <v>0</v>
      </c>
      <c r="BV376" s="588">
        <f t="shared" si="289"/>
        <v>7.4999999999999997E-2</v>
      </c>
      <c r="BW376" s="588">
        <v>30</v>
      </c>
      <c r="BX376" s="623">
        <f t="shared" si="316"/>
        <v>0.3</v>
      </c>
      <c r="BY376" s="607">
        <v>29</v>
      </c>
      <c r="BZ376" s="629">
        <v>35</v>
      </c>
      <c r="CA376" s="1017">
        <v>83</v>
      </c>
      <c r="CB376" s="557">
        <f t="shared" si="317"/>
        <v>83</v>
      </c>
      <c r="CC376" s="557">
        <f t="shared" si="318"/>
        <v>276.66666666666669</v>
      </c>
      <c r="CD376" s="622">
        <f t="shared" si="290"/>
        <v>100</v>
      </c>
      <c r="CE376" s="621">
        <f t="shared" si="291"/>
        <v>7.4999999999999997E-2</v>
      </c>
      <c r="CF376" s="605">
        <f t="shared" si="292"/>
        <v>100</v>
      </c>
      <c r="CG376" s="621">
        <f t="shared" si="293"/>
        <v>0.20749999999999999</v>
      </c>
      <c r="CH376" s="553">
        <f t="shared" si="294"/>
        <v>7.4999999999999997E-2</v>
      </c>
      <c r="CI376" s="552">
        <v>30</v>
      </c>
      <c r="CJ376" s="551">
        <f t="shared" si="319"/>
        <v>0.3</v>
      </c>
      <c r="CK376" s="874">
        <v>0</v>
      </c>
      <c r="CL376" s="533">
        <f t="shared" si="320"/>
        <v>30</v>
      </c>
      <c r="CM376" s="619">
        <f t="shared" si="321"/>
        <v>0</v>
      </c>
      <c r="CN376" s="619">
        <f t="shared" si="322"/>
        <v>0</v>
      </c>
      <c r="CO376" s="549">
        <f t="shared" si="295"/>
        <v>0</v>
      </c>
      <c r="CP376" s="619">
        <f t="shared" si="296"/>
        <v>0</v>
      </c>
      <c r="CQ376" s="619">
        <f t="shared" si="297"/>
        <v>0</v>
      </c>
      <c r="CR376" s="546">
        <v>0</v>
      </c>
      <c r="CS376" s="546">
        <v>0</v>
      </c>
      <c r="CT376" s="546">
        <v>0</v>
      </c>
      <c r="CU376" s="546">
        <v>0</v>
      </c>
      <c r="CV376" s="546">
        <v>0</v>
      </c>
      <c r="CW376" s="546">
        <v>0</v>
      </c>
      <c r="CX376" s="546">
        <v>0</v>
      </c>
      <c r="CY376" s="546">
        <v>0</v>
      </c>
      <c r="CZ376" s="618">
        <v>0</v>
      </c>
      <c r="DA376" s="618">
        <v>0</v>
      </c>
      <c r="DB376" s="618">
        <v>0</v>
      </c>
      <c r="DC376" s="618">
        <v>0</v>
      </c>
      <c r="DD376" s="618">
        <v>0</v>
      </c>
      <c r="DE376" s="618">
        <v>0</v>
      </c>
      <c r="DF376" s="618">
        <v>0</v>
      </c>
      <c r="DG376" s="618">
        <v>0</v>
      </c>
      <c r="DH376" s="618">
        <v>0</v>
      </c>
      <c r="DI376" s="618">
        <v>0</v>
      </c>
      <c r="DJ376" s="618">
        <v>0</v>
      </c>
      <c r="DK376" s="1034">
        <f t="shared" si="323"/>
        <v>133</v>
      </c>
      <c r="DL376" s="543">
        <f t="shared" si="298"/>
        <v>0.25</v>
      </c>
      <c r="DM376" s="542">
        <f t="shared" si="299"/>
        <v>133</v>
      </c>
      <c r="DN376" s="594">
        <f t="shared" si="300"/>
        <v>100</v>
      </c>
      <c r="DO376" s="540">
        <f t="shared" si="301"/>
        <v>0.25</v>
      </c>
      <c r="DP376" s="597">
        <f t="shared" si="325"/>
        <v>0.25</v>
      </c>
      <c r="DQ376" s="538">
        <f t="shared" si="302"/>
        <v>0.25</v>
      </c>
      <c r="DR376" s="617">
        <f t="shared" si="303"/>
        <v>1</v>
      </c>
      <c r="DS376" s="616">
        <f t="shared" si="304"/>
        <v>0</v>
      </c>
      <c r="DT376" s="259">
        <v>434</v>
      </c>
      <c r="DU376" s="260" t="s">
        <v>261</v>
      </c>
      <c r="DV376" s="259"/>
      <c r="DW376" s="260" t="s">
        <v>242</v>
      </c>
      <c r="DX376" s="259"/>
      <c r="DY376" s="259"/>
      <c r="DZ376" s="259"/>
      <c r="EA376" s="987"/>
      <c r="EB376" s="1041" t="s">
        <v>2679</v>
      </c>
      <c r="EC376" s="802">
        <v>0</v>
      </c>
      <c r="EE376" s="1047"/>
    </row>
    <row r="377" spans="4:135" s="534" customFormat="1" ht="51" hidden="1" x14ac:dyDescent="0.3">
      <c r="D377" s="783">
        <v>374</v>
      </c>
      <c r="E377" s="799">
        <v>437</v>
      </c>
      <c r="F377" s="739" t="s">
        <v>202</v>
      </c>
      <c r="G377" s="739" t="s">
        <v>17</v>
      </c>
      <c r="H377" s="739" t="s">
        <v>150</v>
      </c>
      <c r="I377" s="676" t="s">
        <v>1082</v>
      </c>
      <c r="J377" s="573" t="s">
        <v>1083</v>
      </c>
      <c r="K377" s="573" t="s">
        <v>1084</v>
      </c>
      <c r="L377" s="677" t="s">
        <v>2129</v>
      </c>
      <c r="M377" s="571" t="s">
        <v>2017</v>
      </c>
      <c r="N377" s="571">
        <v>0</v>
      </c>
      <c r="O377" s="570">
        <f t="shared" si="324"/>
        <v>1</v>
      </c>
      <c r="P377" s="569">
        <v>1</v>
      </c>
      <c r="Q377" s="628">
        <v>0.25</v>
      </c>
      <c r="R377" s="580">
        <f t="shared" si="282"/>
        <v>0.1</v>
      </c>
      <c r="S377" s="627">
        <v>0.4</v>
      </c>
      <c r="T377" s="625">
        <f t="shared" si="310"/>
        <v>0.4</v>
      </c>
      <c r="U377" s="992">
        <v>0.4</v>
      </c>
      <c r="V377" s="626">
        <f t="shared" si="311"/>
        <v>0.4</v>
      </c>
      <c r="W377" s="594">
        <f t="shared" si="312"/>
        <v>100</v>
      </c>
      <c r="X377" s="594">
        <f t="shared" si="283"/>
        <v>100</v>
      </c>
      <c r="Y377" s="594">
        <f t="shared" si="307"/>
        <v>0.1</v>
      </c>
      <c r="Z377" s="594">
        <f t="shared" si="284"/>
        <v>100</v>
      </c>
      <c r="AA377" s="593">
        <v>0</v>
      </c>
      <c r="AB377" s="593">
        <v>0</v>
      </c>
      <c r="AC377" s="593">
        <v>0</v>
      </c>
      <c r="AD377" s="593">
        <v>0</v>
      </c>
      <c r="AE377" s="593">
        <v>0</v>
      </c>
      <c r="AF377" s="593">
        <v>0</v>
      </c>
      <c r="AG377" s="593">
        <v>0</v>
      </c>
      <c r="AH377" s="593">
        <v>0</v>
      </c>
      <c r="AI377" s="593">
        <v>0</v>
      </c>
      <c r="AJ377" s="593">
        <v>0</v>
      </c>
      <c r="AK377" s="593">
        <v>0</v>
      </c>
      <c r="AL377" s="593">
        <v>0</v>
      </c>
      <c r="AM377" s="593">
        <v>0</v>
      </c>
      <c r="AN377" s="593">
        <v>0</v>
      </c>
      <c r="AO377" s="593">
        <v>0</v>
      </c>
      <c r="AP377" s="593">
        <v>0</v>
      </c>
      <c r="AQ377" s="593">
        <v>0</v>
      </c>
      <c r="AR377" s="593">
        <v>0</v>
      </c>
      <c r="AS377" s="593">
        <v>0</v>
      </c>
      <c r="AT377" s="570">
        <f t="shared" si="285"/>
        <v>0.1</v>
      </c>
      <c r="AU377" s="571">
        <v>0.4</v>
      </c>
      <c r="AV377" s="625">
        <f t="shared" si="313"/>
        <v>0.4</v>
      </c>
      <c r="AW377" s="1003">
        <v>0.4</v>
      </c>
      <c r="AX377" s="604">
        <f t="shared" si="314"/>
        <v>0.4</v>
      </c>
      <c r="AY377" s="604">
        <f t="shared" si="315"/>
        <v>100</v>
      </c>
      <c r="AZ377" s="604">
        <f t="shared" si="286"/>
        <v>100</v>
      </c>
      <c r="BA377" s="592">
        <f t="shared" si="287"/>
        <v>0.1</v>
      </c>
      <c r="BB377" s="592">
        <f t="shared" si="288"/>
        <v>100</v>
      </c>
      <c r="BC377" s="591">
        <v>0</v>
      </c>
      <c r="BD377" s="591">
        <v>0</v>
      </c>
      <c r="BE377" s="591">
        <v>0</v>
      </c>
      <c r="BF377" s="591">
        <v>0</v>
      </c>
      <c r="BG377" s="591">
        <v>0</v>
      </c>
      <c r="BH377" s="591">
        <v>0</v>
      </c>
      <c r="BI377" s="591">
        <v>0</v>
      </c>
      <c r="BJ377" s="591">
        <v>0</v>
      </c>
      <c r="BK377" s="669">
        <v>60000000</v>
      </c>
      <c r="BL377" s="589">
        <v>60000000</v>
      </c>
      <c r="BM377" s="589">
        <v>0</v>
      </c>
      <c r="BN377" s="589">
        <v>0</v>
      </c>
      <c r="BO377" s="589">
        <v>0</v>
      </c>
      <c r="BP377" s="589">
        <v>0</v>
      </c>
      <c r="BQ377" s="589">
        <v>0</v>
      </c>
      <c r="BR377" s="589">
        <v>0</v>
      </c>
      <c r="BS377" s="589">
        <v>0</v>
      </c>
      <c r="BT377" s="589">
        <v>0</v>
      </c>
      <c r="BU377" s="589">
        <v>0</v>
      </c>
      <c r="BV377" s="588">
        <f t="shared" si="289"/>
        <v>2.5000000000000001E-2</v>
      </c>
      <c r="BW377" s="588">
        <v>0.1</v>
      </c>
      <c r="BX377" s="623">
        <f t="shared" si="316"/>
        <v>0.1</v>
      </c>
      <c r="BY377" s="607">
        <v>2.9999999329447746E-2</v>
      </c>
      <c r="BZ377" s="629">
        <v>5.000000074505806E-2</v>
      </c>
      <c r="CA377" s="1017">
        <v>0.10000000149011612</v>
      </c>
      <c r="CB377" s="557">
        <f t="shared" si="317"/>
        <v>0.10000000149011612</v>
      </c>
      <c r="CC377" s="557">
        <f t="shared" si="318"/>
        <v>100.00000149011612</v>
      </c>
      <c r="CD377" s="622">
        <f t="shared" si="290"/>
        <v>100</v>
      </c>
      <c r="CE377" s="621">
        <f t="shared" si="291"/>
        <v>2.5000000000000001E-2</v>
      </c>
      <c r="CF377" s="605">
        <f t="shared" si="292"/>
        <v>100</v>
      </c>
      <c r="CG377" s="621">
        <f t="shared" si="293"/>
        <v>2.500000037252903E-2</v>
      </c>
      <c r="CH377" s="553">
        <f t="shared" si="294"/>
        <v>2.5000000000000001E-2</v>
      </c>
      <c r="CI377" s="658">
        <v>0.1</v>
      </c>
      <c r="CJ377" s="551">
        <f t="shared" si="319"/>
        <v>0.1</v>
      </c>
      <c r="CK377" s="874">
        <v>0</v>
      </c>
      <c r="CL377" s="533">
        <f t="shared" si="320"/>
        <v>0.1</v>
      </c>
      <c r="CM377" s="619">
        <f t="shared" si="321"/>
        <v>0</v>
      </c>
      <c r="CN377" s="619">
        <f t="shared" si="322"/>
        <v>0</v>
      </c>
      <c r="CO377" s="549">
        <f t="shared" si="295"/>
        <v>0</v>
      </c>
      <c r="CP377" s="619">
        <f t="shared" si="296"/>
        <v>0</v>
      </c>
      <c r="CQ377" s="619">
        <f t="shared" si="297"/>
        <v>0</v>
      </c>
      <c r="CR377" s="546">
        <v>0</v>
      </c>
      <c r="CS377" s="546">
        <v>0</v>
      </c>
      <c r="CT377" s="546">
        <v>0</v>
      </c>
      <c r="CU377" s="546">
        <v>0</v>
      </c>
      <c r="CV377" s="546">
        <v>0</v>
      </c>
      <c r="CW377" s="546">
        <v>0</v>
      </c>
      <c r="CX377" s="546">
        <v>0</v>
      </c>
      <c r="CY377" s="546">
        <v>0</v>
      </c>
      <c r="CZ377" s="618">
        <v>0</v>
      </c>
      <c r="DA377" s="618">
        <v>0</v>
      </c>
      <c r="DB377" s="618">
        <v>0</v>
      </c>
      <c r="DC377" s="618">
        <v>0</v>
      </c>
      <c r="DD377" s="618">
        <v>0</v>
      </c>
      <c r="DE377" s="618">
        <v>0</v>
      </c>
      <c r="DF377" s="618">
        <v>0</v>
      </c>
      <c r="DG377" s="618">
        <v>0</v>
      </c>
      <c r="DH377" s="618">
        <v>0</v>
      </c>
      <c r="DI377" s="618">
        <v>0</v>
      </c>
      <c r="DJ377" s="618">
        <v>0</v>
      </c>
      <c r="DK377" s="1034">
        <f t="shared" si="323"/>
        <v>0.90000000149011616</v>
      </c>
      <c r="DL377" s="543">
        <f t="shared" si="298"/>
        <v>0.25</v>
      </c>
      <c r="DM377" s="542">
        <f t="shared" si="299"/>
        <v>90.000000149011612</v>
      </c>
      <c r="DN377" s="594">
        <f t="shared" si="300"/>
        <v>90.000000149011612</v>
      </c>
      <c r="DO377" s="540">
        <f t="shared" si="301"/>
        <v>0.22500000037252904</v>
      </c>
      <c r="DP377" s="597">
        <f t="shared" si="325"/>
        <v>0.22500000037252904</v>
      </c>
      <c r="DQ377" s="538">
        <f t="shared" si="302"/>
        <v>0.22500000037252904</v>
      </c>
      <c r="DR377" s="617">
        <f t="shared" si="303"/>
        <v>1</v>
      </c>
      <c r="DS377" s="616">
        <f t="shared" si="304"/>
        <v>0</v>
      </c>
      <c r="DT377" s="259">
        <v>434</v>
      </c>
      <c r="DU377" s="260" t="s">
        <v>261</v>
      </c>
      <c r="DV377" s="259"/>
      <c r="DW377" s="260" t="s">
        <v>242</v>
      </c>
      <c r="DX377" s="259"/>
      <c r="DY377" s="259"/>
      <c r="DZ377" s="259"/>
      <c r="EA377" s="987"/>
      <c r="EB377" s="1041" t="s">
        <v>2680</v>
      </c>
      <c r="EC377" s="802">
        <v>0</v>
      </c>
      <c r="EE377" s="1047"/>
    </row>
    <row r="378" spans="4:135" s="534" customFormat="1" ht="63.75" hidden="1" x14ac:dyDescent="0.3">
      <c r="D378" s="783">
        <v>375</v>
      </c>
      <c r="E378" s="799">
        <v>438</v>
      </c>
      <c r="F378" s="739" t="s">
        <v>202</v>
      </c>
      <c r="G378" s="739" t="s">
        <v>17</v>
      </c>
      <c r="H378" s="739" t="s">
        <v>150</v>
      </c>
      <c r="I378" s="676" t="s">
        <v>1414</v>
      </c>
      <c r="J378" s="573" t="s">
        <v>1085</v>
      </c>
      <c r="K378" s="573" t="s">
        <v>1086</v>
      </c>
      <c r="L378" s="677" t="s">
        <v>1</v>
      </c>
      <c r="M378" s="571" t="s">
        <v>2017</v>
      </c>
      <c r="N378" s="571">
        <v>0</v>
      </c>
      <c r="O378" s="570">
        <f t="shared" si="324"/>
        <v>1</v>
      </c>
      <c r="P378" s="569">
        <v>1</v>
      </c>
      <c r="Q378" s="628">
        <v>0.16500000000000001</v>
      </c>
      <c r="R378" s="580">
        <f t="shared" si="282"/>
        <v>5.7749999999999996E-2</v>
      </c>
      <c r="S378" s="627">
        <v>0.35</v>
      </c>
      <c r="T378" s="625">
        <f t="shared" si="310"/>
        <v>0.35</v>
      </c>
      <c r="U378" s="992">
        <v>0.35</v>
      </c>
      <c r="V378" s="626">
        <f t="shared" si="311"/>
        <v>0.35</v>
      </c>
      <c r="W378" s="594">
        <f t="shared" si="312"/>
        <v>100</v>
      </c>
      <c r="X378" s="594">
        <f t="shared" si="283"/>
        <v>100</v>
      </c>
      <c r="Y378" s="594">
        <f t="shared" si="307"/>
        <v>5.7749999999999996E-2</v>
      </c>
      <c r="Z378" s="594">
        <f t="shared" si="284"/>
        <v>100</v>
      </c>
      <c r="AA378" s="593">
        <v>40000000</v>
      </c>
      <c r="AB378" s="593">
        <v>40000000</v>
      </c>
      <c r="AC378" s="593">
        <v>0</v>
      </c>
      <c r="AD378" s="593">
        <v>0</v>
      </c>
      <c r="AE378" s="593">
        <v>0</v>
      </c>
      <c r="AF378" s="593">
        <v>0</v>
      </c>
      <c r="AG378" s="593">
        <v>0</v>
      </c>
      <c r="AH378" s="593">
        <v>0</v>
      </c>
      <c r="AI378" s="593">
        <v>8000000</v>
      </c>
      <c r="AJ378" s="593">
        <v>8000000</v>
      </c>
      <c r="AK378" s="593">
        <v>0</v>
      </c>
      <c r="AL378" s="593">
        <v>0</v>
      </c>
      <c r="AM378" s="593">
        <v>0</v>
      </c>
      <c r="AN378" s="593">
        <v>0</v>
      </c>
      <c r="AO378" s="593">
        <v>0</v>
      </c>
      <c r="AP378" s="593">
        <v>0</v>
      </c>
      <c r="AQ378" s="593">
        <v>0</v>
      </c>
      <c r="AR378" s="593">
        <v>0</v>
      </c>
      <c r="AS378" s="593">
        <v>0</v>
      </c>
      <c r="AT378" s="570">
        <f t="shared" si="285"/>
        <v>3.3000000000000002E-2</v>
      </c>
      <c r="AU378" s="571">
        <v>0.2</v>
      </c>
      <c r="AV378" s="625">
        <f t="shared" si="313"/>
        <v>0.2</v>
      </c>
      <c r="AW378" s="1003">
        <v>0.5</v>
      </c>
      <c r="AX378" s="604">
        <f t="shared" si="314"/>
        <v>0.5</v>
      </c>
      <c r="AY378" s="604">
        <f t="shared" si="315"/>
        <v>250</v>
      </c>
      <c r="AZ378" s="604">
        <f t="shared" si="286"/>
        <v>100</v>
      </c>
      <c r="BA378" s="592">
        <f t="shared" si="287"/>
        <v>3.3000000000000002E-2</v>
      </c>
      <c r="BB378" s="592">
        <f t="shared" si="288"/>
        <v>100</v>
      </c>
      <c r="BC378" s="591">
        <v>0</v>
      </c>
      <c r="BD378" s="591">
        <v>0</v>
      </c>
      <c r="BE378" s="591">
        <v>0</v>
      </c>
      <c r="BF378" s="591">
        <v>0</v>
      </c>
      <c r="BG378" s="591">
        <v>0</v>
      </c>
      <c r="BH378" s="591">
        <v>0</v>
      </c>
      <c r="BI378" s="591">
        <v>0</v>
      </c>
      <c r="BJ378" s="591">
        <v>0</v>
      </c>
      <c r="BK378" s="669">
        <v>24840914</v>
      </c>
      <c r="BL378" s="589">
        <v>24840914</v>
      </c>
      <c r="BM378" s="589">
        <v>0</v>
      </c>
      <c r="BN378" s="589">
        <v>0</v>
      </c>
      <c r="BO378" s="589">
        <v>0</v>
      </c>
      <c r="BP378" s="589">
        <v>0</v>
      </c>
      <c r="BQ378" s="589">
        <v>0</v>
      </c>
      <c r="BR378" s="589">
        <v>0</v>
      </c>
      <c r="BS378" s="589">
        <v>0</v>
      </c>
      <c r="BT378" s="589">
        <v>0</v>
      </c>
      <c r="BU378" s="589">
        <v>0</v>
      </c>
      <c r="BV378" s="588">
        <f t="shared" si="289"/>
        <v>3.3000000000000002E-2</v>
      </c>
      <c r="BW378" s="588">
        <v>0.2</v>
      </c>
      <c r="BX378" s="623">
        <f t="shared" si="316"/>
        <v>0.2</v>
      </c>
      <c r="BY378" s="607">
        <v>0.5</v>
      </c>
      <c r="BZ378" s="629">
        <v>5.000000074505806E-2</v>
      </c>
      <c r="CA378" s="1017">
        <v>7.0000000298023224E-2</v>
      </c>
      <c r="CB378" s="557">
        <f t="shared" si="317"/>
        <v>7.0000000298023224E-2</v>
      </c>
      <c r="CC378" s="557">
        <f t="shared" si="318"/>
        <v>35.000000149011612</v>
      </c>
      <c r="CD378" s="622">
        <f t="shared" si="290"/>
        <v>35.000000149011612</v>
      </c>
      <c r="CE378" s="621">
        <f t="shared" si="291"/>
        <v>1.1550000049173831E-2</v>
      </c>
      <c r="CF378" s="605">
        <f t="shared" si="292"/>
        <v>35.000000149011612</v>
      </c>
      <c r="CG378" s="621">
        <f t="shared" si="293"/>
        <v>1.1550000049173831E-2</v>
      </c>
      <c r="CH378" s="553">
        <f t="shared" si="294"/>
        <v>4.1250000000000002E-2</v>
      </c>
      <c r="CI378" s="634">
        <v>0.25</v>
      </c>
      <c r="CJ378" s="551">
        <f t="shared" si="319"/>
        <v>0.25</v>
      </c>
      <c r="CK378" s="874">
        <v>0</v>
      </c>
      <c r="CL378" s="533">
        <f t="shared" si="320"/>
        <v>0.25</v>
      </c>
      <c r="CM378" s="619">
        <f t="shared" si="321"/>
        <v>0</v>
      </c>
      <c r="CN378" s="619">
        <f t="shared" si="322"/>
        <v>0</v>
      </c>
      <c r="CO378" s="549">
        <f t="shared" si="295"/>
        <v>0</v>
      </c>
      <c r="CP378" s="619">
        <f t="shared" si="296"/>
        <v>0</v>
      </c>
      <c r="CQ378" s="619">
        <f t="shared" si="297"/>
        <v>0</v>
      </c>
      <c r="CR378" s="546">
        <v>0</v>
      </c>
      <c r="CS378" s="546">
        <v>0</v>
      </c>
      <c r="CT378" s="546">
        <v>0</v>
      </c>
      <c r="CU378" s="546">
        <v>0</v>
      </c>
      <c r="CV378" s="546">
        <v>0</v>
      </c>
      <c r="CW378" s="546">
        <v>0</v>
      </c>
      <c r="CX378" s="546">
        <v>0</v>
      </c>
      <c r="CY378" s="546">
        <v>0</v>
      </c>
      <c r="CZ378" s="618">
        <v>0</v>
      </c>
      <c r="DA378" s="618">
        <v>0</v>
      </c>
      <c r="DB378" s="618">
        <v>0</v>
      </c>
      <c r="DC378" s="618">
        <v>0</v>
      </c>
      <c r="DD378" s="618">
        <v>0</v>
      </c>
      <c r="DE378" s="618">
        <v>0</v>
      </c>
      <c r="DF378" s="618">
        <v>0</v>
      </c>
      <c r="DG378" s="618">
        <v>0</v>
      </c>
      <c r="DH378" s="618">
        <v>0</v>
      </c>
      <c r="DI378" s="618">
        <v>0</v>
      </c>
      <c r="DJ378" s="618">
        <v>0</v>
      </c>
      <c r="DK378" s="1034">
        <f t="shared" si="323"/>
        <v>0.9200000002980232</v>
      </c>
      <c r="DL378" s="543">
        <f t="shared" si="298"/>
        <v>0.16500000000000001</v>
      </c>
      <c r="DM378" s="542">
        <f t="shared" si="299"/>
        <v>92.000000029802322</v>
      </c>
      <c r="DN378" s="594">
        <f t="shared" si="300"/>
        <v>92.000000029802322</v>
      </c>
      <c r="DO378" s="540">
        <f t="shared" si="301"/>
        <v>0.15180000004917382</v>
      </c>
      <c r="DP378" s="597">
        <f t="shared" si="325"/>
        <v>0.15180000004917382</v>
      </c>
      <c r="DQ378" s="538">
        <f t="shared" si="302"/>
        <v>0.15180000004917382</v>
      </c>
      <c r="DR378" s="617">
        <f t="shared" si="303"/>
        <v>1</v>
      </c>
      <c r="DS378" s="616">
        <f t="shared" si="304"/>
        <v>0</v>
      </c>
      <c r="DT378" s="259">
        <v>434</v>
      </c>
      <c r="DU378" s="260" t="s">
        <v>261</v>
      </c>
      <c r="DV378" s="259"/>
      <c r="DW378" s="260" t="s">
        <v>242</v>
      </c>
      <c r="DX378" s="259"/>
      <c r="DY378" s="259"/>
      <c r="DZ378" s="259"/>
      <c r="EA378" s="987"/>
      <c r="EB378" s="1041" t="s">
        <v>2681</v>
      </c>
      <c r="EC378" s="802">
        <v>0</v>
      </c>
      <c r="EE378" s="1047"/>
    </row>
    <row r="379" spans="4:135" s="534" customFormat="1" ht="51" hidden="1" x14ac:dyDescent="0.3">
      <c r="D379" s="783">
        <v>376</v>
      </c>
      <c r="E379" s="799">
        <v>439</v>
      </c>
      <c r="F379" s="739" t="s">
        <v>202</v>
      </c>
      <c r="G379" s="739" t="s">
        <v>17</v>
      </c>
      <c r="H379" s="739" t="s">
        <v>150</v>
      </c>
      <c r="I379" s="676" t="s">
        <v>1087</v>
      </c>
      <c r="J379" s="573" t="s">
        <v>1088</v>
      </c>
      <c r="K379" s="573" t="s">
        <v>1089</v>
      </c>
      <c r="L379" s="677" t="s">
        <v>2128</v>
      </c>
      <c r="M379" s="571" t="s">
        <v>2017</v>
      </c>
      <c r="N379" s="571">
        <v>0</v>
      </c>
      <c r="O379" s="570">
        <f t="shared" si="324"/>
        <v>50</v>
      </c>
      <c r="P379" s="569">
        <v>50</v>
      </c>
      <c r="Q379" s="628">
        <v>0.16500000000000001</v>
      </c>
      <c r="R379" s="580">
        <f t="shared" si="282"/>
        <v>3.3000000000000002E-2</v>
      </c>
      <c r="S379" s="627">
        <v>10</v>
      </c>
      <c r="T379" s="625">
        <f t="shared" si="310"/>
        <v>0.2</v>
      </c>
      <c r="U379" s="992">
        <v>2</v>
      </c>
      <c r="V379" s="626">
        <f t="shared" si="311"/>
        <v>2</v>
      </c>
      <c r="W379" s="594">
        <f t="shared" si="312"/>
        <v>20</v>
      </c>
      <c r="X379" s="594">
        <f t="shared" si="283"/>
        <v>20</v>
      </c>
      <c r="Y379" s="594">
        <f t="shared" si="307"/>
        <v>6.6E-3</v>
      </c>
      <c r="Z379" s="594">
        <f t="shared" si="284"/>
        <v>20</v>
      </c>
      <c r="AA379" s="593">
        <v>0</v>
      </c>
      <c r="AB379" s="593">
        <v>0</v>
      </c>
      <c r="AC379" s="593">
        <v>0</v>
      </c>
      <c r="AD379" s="593">
        <v>0</v>
      </c>
      <c r="AE379" s="593">
        <v>0</v>
      </c>
      <c r="AF379" s="593">
        <v>0</v>
      </c>
      <c r="AG379" s="593">
        <v>0</v>
      </c>
      <c r="AH379" s="593">
        <v>0</v>
      </c>
      <c r="AI379" s="593">
        <v>0</v>
      </c>
      <c r="AJ379" s="593">
        <v>0</v>
      </c>
      <c r="AK379" s="593">
        <v>0</v>
      </c>
      <c r="AL379" s="593">
        <v>0</v>
      </c>
      <c r="AM379" s="593">
        <v>0</v>
      </c>
      <c r="AN379" s="593">
        <v>0</v>
      </c>
      <c r="AO379" s="593">
        <v>0</v>
      </c>
      <c r="AP379" s="593">
        <v>0</v>
      </c>
      <c r="AQ379" s="593">
        <v>0</v>
      </c>
      <c r="AR379" s="593">
        <v>0</v>
      </c>
      <c r="AS379" s="593">
        <v>0</v>
      </c>
      <c r="AT379" s="570">
        <f t="shared" si="285"/>
        <v>6.6000000000000003E-2</v>
      </c>
      <c r="AU379" s="571">
        <v>20</v>
      </c>
      <c r="AV379" s="625">
        <f t="shared" si="313"/>
        <v>0.4</v>
      </c>
      <c r="AW379" s="1003">
        <v>0</v>
      </c>
      <c r="AX379" s="604">
        <f t="shared" si="314"/>
        <v>0</v>
      </c>
      <c r="AY379" s="604">
        <f t="shared" si="315"/>
        <v>0</v>
      </c>
      <c r="AZ379" s="604">
        <f t="shared" si="286"/>
        <v>0</v>
      </c>
      <c r="BA379" s="592">
        <f t="shared" si="287"/>
        <v>0</v>
      </c>
      <c r="BB379" s="592">
        <f t="shared" si="288"/>
        <v>0</v>
      </c>
      <c r="BC379" s="591">
        <v>0</v>
      </c>
      <c r="BD379" s="591">
        <v>0</v>
      </c>
      <c r="BE379" s="591">
        <v>0</v>
      </c>
      <c r="BF379" s="591">
        <v>0</v>
      </c>
      <c r="BG379" s="591">
        <v>0</v>
      </c>
      <c r="BH379" s="591">
        <v>0</v>
      </c>
      <c r="BI379" s="591">
        <v>0</v>
      </c>
      <c r="BJ379" s="591">
        <v>0</v>
      </c>
      <c r="BK379" s="669">
        <v>0</v>
      </c>
      <c r="BL379" s="589">
        <v>0</v>
      </c>
      <c r="BM379" s="589">
        <v>0</v>
      </c>
      <c r="BN379" s="589">
        <v>0</v>
      </c>
      <c r="BO379" s="589">
        <v>0</v>
      </c>
      <c r="BP379" s="589">
        <v>0</v>
      </c>
      <c r="BQ379" s="589">
        <v>0</v>
      </c>
      <c r="BR379" s="589">
        <v>0</v>
      </c>
      <c r="BS379" s="589">
        <v>0</v>
      </c>
      <c r="BT379" s="589">
        <v>0</v>
      </c>
      <c r="BU379" s="589">
        <v>0</v>
      </c>
      <c r="BV379" s="588">
        <f t="shared" si="289"/>
        <v>3.3000000000000002E-2</v>
      </c>
      <c r="BW379" s="588">
        <v>10</v>
      </c>
      <c r="BX379" s="623">
        <f t="shared" si="316"/>
        <v>0.2</v>
      </c>
      <c r="BY379" s="607">
        <v>0</v>
      </c>
      <c r="BZ379" s="629">
        <v>28</v>
      </c>
      <c r="CA379" s="1017">
        <v>48</v>
      </c>
      <c r="CB379" s="557">
        <f t="shared" si="317"/>
        <v>48</v>
      </c>
      <c r="CC379" s="557">
        <f t="shared" si="318"/>
        <v>480</v>
      </c>
      <c r="CD379" s="622">
        <f t="shared" si="290"/>
        <v>100</v>
      </c>
      <c r="CE379" s="621">
        <f t="shared" si="291"/>
        <v>3.3000000000000002E-2</v>
      </c>
      <c r="CF379" s="605">
        <f t="shared" si="292"/>
        <v>100</v>
      </c>
      <c r="CG379" s="621">
        <f t="shared" si="293"/>
        <v>0.15839999999999999</v>
      </c>
      <c r="CH379" s="553">
        <f t="shared" si="294"/>
        <v>3.3000000000000002E-2</v>
      </c>
      <c r="CI379" s="552">
        <v>10</v>
      </c>
      <c r="CJ379" s="551">
        <f t="shared" si="319"/>
        <v>0.2</v>
      </c>
      <c r="CK379" s="874">
        <v>0</v>
      </c>
      <c r="CL379" s="533">
        <f t="shared" si="320"/>
        <v>10</v>
      </c>
      <c r="CM379" s="619">
        <f t="shared" si="321"/>
        <v>0</v>
      </c>
      <c r="CN379" s="619">
        <f t="shared" si="322"/>
        <v>0</v>
      </c>
      <c r="CO379" s="549">
        <f t="shared" si="295"/>
        <v>0</v>
      </c>
      <c r="CP379" s="619">
        <f t="shared" si="296"/>
        <v>0</v>
      </c>
      <c r="CQ379" s="619">
        <f t="shared" si="297"/>
        <v>0</v>
      </c>
      <c r="CR379" s="546">
        <v>0</v>
      </c>
      <c r="CS379" s="546">
        <v>0</v>
      </c>
      <c r="CT379" s="546">
        <v>0</v>
      </c>
      <c r="CU379" s="546">
        <v>0</v>
      </c>
      <c r="CV379" s="546">
        <v>0</v>
      </c>
      <c r="CW379" s="546">
        <v>0</v>
      </c>
      <c r="CX379" s="546">
        <v>0</v>
      </c>
      <c r="CY379" s="546">
        <v>0</v>
      </c>
      <c r="CZ379" s="618">
        <v>0</v>
      </c>
      <c r="DA379" s="618">
        <v>0</v>
      </c>
      <c r="DB379" s="618">
        <v>0</v>
      </c>
      <c r="DC379" s="618">
        <v>0</v>
      </c>
      <c r="DD379" s="618">
        <v>0</v>
      </c>
      <c r="DE379" s="618">
        <v>0</v>
      </c>
      <c r="DF379" s="618">
        <v>0</v>
      </c>
      <c r="DG379" s="618">
        <v>0</v>
      </c>
      <c r="DH379" s="618">
        <v>0</v>
      </c>
      <c r="DI379" s="618">
        <v>0</v>
      </c>
      <c r="DJ379" s="618">
        <v>0</v>
      </c>
      <c r="DK379" s="1034">
        <f t="shared" si="323"/>
        <v>50</v>
      </c>
      <c r="DL379" s="543">
        <f t="shared" si="298"/>
        <v>0.16500000000000001</v>
      </c>
      <c r="DM379" s="542">
        <f t="shared" si="299"/>
        <v>100</v>
      </c>
      <c r="DN379" s="594">
        <f t="shared" si="300"/>
        <v>100</v>
      </c>
      <c r="DO379" s="540">
        <f t="shared" si="301"/>
        <v>0.16500000000000001</v>
      </c>
      <c r="DP379" s="597">
        <f t="shared" si="325"/>
        <v>0.16500000000000001</v>
      </c>
      <c r="DQ379" s="538">
        <f t="shared" si="302"/>
        <v>0.16500000000000001</v>
      </c>
      <c r="DR379" s="617">
        <f t="shared" si="303"/>
        <v>1</v>
      </c>
      <c r="DS379" s="616">
        <f t="shared" si="304"/>
        <v>0</v>
      </c>
      <c r="DT379" s="259">
        <v>434</v>
      </c>
      <c r="DU379" s="260" t="s">
        <v>261</v>
      </c>
      <c r="DV379" s="259"/>
      <c r="DW379" s="260" t="s">
        <v>242</v>
      </c>
      <c r="DX379" s="259"/>
      <c r="DY379" s="259"/>
      <c r="DZ379" s="259"/>
      <c r="EA379" s="987"/>
      <c r="EB379" s="1041" t="s">
        <v>2682</v>
      </c>
      <c r="EC379" s="802">
        <v>0</v>
      </c>
      <c r="EE379" s="1047"/>
    </row>
    <row r="380" spans="4:135" s="534" customFormat="1" ht="89.25" hidden="1" x14ac:dyDescent="0.3">
      <c r="D380" s="783">
        <v>377</v>
      </c>
      <c r="E380" s="799">
        <v>443</v>
      </c>
      <c r="F380" s="739" t="s">
        <v>202</v>
      </c>
      <c r="G380" s="739" t="s">
        <v>21</v>
      </c>
      <c r="H380" s="739" t="s">
        <v>151</v>
      </c>
      <c r="I380" s="676" t="s">
        <v>1090</v>
      </c>
      <c r="J380" s="573" t="s">
        <v>1091</v>
      </c>
      <c r="K380" s="573" t="s">
        <v>1092</v>
      </c>
      <c r="L380" s="675" t="s">
        <v>2063</v>
      </c>
      <c r="M380" s="571" t="s">
        <v>2017</v>
      </c>
      <c r="N380" s="575">
        <v>0</v>
      </c>
      <c r="O380" s="570">
        <f t="shared" si="324"/>
        <v>9</v>
      </c>
      <c r="P380" s="663">
        <v>9</v>
      </c>
      <c r="Q380" s="628">
        <v>0.25</v>
      </c>
      <c r="R380" s="580">
        <f t="shared" si="282"/>
        <v>2.7777777777777776E-2</v>
      </c>
      <c r="S380" s="657">
        <v>1</v>
      </c>
      <c r="T380" s="625">
        <f t="shared" si="310"/>
        <v>0.1111111111111111</v>
      </c>
      <c r="U380" s="996">
        <v>2</v>
      </c>
      <c r="V380" s="626">
        <f t="shared" si="311"/>
        <v>2</v>
      </c>
      <c r="W380" s="594">
        <f t="shared" si="312"/>
        <v>200</v>
      </c>
      <c r="X380" s="594">
        <f t="shared" si="283"/>
        <v>100</v>
      </c>
      <c r="Y380" s="594">
        <f t="shared" si="307"/>
        <v>2.7777777777777776E-2</v>
      </c>
      <c r="Z380" s="594">
        <f t="shared" si="284"/>
        <v>100</v>
      </c>
      <c r="AA380" s="653">
        <v>882000000</v>
      </c>
      <c r="AB380" s="653">
        <v>432000000</v>
      </c>
      <c r="AC380" s="653">
        <v>0</v>
      </c>
      <c r="AD380" s="653">
        <v>300000000</v>
      </c>
      <c r="AE380" s="653">
        <v>0</v>
      </c>
      <c r="AF380" s="653">
        <v>0</v>
      </c>
      <c r="AG380" s="653">
        <v>0</v>
      </c>
      <c r="AH380" s="653">
        <v>150000000</v>
      </c>
      <c r="AI380" s="653">
        <v>604825000</v>
      </c>
      <c r="AJ380" s="653">
        <v>432964000</v>
      </c>
      <c r="AK380" s="653">
        <v>0</v>
      </c>
      <c r="AL380" s="653">
        <v>171861000</v>
      </c>
      <c r="AM380" s="653">
        <v>0</v>
      </c>
      <c r="AN380" s="653">
        <v>0</v>
      </c>
      <c r="AO380" s="653">
        <v>0</v>
      </c>
      <c r="AP380" s="653">
        <v>0</v>
      </c>
      <c r="AQ380" s="653">
        <v>0</v>
      </c>
      <c r="AR380" s="653">
        <v>0</v>
      </c>
      <c r="AS380" s="653">
        <v>0</v>
      </c>
      <c r="AT380" s="570">
        <f t="shared" si="285"/>
        <v>5.5555555555555552E-2</v>
      </c>
      <c r="AU380" s="571">
        <v>2</v>
      </c>
      <c r="AV380" s="625">
        <f t="shared" si="313"/>
        <v>0.22222222222222221</v>
      </c>
      <c r="AW380" s="1003">
        <v>2</v>
      </c>
      <c r="AX380" s="604">
        <f t="shared" si="314"/>
        <v>2</v>
      </c>
      <c r="AY380" s="604">
        <f t="shared" si="315"/>
        <v>100</v>
      </c>
      <c r="AZ380" s="604">
        <f t="shared" si="286"/>
        <v>100</v>
      </c>
      <c r="BA380" s="592">
        <f t="shared" si="287"/>
        <v>5.5555555555555552E-2</v>
      </c>
      <c r="BB380" s="592">
        <f t="shared" si="288"/>
        <v>100</v>
      </c>
      <c r="BC380" s="591">
        <v>500000000</v>
      </c>
      <c r="BD380" s="591">
        <v>0</v>
      </c>
      <c r="BE380" s="591">
        <v>500000000</v>
      </c>
      <c r="BF380" s="591">
        <v>0</v>
      </c>
      <c r="BG380" s="591">
        <v>0</v>
      </c>
      <c r="BH380" s="591">
        <v>0</v>
      </c>
      <c r="BI380" s="591">
        <v>0</v>
      </c>
      <c r="BJ380" s="591">
        <v>0</v>
      </c>
      <c r="BK380" s="669">
        <v>500000000</v>
      </c>
      <c r="BL380" s="589">
        <v>500000000</v>
      </c>
      <c r="BM380" s="589">
        <v>0</v>
      </c>
      <c r="BN380" s="589">
        <v>0</v>
      </c>
      <c r="BO380" s="589">
        <v>0</v>
      </c>
      <c r="BP380" s="589">
        <v>0</v>
      </c>
      <c r="BQ380" s="589">
        <v>0</v>
      </c>
      <c r="BR380" s="589">
        <v>0</v>
      </c>
      <c r="BS380" s="589">
        <v>0</v>
      </c>
      <c r="BT380" s="589">
        <v>500000000</v>
      </c>
      <c r="BU380" s="589">
        <v>0</v>
      </c>
      <c r="BV380" s="588">
        <f t="shared" si="289"/>
        <v>8.3333333333333329E-2</v>
      </c>
      <c r="BW380" s="588">
        <v>3</v>
      </c>
      <c r="BX380" s="623">
        <f t="shared" si="316"/>
        <v>0.33333333333333331</v>
      </c>
      <c r="BY380" s="607">
        <v>0</v>
      </c>
      <c r="BZ380" s="629">
        <v>0</v>
      </c>
      <c r="CA380" s="1017">
        <v>1</v>
      </c>
      <c r="CB380" s="557">
        <f t="shared" si="317"/>
        <v>1</v>
      </c>
      <c r="CC380" s="557">
        <f t="shared" si="318"/>
        <v>33.333333333333336</v>
      </c>
      <c r="CD380" s="622">
        <f t="shared" si="290"/>
        <v>33.333333333333336</v>
      </c>
      <c r="CE380" s="621">
        <f t="shared" si="291"/>
        <v>2.7777777777777776E-2</v>
      </c>
      <c r="CF380" s="605">
        <f t="shared" si="292"/>
        <v>33.333333333333336</v>
      </c>
      <c r="CG380" s="621">
        <f t="shared" si="293"/>
        <v>2.7777777777777776E-2</v>
      </c>
      <c r="CH380" s="553">
        <f t="shared" si="294"/>
        <v>8.3333333333333329E-2</v>
      </c>
      <c r="CI380" s="552">
        <v>3</v>
      </c>
      <c r="CJ380" s="551">
        <f t="shared" si="319"/>
        <v>0.33333333333333331</v>
      </c>
      <c r="CK380" s="874">
        <v>0</v>
      </c>
      <c r="CL380" s="533">
        <f t="shared" si="320"/>
        <v>3</v>
      </c>
      <c r="CM380" s="619">
        <f t="shared" si="321"/>
        <v>0</v>
      </c>
      <c r="CN380" s="619">
        <f t="shared" si="322"/>
        <v>0</v>
      </c>
      <c r="CO380" s="549">
        <f t="shared" si="295"/>
        <v>0</v>
      </c>
      <c r="CP380" s="619">
        <f t="shared" si="296"/>
        <v>0</v>
      </c>
      <c r="CQ380" s="619">
        <f t="shared" si="297"/>
        <v>0</v>
      </c>
      <c r="CR380" s="546">
        <v>1000000000</v>
      </c>
      <c r="CS380" s="546">
        <v>1000000000</v>
      </c>
      <c r="CT380" s="546">
        <v>0</v>
      </c>
      <c r="CU380" s="546">
        <v>0</v>
      </c>
      <c r="CV380" s="546">
        <v>0</v>
      </c>
      <c r="CW380" s="546">
        <v>0</v>
      </c>
      <c r="CX380" s="546">
        <v>0</v>
      </c>
      <c r="CY380" s="546">
        <v>0</v>
      </c>
      <c r="CZ380" s="618">
        <v>0</v>
      </c>
      <c r="DA380" s="618">
        <v>0</v>
      </c>
      <c r="DB380" s="618">
        <v>0</v>
      </c>
      <c r="DC380" s="618">
        <v>0</v>
      </c>
      <c r="DD380" s="618">
        <v>0</v>
      </c>
      <c r="DE380" s="618">
        <v>0</v>
      </c>
      <c r="DF380" s="618">
        <v>0</v>
      </c>
      <c r="DG380" s="618">
        <v>0</v>
      </c>
      <c r="DH380" s="618">
        <v>0</v>
      </c>
      <c r="DI380" s="618">
        <v>0</v>
      </c>
      <c r="DJ380" s="618">
        <v>0</v>
      </c>
      <c r="DK380" s="1034">
        <f t="shared" si="323"/>
        <v>5</v>
      </c>
      <c r="DL380" s="543">
        <f t="shared" si="298"/>
        <v>0.25</v>
      </c>
      <c r="DM380" s="542">
        <f t="shared" si="299"/>
        <v>55.555555555555557</v>
      </c>
      <c r="DN380" s="594">
        <f t="shared" si="300"/>
        <v>55.555555555555557</v>
      </c>
      <c r="DO380" s="540">
        <f t="shared" si="301"/>
        <v>0.1388888888888889</v>
      </c>
      <c r="DP380" s="597">
        <f t="shared" si="325"/>
        <v>0.1388888888888889</v>
      </c>
      <c r="DQ380" s="538">
        <f t="shared" si="302"/>
        <v>0.1388888888888889</v>
      </c>
      <c r="DR380" s="617">
        <f t="shared" si="303"/>
        <v>1</v>
      </c>
      <c r="DS380" s="616">
        <f t="shared" si="304"/>
        <v>0</v>
      </c>
      <c r="DT380" s="259">
        <v>440</v>
      </c>
      <c r="DU380" s="260" t="s">
        <v>1093</v>
      </c>
      <c r="DV380" s="259"/>
      <c r="DW380" s="260" t="s">
        <v>242</v>
      </c>
      <c r="DX380" s="259"/>
      <c r="DY380" s="259"/>
      <c r="DZ380" s="259"/>
      <c r="EA380" s="987"/>
      <c r="EB380" s="1041" t="s">
        <v>2683</v>
      </c>
      <c r="EC380" s="802">
        <v>1000000000</v>
      </c>
      <c r="EE380" s="1047"/>
    </row>
    <row r="381" spans="4:135" s="534" customFormat="1" ht="102" hidden="1" x14ac:dyDescent="0.3">
      <c r="D381" s="783">
        <v>378</v>
      </c>
      <c r="E381" s="799">
        <v>444</v>
      </c>
      <c r="F381" s="574" t="s">
        <v>202</v>
      </c>
      <c r="G381" s="574" t="s">
        <v>21</v>
      </c>
      <c r="H381" s="574" t="s">
        <v>151</v>
      </c>
      <c r="I381" s="574" t="s">
        <v>1090</v>
      </c>
      <c r="J381" s="573" t="s">
        <v>1456</v>
      </c>
      <c r="K381" s="573" t="s">
        <v>1094</v>
      </c>
      <c r="L381" s="675" t="s">
        <v>2127</v>
      </c>
      <c r="M381" s="575" t="s">
        <v>2017</v>
      </c>
      <c r="N381" s="575">
        <v>346</v>
      </c>
      <c r="O381" s="570">
        <f t="shared" si="324"/>
        <v>946</v>
      </c>
      <c r="P381" s="663">
        <v>600</v>
      </c>
      <c r="Q381" s="631">
        <v>0.16500000000000001</v>
      </c>
      <c r="R381" s="580">
        <f t="shared" si="282"/>
        <v>1.925E-2</v>
      </c>
      <c r="S381" s="657">
        <v>70</v>
      </c>
      <c r="T381" s="625">
        <f t="shared" si="310"/>
        <v>0.11666666666666667</v>
      </c>
      <c r="U381" s="996">
        <v>155</v>
      </c>
      <c r="V381" s="626">
        <f t="shared" si="311"/>
        <v>155</v>
      </c>
      <c r="W381" s="594">
        <f t="shared" si="312"/>
        <v>221.42857142857142</v>
      </c>
      <c r="X381" s="594">
        <f t="shared" si="283"/>
        <v>100</v>
      </c>
      <c r="Y381" s="594">
        <f t="shared" si="307"/>
        <v>1.925E-2</v>
      </c>
      <c r="Z381" s="594">
        <f t="shared" si="284"/>
        <v>100</v>
      </c>
      <c r="AA381" s="653">
        <v>55000000</v>
      </c>
      <c r="AB381" s="653">
        <v>25000000</v>
      </c>
      <c r="AC381" s="653">
        <v>0</v>
      </c>
      <c r="AD381" s="653">
        <v>0</v>
      </c>
      <c r="AE381" s="653">
        <v>0</v>
      </c>
      <c r="AF381" s="653">
        <v>0</v>
      </c>
      <c r="AG381" s="653">
        <v>0</v>
      </c>
      <c r="AH381" s="653">
        <v>30000000</v>
      </c>
      <c r="AI381" s="653">
        <v>50000000</v>
      </c>
      <c r="AJ381" s="653">
        <v>0</v>
      </c>
      <c r="AK381" s="653">
        <v>0</v>
      </c>
      <c r="AL381" s="653">
        <v>0</v>
      </c>
      <c r="AM381" s="653">
        <v>0</v>
      </c>
      <c r="AN381" s="653">
        <v>0</v>
      </c>
      <c r="AO381" s="653">
        <v>0</v>
      </c>
      <c r="AP381" s="653">
        <v>50000000</v>
      </c>
      <c r="AQ381" s="653">
        <v>0</v>
      </c>
      <c r="AR381" s="653">
        <v>0</v>
      </c>
      <c r="AS381" s="653">
        <v>0</v>
      </c>
      <c r="AT381" s="630">
        <f t="shared" si="285"/>
        <v>3.5750000000000004E-2</v>
      </c>
      <c r="AU381" s="571">
        <v>130</v>
      </c>
      <c r="AV381" s="625">
        <f t="shared" si="313"/>
        <v>0.21666666666666667</v>
      </c>
      <c r="AW381" s="1003">
        <v>134</v>
      </c>
      <c r="AX381" s="604">
        <f t="shared" si="314"/>
        <v>134</v>
      </c>
      <c r="AY381" s="604">
        <f t="shared" si="315"/>
        <v>103.07692307692308</v>
      </c>
      <c r="AZ381" s="604">
        <f t="shared" si="286"/>
        <v>100</v>
      </c>
      <c r="BA381" s="592">
        <f t="shared" si="287"/>
        <v>3.5750000000000004E-2</v>
      </c>
      <c r="BB381" s="592">
        <f t="shared" si="288"/>
        <v>100</v>
      </c>
      <c r="BC381" s="591">
        <v>169000000</v>
      </c>
      <c r="BD381" s="591">
        <v>0</v>
      </c>
      <c r="BE381" s="591">
        <v>169000000</v>
      </c>
      <c r="BF381" s="591">
        <v>0</v>
      </c>
      <c r="BG381" s="591">
        <v>0</v>
      </c>
      <c r="BH381" s="591">
        <v>0</v>
      </c>
      <c r="BI381" s="591">
        <v>0</v>
      </c>
      <c r="BJ381" s="591">
        <v>0</v>
      </c>
      <c r="BK381" s="669">
        <v>48000000</v>
      </c>
      <c r="BL381" s="589">
        <v>48000000</v>
      </c>
      <c r="BM381" s="589">
        <v>0</v>
      </c>
      <c r="BN381" s="589">
        <v>0</v>
      </c>
      <c r="BO381" s="589">
        <v>0</v>
      </c>
      <c r="BP381" s="589">
        <v>0</v>
      </c>
      <c r="BQ381" s="589">
        <v>0</v>
      </c>
      <c r="BR381" s="589">
        <v>0</v>
      </c>
      <c r="BS381" s="589">
        <v>0</v>
      </c>
      <c r="BT381" s="589">
        <v>48000000</v>
      </c>
      <c r="BU381" s="589">
        <v>0</v>
      </c>
      <c r="BV381" s="588">
        <f t="shared" si="289"/>
        <v>5.5E-2</v>
      </c>
      <c r="BW381" s="588">
        <v>200</v>
      </c>
      <c r="BX381" s="623">
        <f t="shared" si="316"/>
        <v>0.33333333333333331</v>
      </c>
      <c r="BY381" s="607">
        <v>81</v>
      </c>
      <c r="BZ381" s="629">
        <v>81</v>
      </c>
      <c r="CA381" s="1017">
        <v>212</v>
      </c>
      <c r="CB381" s="557">
        <f t="shared" si="317"/>
        <v>212</v>
      </c>
      <c r="CC381" s="557">
        <f t="shared" si="318"/>
        <v>106</v>
      </c>
      <c r="CD381" s="622">
        <f t="shared" si="290"/>
        <v>100</v>
      </c>
      <c r="CE381" s="621">
        <f t="shared" si="291"/>
        <v>5.5E-2</v>
      </c>
      <c r="CF381" s="605">
        <f t="shared" si="292"/>
        <v>100</v>
      </c>
      <c r="CG381" s="621">
        <f t="shared" si="293"/>
        <v>5.8299999999999998E-2</v>
      </c>
      <c r="CH381" s="553">
        <f t="shared" si="294"/>
        <v>5.5E-2</v>
      </c>
      <c r="CI381" s="552">
        <v>200</v>
      </c>
      <c r="CJ381" s="551">
        <f t="shared" si="319"/>
        <v>0.33333333333333331</v>
      </c>
      <c r="CK381" s="874">
        <v>200</v>
      </c>
      <c r="CL381" s="533">
        <f t="shared" si="320"/>
        <v>0</v>
      </c>
      <c r="CM381" s="619">
        <f t="shared" si="321"/>
        <v>200</v>
      </c>
      <c r="CN381" s="619">
        <f t="shared" si="322"/>
        <v>100</v>
      </c>
      <c r="CO381" s="549">
        <f t="shared" si="295"/>
        <v>100</v>
      </c>
      <c r="CP381" s="619">
        <f t="shared" si="296"/>
        <v>5.5E-2</v>
      </c>
      <c r="CQ381" s="619">
        <f t="shared" si="297"/>
        <v>5.5E-2</v>
      </c>
      <c r="CR381" s="546">
        <v>300000000</v>
      </c>
      <c r="CS381" s="546">
        <v>300000000</v>
      </c>
      <c r="CT381" s="546">
        <v>0</v>
      </c>
      <c r="CU381" s="546">
        <v>0</v>
      </c>
      <c r="CV381" s="546">
        <v>0</v>
      </c>
      <c r="CW381" s="546">
        <v>0</v>
      </c>
      <c r="CX381" s="546">
        <v>0</v>
      </c>
      <c r="CY381" s="546">
        <v>0</v>
      </c>
      <c r="CZ381" s="618">
        <v>0</v>
      </c>
      <c r="DA381" s="618">
        <v>0</v>
      </c>
      <c r="DB381" s="618">
        <v>0</v>
      </c>
      <c r="DC381" s="618">
        <v>0</v>
      </c>
      <c r="DD381" s="618">
        <v>0</v>
      </c>
      <c r="DE381" s="618">
        <v>0</v>
      </c>
      <c r="DF381" s="618">
        <v>0</v>
      </c>
      <c r="DG381" s="618">
        <v>0</v>
      </c>
      <c r="DH381" s="618">
        <v>0</v>
      </c>
      <c r="DI381" s="618">
        <v>0</v>
      </c>
      <c r="DJ381" s="618">
        <v>0</v>
      </c>
      <c r="DK381" s="1034">
        <f t="shared" si="323"/>
        <v>701</v>
      </c>
      <c r="DL381" s="543">
        <f t="shared" si="298"/>
        <v>0.16500000000000001</v>
      </c>
      <c r="DM381" s="542">
        <f t="shared" si="299"/>
        <v>116.83333333333333</v>
      </c>
      <c r="DN381" s="594">
        <f t="shared" si="300"/>
        <v>100</v>
      </c>
      <c r="DO381" s="540">
        <f t="shared" si="301"/>
        <v>0.16500000000000001</v>
      </c>
      <c r="DP381" s="597">
        <f t="shared" si="325"/>
        <v>0.16500000000000001</v>
      </c>
      <c r="DQ381" s="538">
        <f t="shared" si="302"/>
        <v>0.16500000000000001</v>
      </c>
      <c r="DR381" s="617">
        <f t="shared" si="303"/>
        <v>1</v>
      </c>
      <c r="DS381" s="616">
        <f t="shared" si="304"/>
        <v>0</v>
      </c>
      <c r="DT381" s="259">
        <v>440</v>
      </c>
      <c r="DU381" s="260" t="s">
        <v>1093</v>
      </c>
      <c r="DV381" s="259"/>
      <c r="DW381" s="260" t="s">
        <v>242</v>
      </c>
      <c r="DX381" s="259"/>
      <c r="DY381" s="259"/>
      <c r="DZ381" s="259"/>
      <c r="EA381" s="987"/>
      <c r="EB381" s="1041" t="s">
        <v>2684</v>
      </c>
      <c r="EC381" s="802">
        <v>300000000</v>
      </c>
      <c r="EE381" s="1047"/>
    </row>
    <row r="382" spans="4:135" s="534" customFormat="1" ht="84" hidden="1" x14ac:dyDescent="0.3">
      <c r="D382" s="783">
        <v>379</v>
      </c>
      <c r="E382" s="799">
        <v>445</v>
      </c>
      <c r="F382" s="739" t="s">
        <v>202</v>
      </c>
      <c r="G382" s="739" t="s">
        <v>21</v>
      </c>
      <c r="H382" s="739" t="s">
        <v>151</v>
      </c>
      <c r="I382" s="676" t="s">
        <v>1090</v>
      </c>
      <c r="J382" s="573" t="s">
        <v>1095</v>
      </c>
      <c r="K382" s="573" t="s">
        <v>1096</v>
      </c>
      <c r="L382" s="675" t="s">
        <v>2047</v>
      </c>
      <c r="M382" s="571" t="s">
        <v>2017</v>
      </c>
      <c r="N382" s="575">
        <v>0</v>
      </c>
      <c r="O382" s="570">
        <f t="shared" si="324"/>
        <v>4</v>
      </c>
      <c r="P382" s="663">
        <v>4</v>
      </c>
      <c r="Q382" s="628">
        <v>0.16500000000000001</v>
      </c>
      <c r="R382" s="580">
        <f t="shared" si="282"/>
        <v>4.1250000000000002E-2</v>
      </c>
      <c r="S382" s="657">
        <v>1</v>
      </c>
      <c r="T382" s="575">
        <f t="shared" si="310"/>
        <v>0.25</v>
      </c>
      <c r="U382" s="996">
        <v>1</v>
      </c>
      <c r="V382" s="626">
        <f t="shared" si="311"/>
        <v>1</v>
      </c>
      <c r="W382" s="594">
        <f t="shared" si="312"/>
        <v>100</v>
      </c>
      <c r="X382" s="594">
        <f t="shared" si="283"/>
        <v>100</v>
      </c>
      <c r="Y382" s="594">
        <f t="shared" si="307"/>
        <v>4.1250000000000002E-2</v>
      </c>
      <c r="Z382" s="594">
        <f t="shared" si="284"/>
        <v>100</v>
      </c>
      <c r="AA382" s="653">
        <v>130000000</v>
      </c>
      <c r="AB382" s="653">
        <v>130000000</v>
      </c>
      <c r="AC382" s="653">
        <v>0</v>
      </c>
      <c r="AD382" s="653">
        <v>0</v>
      </c>
      <c r="AE382" s="653">
        <v>0</v>
      </c>
      <c r="AF382" s="653">
        <v>0</v>
      </c>
      <c r="AG382" s="653">
        <v>0</v>
      </c>
      <c r="AH382" s="653">
        <v>0</v>
      </c>
      <c r="AI382" s="653">
        <v>135000000</v>
      </c>
      <c r="AJ382" s="653">
        <v>130000000</v>
      </c>
      <c r="AK382" s="653">
        <v>0</v>
      </c>
      <c r="AL382" s="653">
        <v>5000000</v>
      </c>
      <c r="AM382" s="653">
        <v>0</v>
      </c>
      <c r="AN382" s="653">
        <v>0</v>
      </c>
      <c r="AO382" s="653">
        <v>0</v>
      </c>
      <c r="AP382" s="653">
        <v>0</v>
      </c>
      <c r="AQ382" s="653">
        <v>0</v>
      </c>
      <c r="AR382" s="653">
        <v>0</v>
      </c>
      <c r="AS382" s="653">
        <v>0</v>
      </c>
      <c r="AT382" s="570">
        <f t="shared" si="285"/>
        <v>4.1250000000000002E-2</v>
      </c>
      <c r="AU382" s="571">
        <v>1</v>
      </c>
      <c r="AV382" s="625">
        <f t="shared" si="313"/>
        <v>0.25</v>
      </c>
      <c r="AW382" s="1003">
        <v>1</v>
      </c>
      <c r="AX382" s="604">
        <f t="shared" si="314"/>
        <v>1</v>
      </c>
      <c r="AY382" s="604">
        <f t="shared" si="315"/>
        <v>100</v>
      </c>
      <c r="AZ382" s="604">
        <f t="shared" si="286"/>
        <v>100</v>
      </c>
      <c r="BA382" s="592">
        <f t="shared" si="287"/>
        <v>4.1250000000000002E-2</v>
      </c>
      <c r="BB382" s="592">
        <f t="shared" si="288"/>
        <v>100</v>
      </c>
      <c r="BC382" s="591">
        <v>0</v>
      </c>
      <c r="BD382" s="591">
        <v>0</v>
      </c>
      <c r="BE382" s="591">
        <v>0</v>
      </c>
      <c r="BF382" s="591">
        <v>0</v>
      </c>
      <c r="BG382" s="591">
        <v>0</v>
      </c>
      <c r="BH382" s="591">
        <v>0</v>
      </c>
      <c r="BI382" s="591">
        <v>0</v>
      </c>
      <c r="BJ382" s="591">
        <v>0</v>
      </c>
      <c r="BK382" s="669">
        <v>11948000</v>
      </c>
      <c r="BL382" s="589">
        <v>11948000</v>
      </c>
      <c r="BM382" s="589">
        <v>0</v>
      </c>
      <c r="BN382" s="589">
        <v>0</v>
      </c>
      <c r="BO382" s="589">
        <v>0</v>
      </c>
      <c r="BP382" s="589">
        <v>0</v>
      </c>
      <c r="BQ382" s="589">
        <v>0</v>
      </c>
      <c r="BR382" s="589">
        <v>0</v>
      </c>
      <c r="BS382" s="589">
        <v>0</v>
      </c>
      <c r="BT382" s="589">
        <v>11948000</v>
      </c>
      <c r="BU382" s="589">
        <v>0</v>
      </c>
      <c r="BV382" s="588">
        <f t="shared" si="289"/>
        <v>4.1250000000000002E-2</v>
      </c>
      <c r="BW382" s="588">
        <v>1</v>
      </c>
      <c r="BX382" s="623">
        <f t="shared" si="316"/>
        <v>0.25</v>
      </c>
      <c r="BY382" s="607">
        <v>0</v>
      </c>
      <c r="BZ382" s="629">
        <v>1</v>
      </c>
      <c r="CA382" s="1017">
        <v>1</v>
      </c>
      <c r="CB382" s="557">
        <f t="shared" si="317"/>
        <v>1</v>
      </c>
      <c r="CC382" s="557">
        <f t="shared" si="318"/>
        <v>100</v>
      </c>
      <c r="CD382" s="622">
        <f t="shared" si="290"/>
        <v>100</v>
      </c>
      <c r="CE382" s="621">
        <f t="shared" si="291"/>
        <v>4.1250000000000002E-2</v>
      </c>
      <c r="CF382" s="605">
        <f t="shared" si="292"/>
        <v>100</v>
      </c>
      <c r="CG382" s="621">
        <f t="shared" si="293"/>
        <v>4.1250000000000002E-2</v>
      </c>
      <c r="CH382" s="553">
        <f t="shared" si="294"/>
        <v>4.1250000000000002E-2</v>
      </c>
      <c r="CI382" s="552">
        <v>1</v>
      </c>
      <c r="CJ382" s="551">
        <f t="shared" si="319"/>
        <v>0.25</v>
      </c>
      <c r="CK382" s="874">
        <v>1</v>
      </c>
      <c r="CL382" s="533">
        <f t="shared" si="320"/>
        <v>0</v>
      </c>
      <c r="CM382" s="619">
        <f t="shared" si="321"/>
        <v>1</v>
      </c>
      <c r="CN382" s="619">
        <f t="shared" si="322"/>
        <v>100</v>
      </c>
      <c r="CO382" s="549">
        <f t="shared" si="295"/>
        <v>100</v>
      </c>
      <c r="CP382" s="619">
        <f t="shared" si="296"/>
        <v>4.1250000000000002E-2</v>
      </c>
      <c r="CQ382" s="619">
        <f t="shared" si="297"/>
        <v>4.1250000000000002E-2</v>
      </c>
      <c r="CR382" s="546">
        <v>0</v>
      </c>
      <c r="CS382" s="546">
        <v>0</v>
      </c>
      <c r="CT382" s="546">
        <v>0</v>
      </c>
      <c r="CU382" s="546">
        <v>0</v>
      </c>
      <c r="CV382" s="546">
        <v>0</v>
      </c>
      <c r="CW382" s="546">
        <v>0</v>
      </c>
      <c r="CX382" s="546">
        <v>0</v>
      </c>
      <c r="CY382" s="546">
        <v>0</v>
      </c>
      <c r="CZ382" s="618">
        <v>0</v>
      </c>
      <c r="DA382" s="618">
        <v>0</v>
      </c>
      <c r="DB382" s="618">
        <v>0</v>
      </c>
      <c r="DC382" s="618">
        <v>0</v>
      </c>
      <c r="DD382" s="618">
        <v>0</v>
      </c>
      <c r="DE382" s="618">
        <v>0</v>
      </c>
      <c r="DF382" s="618">
        <v>0</v>
      </c>
      <c r="DG382" s="618">
        <v>0</v>
      </c>
      <c r="DH382" s="618">
        <v>0</v>
      </c>
      <c r="DI382" s="618">
        <v>0</v>
      </c>
      <c r="DJ382" s="618">
        <v>0</v>
      </c>
      <c r="DK382" s="1034">
        <f t="shared" si="323"/>
        <v>4</v>
      </c>
      <c r="DL382" s="543">
        <f t="shared" si="298"/>
        <v>0.16500000000000001</v>
      </c>
      <c r="DM382" s="542">
        <f t="shared" si="299"/>
        <v>100</v>
      </c>
      <c r="DN382" s="594">
        <f t="shared" si="300"/>
        <v>100</v>
      </c>
      <c r="DO382" s="540">
        <f t="shared" si="301"/>
        <v>0.16500000000000001</v>
      </c>
      <c r="DP382" s="597">
        <f t="shared" si="325"/>
        <v>0.16500000000000001</v>
      </c>
      <c r="DQ382" s="538">
        <f t="shared" si="302"/>
        <v>0.16500000000000001</v>
      </c>
      <c r="DR382" s="617">
        <f t="shared" si="303"/>
        <v>1</v>
      </c>
      <c r="DS382" s="616">
        <f t="shared" si="304"/>
        <v>0</v>
      </c>
      <c r="DT382" s="259">
        <v>440</v>
      </c>
      <c r="DU382" s="260" t="s">
        <v>1093</v>
      </c>
      <c r="DV382" s="259"/>
      <c r="DW382" s="260" t="s">
        <v>242</v>
      </c>
      <c r="DX382" s="259"/>
      <c r="DY382" s="259"/>
      <c r="DZ382" s="259"/>
      <c r="EA382" s="987"/>
      <c r="EB382" s="1041" t="s">
        <v>2685</v>
      </c>
      <c r="EC382" s="802">
        <v>0</v>
      </c>
      <c r="EE382" s="1047"/>
    </row>
    <row r="383" spans="4:135" s="534" customFormat="1" ht="84" hidden="1" x14ac:dyDescent="0.3">
      <c r="D383" s="783">
        <v>380</v>
      </c>
      <c r="E383" s="799">
        <v>446</v>
      </c>
      <c r="F383" s="739" t="s">
        <v>202</v>
      </c>
      <c r="G383" s="739" t="s">
        <v>21</v>
      </c>
      <c r="H383" s="739" t="s">
        <v>151</v>
      </c>
      <c r="I383" s="676" t="s">
        <v>1090</v>
      </c>
      <c r="J383" s="573" t="s">
        <v>1097</v>
      </c>
      <c r="K383" s="573" t="s">
        <v>1098</v>
      </c>
      <c r="L383" s="675" t="s">
        <v>2113</v>
      </c>
      <c r="M383" s="571" t="s">
        <v>2017</v>
      </c>
      <c r="N383" s="575">
        <v>0</v>
      </c>
      <c r="O383" s="570">
        <f t="shared" si="324"/>
        <v>2</v>
      </c>
      <c r="P383" s="663">
        <v>2</v>
      </c>
      <c r="Q383" s="628">
        <v>0.25</v>
      </c>
      <c r="R383" s="580">
        <f t="shared" si="282"/>
        <v>0</v>
      </c>
      <c r="S383" s="657">
        <v>0</v>
      </c>
      <c r="T383" s="575">
        <f t="shared" si="310"/>
        <v>0</v>
      </c>
      <c r="U383" s="996">
        <v>0</v>
      </c>
      <c r="V383" s="626">
        <f t="shared" si="311"/>
        <v>0</v>
      </c>
      <c r="W383" s="594">
        <f t="shared" si="312"/>
        <v>0</v>
      </c>
      <c r="X383" s="594">
        <f t="shared" si="283"/>
        <v>0</v>
      </c>
      <c r="Y383" s="594">
        <f t="shared" si="307"/>
        <v>0</v>
      </c>
      <c r="Z383" s="594">
        <f t="shared" si="284"/>
        <v>0</v>
      </c>
      <c r="AA383" s="653">
        <v>0</v>
      </c>
      <c r="AB383" s="653">
        <v>0</v>
      </c>
      <c r="AC383" s="653">
        <v>0</v>
      </c>
      <c r="AD383" s="653">
        <v>0</v>
      </c>
      <c r="AE383" s="653">
        <v>0</v>
      </c>
      <c r="AF383" s="653">
        <v>0</v>
      </c>
      <c r="AG383" s="653">
        <v>0</v>
      </c>
      <c r="AH383" s="653">
        <v>0</v>
      </c>
      <c r="AI383" s="653">
        <v>0</v>
      </c>
      <c r="AJ383" s="653">
        <v>0</v>
      </c>
      <c r="AK383" s="653">
        <v>0</v>
      </c>
      <c r="AL383" s="653">
        <v>0</v>
      </c>
      <c r="AM383" s="653">
        <v>0</v>
      </c>
      <c r="AN383" s="653">
        <v>0</v>
      </c>
      <c r="AO383" s="653">
        <v>0</v>
      </c>
      <c r="AP383" s="653">
        <v>0</v>
      </c>
      <c r="AQ383" s="653">
        <v>0</v>
      </c>
      <c r="AR383" s="653">
        <v>0</v>
      </c>
      <c r="AS383" s="653">
        <v>0</v>
      </c>
      <c r="AT383" s="570">
        <f t="shared" si="285"/>
        <v>0.125</v>
      </c>
      <c r="AU383" s="571">
        <v>1</v>
      </c>
      <c r="AV383" s="625">
        <f t="shared" si="313"/>
        <v>0.5</v>
      </c>
      <c r="AW383" s="1003">
        <v>1</v>
      </c>
      <c r="AX383" s="604">
        <f t="shared" si="314"/>
        <v>1</v>
      </c>
      <c r="AY383" s="604">
        <f t="shared" si="315"/>
        <v>100</v>
      </c>
      <c r="AZ383" s="604">
        <f t="shared" si="286"/>
        <v>100</v>
      </c>
      <c r="BA383" s="592">
        <f t="shared" si="287"/>
        <v>0.125</v>
      </c>
      <c r="BB383" s="592">
        <f t="shared" si="288"/>
        <v>100</v>
      </c>
      <c r="BC383" s="591">
        <v>80000000</v>
      </c>
      <c r="BD383" s="591">
        <v>0</v>
      </c>
      <c r="BE383" s="591">
        <v>80000000</v>
      </c>
      <c r="BF383" s="591">
        <v>0</v>
      </c>
      <c r="BG383" s="591">
        <v>0</v>
      </c>
      <c r="BH383" s="591">
        <v>0</v>
      </c>
      <c r="BI383" s="591">
        <v>0</v>
      </c>
      <c r="BJ383" s="591">
        <v>0</v>
      </c>
      <c r="BK383" s="669">
        <v>80000000</v>
      </c>
      <c r="BL383" s="589">
        <v>80000000</v>
      </c>
      <c r="BM383" s="589">
        <v>0</v>
      </c>
      <c r="BN383" s="589">
        <v>0</v>
      </c>
      <c r="BO383" s="589">
        <v>0</v>
      </c>
      <c r="BP383" s="589">
        <v>0</v>
      </c>
      <c r="BQ383" s="589">
        <v>0</v>
      </c>
      <c r="BR383" s="589">
        <v>0</v>
      </c>
      <c r="BS383" s="589">
        <v>0</v>
      </c>
      <c r="BT383" s="589">
        <v>80000000</v>
      </c>
      <c r="BU383" s="589">
        <v>0</v>
      </c>
      <c r="BV383" s="588">
        <f t="shared" si="289"/>
        <v>0.125</v>
      </c>
      <c r="BW383" s="588">
        <v>1</v>
      </c>
      <c r="BX383" s="623">
        <f t="shared" si="316"/>
        <v>0.5</v>
      </c>
      <c r="BY383" s="607">
        <v>0</v>
      </c>
      <c r="BZ383" s="629">
        <v>0</v>
      </c>
      <c r="CA383" s="1017">
        <v>0</v>
      </c>
      <c r="CB383" s="557">
        <f t="shared" si="317"/>
        <v>0</v>
      </c>
      <c r="CC383" s="557">
        <f t="shared" si="318"/>
        <v>0</v>
      </c>
      <c r="CD383" s="622">
        <f t="shared" si="290"/>
        <v>0</v>
      </c>
      <c r="CE383" s="621">
        <f t="shared" si="291"/>
        <v>0</v>
      </c>
      <c r="CF383" s="605">
        <f t="shared" si="292"/>
        <v>0</v>
      </c>
      <c r="CG383" s="621">
        <f t="shared" si="293"/>
        <v>0</v>
      </c>
      <c r="CH383" s="553">
        <f t="shared" si="294"/>
        <v>0</v>
      </c>
      <c r="CI383" s="552">
        <v>0</v>
      </c>
      <c r="CJ383" s="551">
        <f t="shared" si="319"/>
        <v>0</v>
      </c>
      <c r="CK383" s="874">
        <v>0</v>
      </c>
      <c r="CL383" s="533">
        <f t="shared" si="320"/>
        <v>0</v>
      </c>
      <c r="CM383" s="619">
        <f t="shared" si="321"/>
        <v>0</v>
      </c>
      <c r="CN383" s="619">
        <f t="shared" si="322"/>
        <v>0</v>
      </c>
      <c r="CO383" s="549">
        <f t="shared" si="295"/>
        <v>0</v>
      </c>
      <c r="CP383" s="619">
        <f t="shared" si="296"/>
        <v>0</v>
      </c>
      <c r="CQ383" s="619">
        <f t="shared" si="297"/>
        <v>0</v>
      </c>
      <c r="CR383" s="546">
        <v>0</v>
      </c>
      <c r="CS383" s="546">
        <v>0</v>
      </c>
      <c r="CT383" s="546">
        <v>0</v>
      </c>
      <c r="CU383" s="546">
        <v>0</v>
      </c>
      <c r="CV383" s="546">
        <v>0</v>
      </c>
      <c r="CW383" s="546">
        <v>0</v>
      </c>
      <c r="CX383" s="546">
        <v>0</v>
      </c>
      <c r="CY383" s="546">
        <v>0</v>
      </c>
      <c r="CZ383" s="618">
        <v>0</v>
      </c>
      <c r="DA383" s="618">
        <v>0</v>
      </c>
      <c r="DB383" s="618">
        <v>0</v>
      </c>
      <c r="DC383" s="618">
        <v>0</v>
      </c>
      <c r="DD383" s="618">
        <v>0</v>
      </c>
      <c r="DE383" s="618">
        <v>0</v>
      </c>
      <c r="DF383" s="618">
        <v>0</v>
      </c>
      <c r="DG383" s="618">
        <v>0</v>
      </c>
      <c r="DH383" s="618">
        <v>0</v>
      </c>
      <c r="DI383" s="618">
        <v>0</v>
      </c>
      <c r="DJ383" s="618">
        <v>0</v>
      </c>
      <c r="DK383" s="1034">
        <f t="shared" si="323"/>
        <v>1</v>
      </c>
      <c r="DL383" s="543">
        <f t="shared" si="298"/>
        <v>0.25</v>
      </c>
      <c r="DM383" s="542">
        <f t="shared" si="299"/>
        <v>50</v>
      </c>
      <c r="DN383" s="594">
        <f t="shared" si="300"/>
        <v>50</v>
      </c>
      <c r="DO383" s="540">
        <f t="shared" si="301"/>
        <v>0.125</v>
      </c>
      <c r="DP383" s="597">
        <f t="shared" si="325"/>
        <v>0.125</v>
      </c>
      <c r="DQ383" s="538">
        <f t="shared" si="302"/>
        <v>0.125</v>
      </c>
      <c r="DR383" s="617">
        <f t="shared" si="303"/>
        <v>1</v>
      </c>
      <c r="DS383" s="616">
        <f t="shared" si="304"/>
        <v>0</v>
      </c>
      <c r="DT383" s="259">
        <v>440</v>
      </c>
      <c r="DU383" s="260" t="s">
        <v>1093</v>
      </c>
      <c r="DV383" s="259"/>
      <c r="DW383" s="260" t="s">
        <v>242</v>
      </c>
      <c r="DX383" s="259"/>
      <c r="DY383" s="259"/>
      <c r="DZ383" s="259"/>
      <c r="EA383" s="987"/>
      <c r="EB383" s="1041" t="s">
        <v>2686</v>
      </c>
      <c r="EC383" s="802">
        <v>80000000</v>
      </c>
      <c r="EE383" s="1047"/>
    </row>
    <row r="384" spans="4:135" s="534" customFormat="1" ht="63.75" hidden="1" x14ac:dyDescent="0.3">
      <c r="D384" s="783">
        <v>381</v>
      </c>
      <c r="E384" s="799">
        <v>447</v>
      </c>
      <c r="F384" s="574" t="s">
        <v>202</v>
      </c>
      <c r="G384" s="574" t="s">
        <v>21</v>
      </c>
      <c r="H384" s="576" t="s">
        <v>151</v>
      </c>
      <c r="I384" s="574" t="s">
        <v>1099</v>
      </c>
      <c r="J384" s="573" t="s">
        <v>1457</v>
      </c>
      <c r="K384" s="573" t="s">
        <v>1100</v>
      </c>
      <c r="L384" s="675" t="s">
        <v>1593</v>
      </c>
      <c r="M384" s="565" t="s">
        <v>2017</v>
      </c>
      <c r="N384" s="575">
        <v>52</v>
      </c>
      <c r="O384" s="570">
        <f t="shared" si="324"/>
        <v>92</v>
      </c>
      <c r="P384" s="663">
        <v>40</v>
      </c>
      <c r="Q384" s="631">
        <v>0.25</v>
      </c>
      <c r="R384" s="580">
        <f t="shared" si="282"/>
        <v>3.125E-2</v>
      </c>
      <c r="S384" s="686">
        <v>5</v>
      </c>
      <c r="T384" s="575">
        <f t="shared" si="310"/>
        <v>0.125</v>
      </c>
      <c r="U384" s="996">
        <v>0</v>
      </c>
      <c r="V384" s="626">
        <f t="shared" si="311"/>
        <v>0</v>
      </c>
      <c r="W384" s="594">
        <f t="shared" si="312"/>
        <v>0</v>
      </c>
      <c r="X384" s="594">
        <f t="shared" si="283"/>
        <v>0</v>
      </c>
      <c r="Y384" s="594">
        <f t="shared" si="307"/>
        <v>0</v>
      </c>
      <c r="Z384" s="594">
        <f t="shared" si="284"/>
        <v>0</v>
      </c>
      <c r="AA384" s="653">
        <v>9822000000</v>
      </c>
      <c r="AB384" s="653">
        <v>800000000</v>
      </c>
      <c r="AC384" s="653">
        <v>0</v>
      </c>
      <c r="AD384" s="653">
        <v>0</v>
      </c>
      <c r="AE384" s="653">
        <v>0</v>
      </c>
      <c r="AF384" s="653">
        <v>0</v>
      </c>
      <c r="AG384" s="653">
        <v>0</v>
      </c>
      <c r="AH384" s="653">
        <v>9022000000</v>
      </c>
      <c r="AI384" s="653">
        <v>1738482000</v>
      </c>
      <c r="AJ384" s="653">
        <v>1130000000</v>
      </c>
      <c r="AK384" s="653">
        <v>0</v>
      </c>
      <c r="AL384" s="653">
        <v>608482000</v>
      </c>
      <c r="AM384" s="653">
        <v>0</v>
      </c>
      <c r="AN384" s="653">
        <v>0</v>
      </c>
      <c r="AO384" s="653">
        <v>0</v>
      </c>
      <c r="AP384" s="653">
        <v>0</v>
      </c>
      <c r="AQ384" s="653">
        <v>0</v>
      </c>
      <c r="AR384" s="653">
        <v>0</v>
      </c>
      <c r="AS384" s="653">
        <v>0</v>
      </c>
      <c r="AT384" s="630">
        <f t="shared" si="285"/>
        <v>1.8749999999999999E-2</v>
      </c>
      <c r="AU384" s="571">
        <v>3</v>
      </c>
      <c r="AV384" s="625">
        <f t="shared" si="313"/>
        <v>7.4999999999999997E-2</v>
      </c>
      <c r="AW384" s="1003">
        <v>7</v>
      </c>
      <c r="AX384" s="604">
        <f t="shared" si="314"/>
        <v>7</v>
      </c>
      <c r="AY384" s="604">
        <f t="shared" si="315"/>
        <v>233.33333333333334</v>
      </c>
      <c r="AZ384" s="604">
        <f t="shared" si="286"/>
        <v>100</v>
      </c>
      <c r="BA384" s="592">
        <f t="shared" si="287"/>
        <v>1.8749999999999999E-2</v>
      </c>
      <c r="BB384" s="592">
        <f t="shared" si="288"/>
        <v>100</v>
      </c>
      <c r="BC384" s="591">
        <v>995000000</v>
      </c>
      <c r="BD384" s="591">
        <v>0</v>
      </c>
      <c r="BE384" s="591">
        <v>500000000</v>
      </c>
      <c r="BF384" s="591">
        <v>0</v>
      </c>
      <c r="BG384" s="591">
        <v>0</v>
      </c>
      <c r="BH384" s="591">
        <v>0</v>
      </c>
      <c r="BI384" s="591">
        <v>0</v>
      </c>
      <c r="BJ384" s="591">
        <v>495000000</v>
      </c>
      <c r="BK384" s="669">
        <v>4726602069</v>
      </c>
      <c r="BL384" s="589">
        <v>2527460043</v>
      </c>
      <c r="BM384" s="589">
        <v>0</v>
      </c>
      <c r="BN384" s="589">
        <v>0</v>
      </c>
      <c r="BO384" s="589">
        <v>0</v>
      </c>
      <c r="BP384" s="589">
        <v>2199142000</v>
      </c>
      <c r="BQ384" s="589">
        <v>0</v>
      </c>
      <c r="BR384" s="589">
        <v>26</v>
      </c>
      <c r="BS384" s="589">
        <v>0</v>
      </c>
      <c r="BT384" s="589">
        <v>4726602069</v>
      </c>
      <c r="BU384" s="589">
        <v>0</v>
      </c>
      <c r="BV384" s="588">
        <f t="shared" si="289"/>
        <v>0.13750000000000001</v>
      </c>
      <c r="BW384" s="588">
        <v>22</v>
      </c>
      <c r="BX384" s="623">
        <f t="shared" si="316"/>
        <v>0.55000000000000004</v>
      </c>
      <c r="BY384" s="607">
        <v>26</v>
      </c>
      <c r="BZ384" s="629">
        <v>2</v>
      </c>
      <c r="CA384" s="1017">
        <v>30</v>
      </c>
      <c r="CB384" s="557">
        <f t="shared" si="317"/>
        <v>30</v>
      </c>
      <c r="CC384" s="557">
        <f t="shared" si="318"/>
        <v>136.36363636363637</v>
      </c>
      <c r="CD384" s="622">
        <f t="shared" si="290"/>
        <v>100</v>
      </c>
      <c r="CE384" s="621">
        <f t="shared" si="291"/>
        <v>0.13750000000000001</v>
      </c>
      <c r="CF384" s="605">
        <f t="shared" si="292"/>
        <v>100</v>
      </c>
      <c r="CG384" s="621">
        <f t="shared" si="293"/>
        <v>0.18750000000000003</v>
      </c>
      <c r="CH384" s="553">
        <f t="shared" si="294"/>
        <v>6.25E-2</v>
      </c>
      <c r="CI384" s="552">
        <v>10</v>
      </c>
      <c r="CJ384" s="551">
        <f t="shared" si="319"/>
        <v>0.25</v>
      </c>
      <c r="CK384" s="874">
        <v>5</v>
      </c>
      <c r="CL384" s="533">
        <f t="shared" si="320"/>
        <v>5</v>
      </c>
      <c r="CM384" s="619">
        <f t="shared" si="321"/>
        <v>5</v>
      </c>
      <c r="CN384" s="619">
        <f t="shared" si="322"/>
        <v>50</v>
      </c>
      <c r="CO384" s="549">
        <f t="shared" si="295"/>
        <v>50</v>
      </c>
      <c r="CP384" s="619">
        <f t="shared" si="296"/>
        <v>3.125E-2</v>
      </c>
      <c r="CQ384" s="619">
        <f t="shared" si="297"/>
        <v>3.125E-2</v>
      </c>
      <c r="CR384" s="546">
        <v>2495000000</v>
      </c>
      <c r="CS384" s="546">
        <v>2000000000</v>
      </c>
      <c r="CT384" s="546">
        <v>0</v>
      </c>
      <c r="CU384" s="546">
        <v>0</v>
      </c>
      <c r="CV384" s="546">
        <v>0</v>
      </c>
      <c r="CW384" s="546">
        <v>0</v>
      </c>
      <c r="CX384" s="546">
        <v>0</v>
      </c>
      <c r="CY384" s="546">
        <v>495000000</v>
      </c>
      <c r="CZ384" s="618">
        <v>0</v>
      </c>
      <c r="DA384" s="618">
        <v>0</v>
      </c>
      <c r="DB384" s="618">
        <v>0</v>
      </c>
      <c r="DC384" s="618">
        <v>0</v>
      </c>
      <c r="DD384" s="618">
        <v>0</v>
      </c>
      <c r="DE384" s="618">
        <v>0</v>
      </c>
      <c r="DF384" s="618">
        <v>0</v>
      </c>
      <c r="DG384" s="618">
        <v>0</v>
      </c>
      <c r="DH384" s="618">
        <v>0</v>
      </c>
      <c r="DI384" s="618">
        <v>0</v>
      </c>
      <c r="DJ384" s="618">
        <v>0</v>
      </c>
      <c r="DK384" s="1034">
        <f t="shared" si="323"/>
        <v>42</v>
      </c>
      <c r="DL384" s="543">
        <f t="shared" si="298"/>
        <v>0.25</v>
      </c>
      <c r="DM384" s="542">
        <f t="shared" si="299"/>
        <v>105</v>
      </c>
      <c r="DN384" s="594">
        <f t="shared" si="300"/>
        <v>100</v>
      </c>
      <c r="DO384" s="540">
        <f t="shared" si="301"/>
        <v>0.25</v>
      </c>
      <c r="DP384" s="597">
        <f t="shared" si="325"/>
        <v>0.25</v>
      </c>
      <c r="DQ384" s="538">
        <f t="shared" si="302"/>
        <v>0.25</v>
      </c>
      <c r="DR384" s="617">
        <f t="shared" si="303"/>
        <v>1</v>
      </c>
      <c r="DS384" s="616">
        <f t="shared" si="304"/>
        <v>0</v>
      </c>
      <c r="DT384" s="259">
        <v>442</v>
      </c>
      <c r="DU384" s="260" t="s">
        <v>1101</v>
      </c>
      <c r="DV384" s="259"/>
      <c r="DW384" s="260" t="s">
        <v>242</v>
      </c>
      <c r="DX384" s="259"/>
      <c r="DY384" s="259"/>
      <c r="DZ384" s="259"/>
      <c r="EA384" s="987"/>
      <c r="EB384" s="1041" t="s">
        <v>2687</v>
      </c>
      <c r="EC384" s="802">
        <v>1995000000</v>
      </c>
      <c r="EE384" s="1047"/>
    </row>
    <row r="385" spans="4:135" s="534" customFormat="1" ht="51" hidden="1" x14ac:dyDescent="0.3">
      <c r="D385" s="783">
        <v>382</v>
      </c>
      <c r="E385" s="799">
        <v>448</v>
      </c>
      <c r="F385" s="574" t="s">
        <v>202</v>
      </c>
      <c r="G385" s="574" t="s">
        <v>21</v>
      </c>
      <c r="H385" s="576" t="s">
        <v>151</v>
      </c>
      <c r="I385" s="574" t="s">
        <v>1099</v>
      </c>
      <c r="J385" s="573" t="s">
        <v>1458</v>
      </c>
      <c r="K385" s="573" t="s">
        <v>1102</v>
      </c>
      <c r="L385" s="675" t="s">
        <v>2126</v>
      </c>
      <c r="M385" s="571" t="s">
        <v>2017</v>
      </c>
      <c r="N385" s="575">
        <v>0</v>
      </c>
      <c r="O385" s="570">
        <f t="shared" si="324"/>
        <v>400</v>
      </c>
      <c r="P385" s="663">
        <v>400</v>
      </c>
      <c r="Q385" s="631">
        <v>0.16500000000000001</v>
      </c>
      <c r="R385" s="580">
        <f t="shared" si="282"/>
        <v>2.0625000000000001E-2</v>
      </c>
      <c r="S385" s="686">
        <v>50</v>
      </c>
      <c r="T385" s="575">
        <f t="shared" si="310"/>
        <v>0.125</v>
      </c>
      <c r="U385" s="996">
        <v>0</v>
      </c>
      <c r="V385" s="626">
        <f t="shared" si="311"/>
        <v>0</v>
      </c>
      <c r="W385" s="594">
        <f t="shared" si="312"/>
        <v>0</v>
      </c>
      <c r="X385" s="594">
        <f t="shared" si="283"/>
        <v>0</v>
      </c>
      <c r="Y385" s="594">
        <f t="shared" si="307"/>
        <v>0</v>
      </c>
      <c r="Z385" s="594">
        <f t="shared" si="284"/>
        <v>0</v>
      </c>
      <c r="AA385" s="653">
        <v>785000000</v>
      </c>
      <c r="AB385" s="653">
        <v>785000000</v>
      </c>
      <c r="AC385" s="653">
        <v>0</v>
      </c>
      <c r="AD385" s="653">
        <v>0</v>
      </c>
      <c r="AE385" s="653">
        <v>0</v>
      </c>
      <c r="AF385" s="653">
        <v>0</v>
      </c>
      <c r="AG385" s="653">
        <v>0</v>
      </c>
      <c r="AH385" s="653">
        <v>0</v>
      </c>
      <c r="AI385" s="653">
        <v>835160000</v>
      </c>
      <c r="AJ385" s="653">
        <v>796660000</v>
      </c>
      <c r="AK385" s="653">
        <v>0</v>
      </c>
      <c r="AL385" s="653">
        <v>38500000</v>
      </c>
      <c r="AM385" s="653">
        <v>0</v>
      </c>
      <c r="AN385" s="653">
        <v>0</v>
      </c>
      <c r="AO385" s="653">
        <v>0</v>
      </c>
      <c r="AP385" s="653">
        <v>0</v>
      </c>
      <c r="AQ385" s="653">
        <v>0</v>
      </c>
      <c r="AR385" s="653">
        <v>0</v>
      </c>
      <c r="AS385" s="653">
        <v>0</v>
      </c>
      <c r="AT385" s="630">
        <f t="shared" si="285"/>
        <v>2.0625000000000001E-2</v>
      </c>
      <c r="AU385" s="571">
        <v>50</v>
      </c>
      <c r="AV385" s="625">
        <f t="shared" si="313"/>
        <v>0.125</v>
      </c>
      <c r="AW385" s="1003">
        <v>74</v>
      </c>
      <c r="AX385" s="604">
        <f t="shared" si="314"/>
        <v>74</v>
      </c>
      <c r="AY385" s="604">
        <f t="shared" si="315"/>
        <v>148</v>
      </c>
      <c r="AZ385" s="604">
        <f t="shared" si="286"/>
        <v>100</v>
      </c>
      <c r="BA385" s="592">
        <f t="shared" si="287"/>
        <v>2.0625000000000001E-2</v>
      </c>
      <c r="BB385" s="592">
        <f t="shared" si="288"/>
        <v>100</v>
      </c>
      <c r="BC385" s="591">
        <v>499000000</v>
      </c>
      <c r="BD385" s="591">
        <v>0</v>
      </c>
      <c r="BE385" s="591">
        <v>499000000</v>
      </c>
      <c r="BF385" s="591">
        <v>0</v>
      </c>
      <c r="BG385" s="591">
        <v>0</v>
      </c>
      <c r="BH385" s="591">
        <v>0</v>
      </c>
      <c r="BI385" s="591">
        <v>0</v>
      </c>
      <c r="BJ385" s="591">
        <v>0</v>
      </c>
      <c r="BK385" s="669">
        <v>1547119227</v>
      </c>
      <c r="BL385" s="589">
        <v>502000000</v>
      </c>
      <c r="BM385" s="589">
        <v>0</v>
      </c>
      <c r="BN385" s="589">
        <v>0</v>
      </c>
      <c r="BO385" s="589">
        <v>0</v>
      </c>
      <c r="BP385" s="589">
        <v>1045119227</v>
      </c>
      <c r="BQ385" s="589">
        <v>0</v>
      </c>
      <c r="BR385" s="589">
        <v>0</v>
      </c>
      <c r="BS385" s="589">
        <v>0</v>
      </c>
      <c r="BT385" s="589">
        <v>1547119227</v>
      </c>
      <c r="BU385" s="589">
        <v>0</v>
      </c>
      <c r="BV385" s="588">
        <f t="shared" si="289"/>
        <v>4.1250000000000002E-2</v>
      </c>
      <c r="BW385" s="588">
        <v>100</v>
      </c>
      <c r="BX385" s="623">
        <f t="shared" si="316"/>
        <v>0.25</v>
      </c>
      <c r="BY385" s="607">
        <v>0</v>
      </c>
      <c r="BZ385" s="629">
        <v>54</v>
      </c>
      <c r="CA385" s="1017">
        <v>123</v>
      </c>
      <c r="CB385" s="557">
        <f t="shared" si="317"/>
        <v>123</v>
      </c>
      <c r="CC385" s="557">
        <f t="shared" si="318"/>
        <v>123</v>
      </c>
      <c r="CD385" s="622">
        <f t="shared" si="290"/>
        <v>100</v>
      </c>
      <c r="CE385" s="621">
        <f t="shared" si="291"/>
        <v>4.1250000000000002E-2</v>
      </c>
      <c r="CF385" s="605">
        <f t="shared" si="292"/>
        <v>100</v>
      </c>
      <c r="CG385" s="621">
        <f t="shared" si="293"/>
        <v>5.0737500000000005E-2</v>
      </c>
      <c r="CH385" s="553">
        <f t="shared" si="294"/>
        <v>8.2500000000000004E-2</v>
      </c>
      <c r="CI385" s="552">
        <v>200</v>
      </c>
      <c r="CJ385" s="551">
        <f t="shared" si="319"/>
        <v>0.5</v>
      </c>
      <c r="CK385" s="874">
        <v>0</v>
      </c>
      <c r="CL385" s="533">
        <f t="shared" si="320"/>
        <v>200</v>
      </c>
      <c r="CM385" s="619">
        <f t="shared" si="321"/>
        <v>0</v>
      </c>
      <c r="CN385" s="619">
        <f t="shared" si="322"/>
        <v>0</v>
      </c>
      <c r="CO385" s="549">
        <f t="shared" si="295"/>
        <v>0</v>
      </c>
      <c r="CP385" s="619">
        <f t="shared" si="296"/>
        <v>0</v>
      </c>
      <c r="CQ385" s="619">
        <f t="shared" si="297"/>
        <v>0</v>
      </c>
      <c r="CR385" s="546">
        <v>529000000</v>
      </c>
      <c r="CS385" s="546">
        <v>529000000</v>
      </c>
      <c r="CT385" s="546">
        <v>0</v>
      </c>
      <c r="CU385" s="546">
        <v>0</v>
      </c>
      <c r="CV385" s="546">
        <v>0</v>
      </c>
      <c r="CW385" s="546">
        <v>0</v>
      </c>
      <c r="CX385" s="546">
        <v>0</v>
      </c>
      <c r="CY385" s="546">
        <v>0</v>
      </c>
      <c r="CZ385" s="618">
        <v>0</v>
      </c>
      <c r="DA385" s="618">
        <v>0</v>
      </c>
      <c r="DB385" s="618">
        <v>0</v>
      </c>
      <c r="DC385" s="618">
        <v>0</v>
      </c>
      <c r="DD385" s="618">
        <v>0</v>
      </c>
      <c r="DE385" s="618">
        <v>0</v>
      </c>
      <c r="DF385" s="618">
        <v>0</v>
      </c>
      <c r="DG385" s="618">
        <v>0</v>
      </c>
      <c r="DH385" s="618">
        <v>0</v>
      </c>
      <c r="DI385" s="618">
        <v>0</v>
      </c>
      <c r="DJ385" s="618">
        <v>0</v>
      </c>
      <c r="DK385" s="1034">
        <f t="shared" si="323"/>
        <v>197</v>
      </c>
      <c r="DL385" s="543">
        <f t="shared" si="298"/>
        <v>0.16500000000000001</v>
      </c>
      <c r="DM385" s="542">
        <f t="shared" si="299"/>
        <v>49.25</v>
      </c>
      <c r="DN385" s="594">
        <f t="shared" si="300"/>
        <v>49.25</v>
      </c>
      <c r="DO385" s="540">
        <f t="shared" si="301"/>
        <v>8.1262500000000001E-2</v>
      </c>
      <c r="DP385" s="597">
        <f t="shared" si="325"/>
        <v>8.1262500000000001E-2</v>
      </c>
      <c r="DQ385" s="538">
        <f t="shared" si="302"/>
        <v>8.1262500000000001E-2</v>
      </c>
      <c r="DR385" s="617">
        <f t="shared" si="303"/>
        <v>1</v>
      </c>
      <c r="DS385" s="616">
        <f t="shared" si="304"/>
        <v>0</v>
      </c>
      <c r="DT385" s="259">
        <v>441</v>
      </c>
      <c r="DU385" s="260" t="s">
        <v>1103</v>
      </c>
      <c r="DV385" s="259"/>
      <c r="DW385" s="260" t="s">
        <v>242</v>
      </c>
      <c r="DX385" s="259"/>
      <c r="DY385" s="259"/>
      <c r="DZ385" s="259"/>
      <c r="EA385" s="987"/>
      <c r="EB385" s="1041" t="s">
        <v>2688</v>
      </c>
      <c r="EC385" s="802">
        <v>514000000</v>
      </c>
      <c r="EE385" s="1047"/>
    </row>
    <row r="386" spans="4:135" s="534" customFormat="1" ht="96" hidden="1" x14ac:dyDescent="0.3">
      <c r="D386" s="783">
        <v>383</v>
      </c>
      <c r="E386" s="799">
        <v>451</v>
      </c>
      <c r="F386" s="739" t="s">
        <v>202</v>
      </c>
      <c r="G386" s="739" t="s">
        <v>15</v>
      </c>
      <c r="H386" s="791" t="s">
        <v>152</v>
      </c>
      <c r="I386" s="676" t="s">
        <v>1104</v>
      </c>
      <c r="J386" s="573" t="s">
        <v>1105</v>
      </c>
      <c r="K386" s="573" t="s">
        <v>1106</v>
      </c>
      <c r="L386" s="677" t="s">
        <v>2125</v>
      </c>
      <c r="M386" s="566" t="s">
        <v>2017</v>
      </c>
      <c r="N386" s="575">
        <v>1751</v>
      </c>
      <c r="O386" s="570">
        <f t="shared" si="324"/>
        <v>2001</v>
      </c>
      <c r="P386" s="663">
        <v>250</v>
      </c>
      <c r="Q386" s="628">
        <v>0.33</v>
      </c>
      <c r="R386" s="580">
        <f t="shared" si="282"/>
        <v>3.3000000000000002E-2</v>
      </c>
      <c r="S386" s="686">
        <v>25</v>
      </c>
      <c r="T386" s="575">
        <f t="shared" si="310"/>
        <v>0.1</v>
      </c>
      <c r="U386" s="997">
        <v>72</v>
      </c>
      <c r="V386" s="626">
        <f t="shared" si="311"/>
        <v>72</v>
      </c>
      <c r="W386" s="594">
        <f t="shared" si="312"/>
        <v>288</v>
      </c>
      <c r="X386" s="594">
        <f t="shared" si="283"/>
        <v>100</v>
      </c>
      <c r="Y386" s="594">
        <f t="shared" si="307"/>
        <v>3.3000000000000002E-2</v>
      </c>
      <c r="Z386" s="594">
        <f t="shared" si="284"/>
        <v>100</v>
      </c>
      <c r="AA386" s="685">
        <v>5419000000</v>
      </c>
      <c r="AB386" s="685">
        <v>5419000000</v>
      </c>
      <c r="AC386" s="685">
        <v>0</v>
      </c>
      <c r="AD386" s="685">
        <v>0</v>
      </c>
      <c r="AE386" s="685">
        <v>0</v>
      </c>
      <c r="AF386" s="685">
        <v>0</v>
      </c>
      <c r="AG386" s="685">
        <v>0</v>
      </c>
      <c r="AH386" s="685">
        <v>0</v>
      </c>
      <c r="AI386" s="685">
        <v>37646475000</v>
      </c>
      <c r="AJ386" s="685">
        <v>37646475000</v>
      </c>
      <c r="AK386" s="685">
        <v>0</v>
      </c>
      <c r="AL386" s="685">
        <v>0</v>
      </c>
      <c r="AM386" s="685">
        <v>0</v>
      </c>
      <c r="AN386" s="685">
        <v>0</v>
      </c>
      <c r="AO386" s="685">
        <v>0</v>
      </c>
      <c r="AP386" s="685">
        <v>0</v>
      </c>
      <c r="AQ386" s="685">
        <v>0</v>
      </c>
      <c r="AR386" s="685">
        <v>0</v>
      </c>
      <c r="AS386" s="685">
        <v>0</v>
      </c>
      <c r="AT386" s="570">
        <f t="shared" si="285"/>
        <v>0.13068000000000002</v>
      </c>
      <c r="AU386" s="566">
        <v>99</v>
      </c>
      <c r="AV386" s="625">
        <f t="shared" si="313"/>
        <v>0.39600000000000002</v>
      </c>
      <c r="AW386" s="1003">
        <v>315</v>
      </c>
      <c r="AX386" s="604">
        <f t="shared" si="314"/>
        <v>315</v>
      </c>
      <c r="AY386" s="604">
        <f t="shared" si="315"/>
        <v>318.18181818181819</v>
      </c>
      <c r="AZ386" s="604">
        <f t="shared" si="286"/>
        <v>100</v>
      </c>
      <c r="BA386" s="592">
        <f t="shared" si="287"/>
        <v>0.13068000000000002</v>
      </c>
      <c r="BB386" s="592">
        <f t="shared" si="288"/>
        <v>100</v>
      </c>
      <c r="BC386" s="591">
        <v>99101000000</v>
      </c>
      <c r="BD386" s="591">
        <v>0</v>
      </c>
      <c r="BE386" s="591">
        <v>40351000</v>
      </c>
      <c r="BF386" s="591">
        <v>0</v>
      </c>
      <c r="BG386" s="591">
        <v>0</v>
      </c>
      <c r="BH386" s="591">
        <v>0</v>
      </c>
      <c r="BI386" s="591">
        <v>0</v>
      </c>
      <c r="BJ386" s="591">
        <v>58750000</v>
      </c>
      <c r="BK386" s="669">
        <v>73110349994</v>
      </c>
      <c r="BL386" s="589">
        <v>69905430205</v>
      </c>
      <c r="BM386" s="589">
        <v>0</v>
      </c>
      <c r="BN386" s="589">
        <v>0</v>
      </c>
      <c r="BO386" s="589">
        <v>0</v>
      </c>
      <c r="BP386" s="589">
        <v>3204919789</v>
      </c>
      <c r="BQ386" s="589">
        <v>0</v>
      </c>
      <c r="BR386" s="589">
        <v>0</v>
      </c>
      <c r="BS386" s="589">
        <v>0</v>
      </c>
      <c r="BT386" s="589">
        <v>0</v>
      </c>
      <c r="BU386" s="589">
        <v>0</v>
      </c>
      <c r="BV386" s="588">
        <f t="shared" si="289"/>
        <v>9.6360000000000001E-2</v>
      </c>
      <c r="BW386" s="588">
        <v>73</v>
      </c>
      <c r="BX386" s="623">
        <f t="shared" si="316"/>
        <v>0.29199999999999998</v>
      </c>
      <c r="BY386" s="607">
        <v>329.489990234375</v>
      </c>
      <c r="BZ386" s="629">
        <v>329.489990234375</v>
      </c>
      <c r="CA386" s="1017">
        <v>429.30999755859375</v>
      </c>
      <c r="CB386" s="557">
        <f t="shared" si="317"/>
        <v>429.30999755859375</v>
      </c>
      <c r="CC386" s="557">
        <f t="shared" si="318"/>
        <v>588.09588706656677</v>
      </c>
      <c r="CD386" s="622">
        <f t="shared" si="290"/>
        <v>100</v>
      </c>
      <c r="CE386" s="621">
        <f t="shared" si="291"/>
        <v>9.6359999999999987E-2</v>
      </c>
      <c r="CF386" s="605">
        <f t="shared" si="292"/>
        <v>100</v>
      </c>
      <c r="CG386" s="621">
        <f t="shared" si="293"/>
        <v>0.56668919677734375</v>
      </c>
      <c r="CH386" s="553">
        <f t="shared" si="294"/>
        <v>6.9959999999999994E-2</v>
      </c>
      <c r="CI386" s="552">
        <v>53</v>
      </c>
      <c r="CJ386" s="551">
        <f t="shared" si="319"/>
        <v>0.21199999999999999</v>
      </c>
      <c r="CK386" s="874">
        <v>43</v>
      </c>
      <c r="CL386" s="533">
        <f t="shared" si="320"/>
        <v>10</v>
      </c>
      <c r="CM386" s="619">
        <f t="shared" si="321"/>
        <v>43</v>
      </c>
      <c r="CN386" s="619">
        <f t="shared" si="322"/>
        <v>81.132075471698116</v>
      </c>
      <c r="CO386" s="549">
        <f t="shared" si="295"/>
        <v>81.132075471698116</v>
      </c>
      <c r="CP386" s="619">
        <f t="shared" si="296"/>
        <v>5.6760000000000005E-2</v>
      </c>
      <c r="CQ386" s="619">
        <f t="shared" si="297"/>
        <v>5.6760000000000005E-2</v>
      </c>
      <c r="CR386" s="546">
        <v>77285000000</v>
      </c>
      <c r="CS386" s="546">
        <v>18535000</v>
      </c>
      <c r="CT386" s="546">
        <v>0</v>
      </c>
      <c r="CU386" s="546">
        <v>0</v>
      </c>
      <c r="CV386" s="546">
        <v>0</v>
      </c>
      <c r="CW386" s="546">
        <v>0</v>
      </c>
      <c r="CX386" s="546">
        <v>0</v>
      </c>
      <c r="CY386" s="546">
        <v>58750000</v>
      </c>
      <c r="CZ386" s="618">
        <v>0</v>
      </c>
      <c r="DA386" s="618">
        <v>0</v>
      </c>
      <c r="DB386" s="618">
        <v>0</v>
      </c>
      <c r="DC386" s="618">
        <v>0</v>
      </c>
      <c r="DD386" s="618">
        <v>0</v>
      </c>
      <c r="DE386" s="618">
        <v>0</v>
      </c>
      <c r="DF386" s="618">
        <v>0</v>
      </c>
      <c r="DG386" s="618">
        <v>0</v>
      </c>
      <c r="DH386" s="618">
        <v>0</v>
      </c>
      <c r="DI386" s="618">
        <v>0</v>
      </c>
      <c r="DJ386" s="618">
        <v>0</v>
      </c>
      <c r="DK386" s="1034">
        <f t="shared" si="323"/>
        <v>859.30999755859375</v>
      </c>
      <c r="DL386" s="543">
        <f t="shared" si="298"/>
        <v>0.33000000000000007</v>
      </c>
      <c r="DM386" s="542">
        <f t="shared" si="299"/>
        <v>343.7239990234375</v>
      </c>
      <c r="DN386" s="594">
        <f t="shared" si="300"/>
        <v>100</v>
      </c>
      <c r="DO386" s="540">
        <f t="shared" si="301"/>
        <v>0.33</v>
      </c>
      <c r="DP386" s="597">
        <f t="shared" si="325"/>
        <v>0.33</v>
      </c>
      <c r="DQ386" s="538">
        <f t="shared" si="302"/>
        <v>0.33</v>
      </c>
      <c r="DR386" s="617">
        <f t="shared" si="303"/>
        <v>1</v>
      </c>
      <c r="DS386" s="616">
        <f t="shared" si="304"/>
        <v>0</v>
      </c>
      <c r="DT386" s="259">
        <v>449</v>
      </c>
      <c r="DU386" s="260" t="s">
        <v>1107</v>
      </c>
      <c r="DV386" s="259">
        <v>450</v>
      </c>
      <c r="DW386" s="260" t="s">
        <v>1108</v>
      </c>
      <c r="DX386" s="259"/>
      <c r="DY386" s="259"/>
      <c r="DZ386" s="259"/>
      <c r="EA386" s="987"/>
      <c r="EB386" s="1041" t="s">
        <v>2689</v>
      </c>
      <c r="EC386" s="802">
        <v>0</v>
      </c>
      <c r="EE386" s="1047"/>
    </row>
    <row r="387" spans="4:135" s="534" customFormat="1" ht="96" hidden="1" x14ac:dyDescent="0.3">
      <c r="D387" s="783">
        <v>384</v>
      </c>
      <c r="E387" s="799">
        <v>452</v>
      </c>
      <c r="F387" s="739" t="s">
        <v>202</v>
      </c>
      <c r="G387" s="739" t="s">
        <v>15</v>
      </c>
      <c r="H387" s="739" t="s">
        <v>152</v>
      </c>
      <c r="I387" s="676" t="s">
        <v>1104</v>
      </c>
      <c r="J387" s="573" t="s">
        <v>1109</v>
      </c>
      <c r="K387" s="573" t="s">
        <v>1110</v>
      </c>
      <c r="L387" s="677" t="s">
        <v>2125</v>
      </c>
      <c r="M387" s="571" t="s">
        <v>2017</v>
      </c>
      <c r="N387" s="575">
        <v>0</v>
      </c>
      <c r="O387" s="570">
        <f t="shared" si="324"/>
        <v>3000</v>
      </c>
      <c r="P387" s="663">
        <v>3000</v>
      </c>
      <c r="Q387" s="628">
        <v>0.25</v>
      </c>
      <c r="R387" s="580">
        <f t="shared" si="282"/>
        <v>6.25E-2</v>
      </c>
      <c r="S387" s="657">
        <v>750</v>
      </c>
      <c r="T387" s="575">
        <f t="shared" si="310"/>
        <v>0.25</v>
      </c>
      <c r="U387" s="996">
        <v>347</v>
      </c>
      <c r="V387" s="626">
        <f t="shared" si="311"/>
        <v>347</v>
      </c>
      <c r="W387" s="594">
        <f t="shared" si="312"/>
        <v>46.266666666666666</v>
      </c>
      <c r="X387" s="594">
        <f t="shared" si="283"/>
        <v>46.266666666666666</v>
      </c>
      <c r="Y387" s="594">
        <f t="shared" si="307"/>
        <v>2.8916666666666667E-2</v>
      </c>
      <c r="Z387" s="594">
        <f t="shared" si="284"/>
        <v>46.266666666666666</v>
      </c>
      <c r="AA387" s="653">
        <v>5393000000</v>
      </c>
      <c r="AB387" s="653">
        <v>5393000000</v>
      </c>
      <c r="AC387" s="653">
        <v>0</v>
      </c>
      <c r="AD387" s="653">
        <v>0</v>
      </c>
      <c r="AE387" s="653">
        <v>0</v>
      </c>
      <c r="AF387" s="653">
        <v>0</v>
      </c>
      <c r="AG387" s="653">
        <v>0</v>
      </c>
      <c r="AH387" s="653">
        <v>0</v>
      </c>
      <c r="AI387" s="653">
        <v>12184145000</v>
      </c>
      <c r="AJ387" s="653">
        <v>12024859000</v>
      </c>
      <c r="AK387" s="653">
        <v>0</v>
      </c>
      <c r="AL387" s="653">
        <v>0</v>
      </c>
      <c r="AM387" s="653">
        <v>0</v>
      </c>
      <c r="AN387" s="653">
        <v>0</v>
      </c>
      <c r="AO387" s="653">
        <v>0</v>
      </c>
      <c r="AP387" s="653">
        <v>159286000</v>
      </c>
      <c r="AQ387" s="653">
        <v>0</v>
      </c>
      <c r="AR387" s="653">
        <v>0</v>
      </c>
      <c r="AS387" s="653">
        <v>0</v>
      </c>
      <c r="AT387" s="570">
        <f t="shared" si="285"/>
        <v>6.25E-2</v>
      </c>
      <c r="AU387" s="571">
        <v>750</v>
      </c>
      <c r="AV387" s="625">
        <f t="shared" si="313"/>
        <v>0.25</v>
      </c>
      <c r="AW387" s="1003">
        <v>2260.61</v>
      </c>
      <c r="AX387" s="604">
        <f t="shared" si="314"/>
        <v>2260.61</v>
      </c>
      <c r="AY387" s="604">
        <f t="shared" si="315"/>
        <v>301.41466666666668</v>
      </c>
      <c r="AZ387" s="604">
        <f t="shared" si="286"/>
        <v>100</v>
      </c>
      <c r="BA387" s="592">
        <f t="shared" si="287"/>
        <v>6.25E-2</v>
      </c>
      <c r="BB387" s="592">
        <f t="shared" si="288"/>
        <v>100</v>
      </c>
      <c r="BC387" s="591">
        <v>18000000000</v>
      </c>
      <c r="BD387" s="591">
        <v>0</v>
      </c>
      <c r="BE387" s="591">
        <v>13000000</v>
      </c>
      <c r="BF387" s="591">
        <v>0</v>
      </c>
      <c r="BG387" s="591">
        <v>0</v>
      </c>
      <c r="BH387" s="591">
        <v>0</v>
      </c>
      <c r="BI387" s="591">
        <v>0</v>
      </c>
      <c r="BJ387" s="591">
        <v>5000000000</v>
      </c>
      <c r="BK387" s="669">
        <v>37648900660</v>
      </c>
      <c r="BL387" s="589">
        <v>29569177651</v>
      </c>
      <c r="BM387" s="589">
        <v>0</v>
      </c>
      <c r="BN387" s="589">
        <v>0</v>
      </c>
      <c r="BO387" s="589">
        <v>0</v>
      </c>
      <c r="BP387" s="589">
        <v>8079723009</v>
      </c>
      <c r="BQ387" s="589">
        <v>0</v>
      </c>
      <c r="BR387" s="589">
        <v>0</v>
      </c>
      <c r="BS387" s="589">
        <v>0</v>
      </c>
      <c r="BT387" s="589">
        <v>129600612</v>
      </c>
      <c r="BU387" s="589">
        <v>0</v>
      </c>
      <c r="BV387" s="588">
        <f t="shared" si="289"/>
        <v>6.25E-2</v>
      </c>
      <c r="BW387" s="588">
        <v>750</v>
      </c>
      <c r="BX387" s="623">
        <f t="shared" si="316"/>
        <v>0.25</v>
      </c>
      <c r="BY387" s="607">
        <v>2286.010009765625</v>
      </c>
      <c r="BZ387" s="629">
        <v>2286.010009765625</v>
      </c>
      <c r="CA387" s="1017">
        <v>4663.39990234375</v>
      </c>
      <c r="CB387" s="557">
        <f t="shared" si="317"/>
        <v>4663.39990234375</v>
      </c>
      <c r="CC387" s="557">
        <f t="shared" si="318"/>
        <v>621.78665364583333</v>
      </c>
      <c r="CD387" s="622">
        <f t="shared" si="290"/>
        <v>100</v>
      </c>
      <c r="CE387" s="621">
        <f t="shared" si="291"/>
        <v>6.25E-2</v>
      </c>
      <c r="CF387" s="605">
        <f t="shared" si="292"/>
        <v>100</v>
      </c>
      <c r="CG387" s="621">
        <f t="shared" si="293"/>
        <v>0.38861665852864585</v>
      </c>
      <c r="CH387" s="553">
        <f t="shared" si="294"/>
        <v>6.25E-2</v>
      </c>
      <c r="CI387" s="552">
        <v>750</v>
      </c>
      <c r="CJ387" s="551">
        <f t="shared" si="319"/>
        <v>0.25</v>
      </c>
      <c r="CK387" s="874">
        <v>162</v>
      </c>
      <c r="CL387" s="533">
        <f t="shared" si="320"/>
        <v>588</v>
      </c>
      <c r="CM387" s="619">
        <f t="shared" si="321"/>
        <v>162</v>
      </c>
      <c r="CN387" s="619">
        <f t="shared" si="322"/>
        <v>21.6</v>
      </c>
      <c r="CO387" s="549">
        <f t="shared" si="295"/>
        <v>21.6</v>
      </c>
      <c r="CP387" s="619">
        <f t="shared" si="296"/>
        <v>1.3500000000000002E-2</v>
      </c>
      <c r="CQ387" s="619">
        <f t="shared" si="297"/>
        <v>1.3500000000000002E-2</v>
      </c>
      <c r="CR387" s="546">
        <v>39000000000</v>
      </c>
      <c r="CS387" s="546">
        <v>34000000</v>
      </c>
      <c r="CT387" s="546">
        <v>0</v>
      </c>
      <c r="CU387" s="546">
        <v>0</v>
      </c>
      <c r="CV387" s="546">
        <v>0</v>
      </c>
      <c r="CW387" s="546">
        <v>0</v>
      </c>
      <c r="CX387" s="546">
        <v>0</v>
      </c>
      <c r="CY387" s="546">
        <v>5000000000</v>
      </c>
      <c r="CZ387" s="618">
        <v>0</v>
      </c>
      <c r="DA387" s="618">
        <v>0</v>
      </c>
      <c r="DB387" s="618">
        <v>0</v>
      </c>
      <c r="DC387" s="618">
        <v>0</v>
      </c>
      <c r="DD387" s="618">
        <v>0</v>
      </c>
      <c r="DE387" s="618">
        <v>0</v>
      </c>
      <c r="DF387" s="618">
        <v>0</v>
      </c>
      <c r="DG387" s="618">
        <v>0</v>
      </c>
      <c r="DH387" s="618">
        <v>0</v>
      </c>
      <c r="DI387" s="618">
        <v>0</v>
      </c>
      <c r="DJ387" s="618">
        <v>0</v>
      </c>
      <c r="DK387" s="1034">
        <f t="shared" si="323"/>
        <v>7433.0099023437506</v>
      </c>
      <c r="DL387" s="543">
        <f t="shared" si="298"/>
        <v>0.25</v>
      </c>
      <c r="DM387" s="542">
        <f t="shared" si="299"/>
        <v>247.76699674479167</v>
      </c>
      <c r="DN387" s="594">
        <f t="shared" si="300"/>
        <v>100</v>
      </c>
      <c r="DO387" s="540">
        <f t="shared" si="301"/>
        <v>0.25</v>
      </c>
      <c r="DP387" s="597">
        <f t="shared" si="325"/>
        <v>0.25</v>
      </c>
      <c r="DQ387" s="538">
        <f t="shared" si="302"/>
        <v>0.25</v>
      </c>
      <c r="DR387" s="617">
        <f t="shared" si="303"/>
        <v>1</v>
      </c>
      <c r="DS387" s="616">
        <f t="shared" si="304"/>
        <v>0</v>
      </c>
      <c r="DT387" s="259">
        <v>449</v>
      </c>
      <c r="DU387" s="260" t="s">
        <v>1107</v>
      </c>
      <c r="DV387" s="259">
        <v>450</v>
      </c>
      <c r="DW387" s="260" t="s">
        <v>1108</v>
      </c>
      <c r="DX387" s="259"/>
      <c r="DY387" s="259"/>
      <c r="DZ387" s="259"/>
      <c r="EA387" s="987"/>
      <c r="EB387" s="1041" t="s">
        <v>2690</v>
      </c>
      <c r="EC387" s="802">
        <v>0</v>
      </c>
      <c r="EE387" s="1047"/>
    </row>
    <row r="388" spans="4:135" s="534" customFormat="1" ht="96" hidden="1" x14ac:dyDescent="0.3">
      <c r="D388" s="783">
        <v>385</v>
      </c>
      <c r="E388" s="799">
        <v>453</v>
      </c>
      <c r="F388" s="739" t="s">
        <v>202</v>
      </c>
      <c r="G388" s="739" t="s">
        <v>15</v>
      </c>
      <c r="H388" s="739" t="s">
        <v>152</v>
      </c>
      <c r="I388" s="676" t="s">
        <v>1104</v>
      </c>
      <c r="J388" s="573" t="s">
        <v>1111</v>
      </c>
      <c r="K388" s="573" t="s">
        <v>1112</v>
      </c>
      <c r="L388" s="677" t="s">
        <v>2125</v>
      </c>
      <c r="M388" s="571" t="s">
        <v>2017</v>
      </c>
      <c r="N388" s="575">
        <v>0</v>
      </c>
      <c r="O388" s="570">
        <f t="shared" si="324"/>
        <v>3000</v>
      </c>
      <c r="P388" s="663">
        <v>3000</v>
      </c>
      <c r="Q388" s="628">
        <v>0.33</v>
      </c>
      <c r="R388" s="580">
        <f t="shared" si="282"/>
        <v>5.5E-2</v>
      </c>
      <c r="S388" s="657">
        <v>500</v>
      </c>
      <c r="T388" s="575">
        <f t="shared" si="310"/>
        <v>0.16666666666666666</v>
      </c>
      <c r="U388" s="996">
        <v>257</v>
      </c>
      <c r="V388" s="626">
        <f t="shared" si="311"/>
        <v>257</v>
      </c>
      <c r="W388" s="594">
        <f t="shared" si="312"/>
        <v>51.4</v>
      </c>
      <c r="X388" s="594">
        <f t="shared" si="283"/>
        <v>51.4</v>
      </c>
      <c r="Y388" s="594">
        <f t="shared" si="307"/>
        <v>2.827E-2</v>
      </c>
      <c r="Z388" s="594">
        <f t="shared" si="284"/>
        <v>51.4</v>
      </c>
      <c r="AA388" s="653">
        <v>8272000000</v>
      </c>
      <c r="AB388" s="653">
        <v>8272000000</v>
      </c>
      <c r="AC388" s="653">
        <v>0</v>
      </c>
      <c r="AD388" s="653">
        <v>0</v>
      </c>
      <c r="AE388" s="653">
        <v>0</v>
      </c>
      <c r="AF388" s="653">
        <v>0</v>
      </c>
      <c r="AG388" s="653">
        <v>0</v>
      </c>
      <c r="AH388" s="653">
        <v>0</v>
      </c>
      <c r="AI388" s="653">
        <v>18024045000</v>
      </c>
      <c r="AJ388" s="653">
        <v>14253016000</v>
      </c>
      <c r="AK388" s="653">
        <v>0</v>
      </c>
      <c r="AL388" s="653">
        <v>0</v>
      </c>
      <c r="AM388" s="653">
        <v>0</v>
      </c>
      <c r="AN388" s="653">
        <v>0</v>
      </c>
      <c r="AO388" s="653">
        <v>0</v>
      </c>
      <c r="AP388" s="653">
        <v>3771029000</v>
      </c>
      <c r="AQ388" s="653">
        <v>0</v>
      </c>
      <c r="AR388" s="653">
        <v>0</v>
      </c>
      <c r="AS388" s="653">
        <v>0</v>
      </c>
      <c r="AT388" s="570">
        <f t="shared" si="285"/>
        <v>7.986E-2</v>
      </c>
      <c r="AU388" s="571">
        <v>726</v>
      </c>
      <c r="AV388" s="625">
        <f t="shared" si="313"/>
        <v>0.24199999999999999</v>
      </c>
      <c r="AW388" s="1003">
        <v>1219</v>
      </c>
      <c r="AX388" s="604">
        <f t="shared" si="314"/>
        <v>1219</v>
      </c>
      <c r="AY388" s="604">
        <f t="shared" si="315"/>
        <v>167.90633608815426</v>
      </c>
      <c r="AZ388" s="604">
        <f t="shared" si="286"/>
        <v>100</v>
      </c>
      <c r="BA388" s="592">
        <f t="shared" si="287"/>
        <v>7.986E-2</v>
      </c>
      <c r="BB388" s="592">
        <f t="shared" si="288"/>
        <v>100</v>
      </c>
      <c r="BC388" s="591">
        <v>4000000000</v>
      </c>
      <c r="BD388" s="591">
        <v>0</v>
      </c>
      <c r="BE388" s="591">
        <v>3500000000</v>
      </c>
      <c r="BF388" s="591">
        <v>0</v>
      </c>
      <c r="BG388" s="591">
        <v>0</v>
      </c>
      <c r="BH388" s="591">
        <v>0</v>
      </c>
      <c r="BI388" s="591">
        <v>0</v>
      </c>
      <c r="BJ388" s="591">
        <v>500000000</v>
      </c>
      <c r="BK388" s="669">
        <v>9188591090</v>
      </c>
      <c r="BL388" s="589">
        <v>7334800166</v>
      </c>
      <c r="BM388" s="589">
        <v>0</v>
      </c>
      <c r="BN388" s="589">
        <v>0</v>
      </c>
      <c r="BO388" s="589">
        <v>0</v>
      </c>
      <c r="BP388" s="589">
        <v>753790924</v>
      </c>
      <c r="BQ388" s="589">
        <v>300000000</v>
      </c>
      <c r="BR388" s="589">
        <v>800000000</v>
      </c>
      <c r="BS388" s="589">
        <v>0</v>
      </c>
      <c r="BT388" s="589">
        <v>3170340646</v>
      </c>
      <c r="BU388" s="589" t="s">
        <v>2124</v>
      </c>
      <c r="BV388" s="588">
        <f t="shared" si="289"/>
        <v>9.9000000000000005E-2</v>
      </c>
      <c r="BW388" s="588">
        <v>900</v>
      </c>
      <c r="BX388" s="623">
        <f t="shared" si="316"/>
        <v>0.3</v>
      </c>
      <c r="BY388" s="607">
        <v>2926</v>
      </c>
      <c r="BZ388" s="629">
        <v>2926</v>
      </c>
      <c r="CA388" s="1017">
        <v>6955</v>
      </c>
      <c r="CB388" s="557">
        <f t="shared" si="317"/>
        <v>6955</v>
      </c>
      <c r="CC388" s="557">
        <f t="shared" si="318"/>
        <v>772.77777777777783</v>
      </c>
      <c r="CD388" s="622">
        <f t="shared" si="290"/>
        <v>100</v>
      </c>
      <c r="CE388" s="621">
        <f t="shared" si="291"/>
        <v>9.9000000000000005E-2</v>
      </c>
      <c r="CF388" s="605">
        <f t="shared" si="292"/>
        <v>100</v>
      </c>
      <c r="CG388" s="621">
        <f t="shared" si="293"/>
        <v>0.76505000000000012</v>
      </c>
      <c r="CH388" s="553">
        <f t="shared" si="294"/>
        <v>9.6140000000000003E-2</v>
      </c>
      <c r="CI388" s="552">
        <v>874</v>
      </c>
      <c r="CJ388" s="551">
        <f t="shared" si="319"/>
        <v>0.29133333333333333</v>
      </c>
      <c r="CK388" s="874">
        <v>231</v>
      </c>
      <c r="CL388" s="533">
        <f t="shared" si="320"/>
        <v>643</v>
      </c>
      <c r="CM388" s="619">
        <f t="shared" si="321"/>
        <v>231</v>
      </c>
      <c r="CN388" s="619">
        <f t="shared" si="322"/>
        <v>26.430205949656752</v>
      </c>
      <c r="CO388" s="549">
        <f t="shared" si="295"/>
        <v>26.430205949656752</v>
      </c>
      <c r="CP388" s="619">
        <f t="shared" si="296"/>
        <v>2.5410000000000002E-2</v>
      </c>
      <c r="CQ388" s="619">
        <f t="shared" si="297"/>
        <v>2.5410000000000002E-2</v>
      </c>
      <c r="CR388" s="546">
        <v>8000000000</v>
      </c>
      <c r="CS388" s="546">
        <v>7000000000</v>
      </c>
      <c r="CT388" s="546">
        <v>0</v>
      </c>
      <c r="CU388" s="546">
        <v>0</v>
      </c>
      <c r="CV388" s="546">
        <v>0</v>
      </c>
      <c r="CW388" s="546">
        <v>0</v>
      </c>
      <c r="CX388" s="546">
        <v>0</v>
      </c>
      <c r="CY388" s="546">
        <v>1000000000</v>
      </c>
      <c r="CZ388" s="618">
        <v>0</v>
      </c>
      <c r="DA388" s="618">
        <v>0</v>
      </c>
      <c r="DB388" s="618">
        <v>0</v>
      </c>
      <c r="DC388" s="618">
        <v>0</v>
      </c>
      <c r="DD388" s="618">
        <v>0</v>
      </c>
      <c r="DE388" s="618">
        <v>0</v>
      </c>
      <c r="DF388" s="618">
        <v>0</v>
      </c>
      <c r="DG388" s="618">
        <v>0</v>
      </c>
      <c r="DH388" s="618">
        <v>0</v>
      </c>
      <c r="DI388" s="618">
        <v>0</v>
      </c>
      <c r="DJ388" s="618">
        <v>0</v>
      </c>
      <c r="DK388" s="1034">
        <f t="shared" si="323"/>
        <v>8662</v>
      </c>
      <c r="DL388" s="543">
        <f t="shared" si="298"/>
        <v>0.33</v>
      </c>
      <c r="DM388" s="542">
        <f t="shared" si="299"/>
        <v>288.73333333333335</v>
      </c>
      <c r="DN388" s="594">
        <f t="shared" si="300"/>
        <v>100</v>
      </c>
      <c r="DO388" s="540">
        <f t="shared" si="301"/>
        <v>0.33</v>
      </c>
      <c r="DP388" s="597">
        <f t="shared" si="325"/>
        <v>0.33</v>
      </c>
      <c r="DQ388" s="538">
        <f t="shared" si="302"/>
        <v>0.33</v>
      </c>
      <c r="DR388" s="617">
        <f t="shared" si="303"/>
        <v>0.99999999999999989</v>
      </c>
      <c r="DS388" s="616">
        <f t="shared" si="304"/>
        <v>0</v>
      </c>
      <c r="DT388" s="259">
        <v>449</v>
      </c>
      <c r="DU388" s="260" t="s">
        <v>1107</v>
      </c>
      <c r="DV388" s="259">
        <v>450</v>
      </c>
      <c r="DW388" s="260" t="s">
        <v>1108</v>
      </c>
      <c r="DX388" s="259">
        <v>622</v>
      </c>
      <c r="DY388" s="259"/>
      <c r="DZ388" s="259"/>
      <c r="EA388" s="987"/>
      <c r="EB388" s="1041" t="s">
        <v>2691</v>
      </c>
      <c r="EC388" s="802">
        <v>0</v>
      </c>
      <c r="EE388" s="1047"/>
    </row>
    <row r="389" spans="4:135" s="534" customFormat="1" ht="96" hidden="1" x14ac:dyDescent="0.3">
      <c r="D389" s="783">
        <v>386</v>
      </c>
      <c r="E389" s="799">
        <v>454</v>
      </c>
      <c r="F389" s="574" t="s">
        <v>202</v>
      </c>
      <c r="G389" s="574" t="s">
        <v>15</v>
      </c>
      <c r="H389" s="574" t="s">
        <v>152</v>
      </c>
      <c r="I389" s="574" t="s">
        <v>1104</v>
      </c>
      <c r="J389" s="573" t="s">
        <v>1459</v>
      </c>
      <c r="K389" s="573" t="s">
        <v>1113</v>
      </c>
      <c r="L389" s="677" t="s">
        <v>2121</v>
      </c>
      <c r="M389" s="575" t="s">
        <v>2017</v>
      </c>
      <c r="N389" s="575">
        <v>234000</v>
      </c>
      <c r="O389" s="570">
        <f t="shared" si="324"/>
        <v>699000</v>
      </c>
      <c r="P389" s="663">
        <v>465000</v>
      </c>
      <c r="Q389" s="631">
        <v>0.33</v>
      </c>
      <c r="R389" s="580">
        <f t="shared" ref="R389:R452" si="326">+Q389*T389</f>
        <v>7.0967741935483884E-3</v>
      </c>
      <c r="S389" s="657">
        <v>10000</v>
      </c>
      <c r="T389" s="575">
        <f t="shared" si="310"/>
        <v>2.1505376344086023E-2</v>
      </c>
      <c r="U389" s="996">
        <v>6457</v>
      </c>
      <c r="V389" s="626">
        <f t="shared" si="311"/>
        <v>6457</v>
      </c>
      <c r="W389" s="594">
        <f t="shared" si="312"/>
        <v>64.569999999999993</v>
      </c>
      <c r="X389" s="594">
        <f t="shared" ref="X389:X452" si="327">+IF(W389&lt;100,W389,100)</f>
        <v>64.569999999999993</v>
      </c>
      <c r="Y389" s="594">
        <f t="shared" si="307"/>
        <v>4.582387096774194E-3</v>
      </c>
      <c r="Z389" s="594">
        <f t="shared" ref="Z389:Z452" si="328">+IF(U389&gt;S389,100,X389)</f>
        <v>64.569999999999993</v>
      </c>
      <c r="AA389" s="653">
        <v>80000000</v>
      </c>
      <c r="AB389" s="653">
        <v>80000000</v>
      </c>
      <c r="AC389" s="653">
        <v>0</v>
      </c>
      <c r="AD389" s="653">
        <v>0</v>
      </c>
      <c r="AE389" s="653">
        <v>0</v>
      </c>
      <c r="AF389" s="653">
        <v>0</v>
      </c>
      <c r="AG389" s="653">
        <v>0</v>
      </c>
      <c r="AH389" s="653">
        <v>0</v>
      </c>
      <c r="AI389" s="653">
        <v>37204270000</v>
      </c>
      <c r="AJ389" s="653">
        <v>31793703000</v>
      </c>
      <c r="AK389" s="653">
        <v>0</v>
      </c>
      <c r="AL389" s="653">
        <v>0</v>
      </c>
      <c r="AM389" s="653">
        <v>0</v>
      </c>
      <c r="AN389" s="653">
        <v>0</v>
      </c>
      <c r="AO389" s="653">
        <v>5262710000</v>
      </c>
      <c r="AP389" s="653">
        <v>147857000</v>
      </c>
      <c r="AQ389" s="653">
        <v>0</v>
      </c>
      <c r="AR389" s="653">
        <v>0</v>
      </c>
      <c r="AS389" s="653">
        <v>0</v>
      </c>
      <c r="AT389" s="630">
        <f t="shared" ref="AT389:AT452" si="329">+Q389*AV389</f>
        <v>5.8193548387096776E-2</v>
      </c>
      <c r="AU389" s="571">
        <v>82000</v>
      </c>
      <c r="AV389" s="625">
        <f t="shared" si="313"/>
        <v>0.17634408602150536</v>
      </c>
      <c r="AW389" s="1003">
        <v>84696</v>
      </c>
      <c r="AX389" s="604">
        <f t="shared" si="314"/>
        <v>84696</v>
      </c>
      <c r="AY389" s="604">
        <f t="shared" si="315"/>
        <v>103.28780487804877</v>
      </c>
      <c r="AZ389" s="604">
        <f t="shared" ref="AZ389:AZ452" si="330">+IF(AY389&lt;100,AY389,100)</f>
        <v>100</v>
      </c>
      <c r="BA389" s="592">
        <f t="shared" ref="BA389:BA452" si="331">+(AZ389*AT389)/100</f>
        <v>5.8193548387096776E-2</v>
      </c>
      <c r="BB389" s="592">
        <f t="shared" ref="BB389:BB452" si="332">+IF(AW389&gt;AU389,100,AZ389)</f>
        <v>100</v>
      </c>
      <c r="BC389" s="591">
        <v>2000000000</v>
      </c>
      <c r="BD389" s="591">
        <v>0</v>
      </c>
      <c r="BE389" s="591">
        <v>2000000000</v>
      </c>
      <c r="BF389" s="591">
        <v>0</v>
      </c>
      <c r="BG389" s="591">
        <v>0</v>
      </c>
      <c r="BH389" s="591">
        <v>0</v>
      </c>
      <c r="BI389" s="591">
        <v>0</v>
      </c>
      <c r="BJ389" s="591">
        <v>0</v>
      </c>
      <c r="BK389" s="669">
        <v>29751229543</v>
      </c>
      <c r="BL389" s="589">
        <v>0</v>
      </c>
      <c r="BM389" s="589">
        <v>0</v>
      </c>
      <c r="BN389" s="589">
        <v>0</v>
      </c>
      <c r="BO389" s="589">
        <v>0</v>
      </c>
      <c r="BP389" s="589">
        <v>0</v>
      </c>
      <c r="BQ389" s="589">
        <v>4875137928</v>
      </c>
      <c r="BR389" s="589">
        <v>24876091615</v>
      </c>
      <c r="BS389" s="589">
        <v>0</v>
      </c>
      <c r="BT389" s="589">
        <v>2445171830</v>
      </c>
      <c r="BU389" s="589">
        <v>0</v>
      </c>
      <c r="BV389" s="588">
        <f t="shared" ref="BV389:BV452" si="333">+Q389*BX389</f>
        <v>0.10645161290322581</v>
      </c>
      <c r="BW389" s="589">
        <v>150000</v>
      </c>
      <c r="BX389" s="623">
        <f t="shared" si="316"/>
        <v>0.32258064516129031</v>
      </c>
      <c r="BY389" s="607">
        <v>178272</v>
      </c>
      <c r="BZ389" s="629">
        <v>179690</v>
      </c>
      <c r="CA389" s="1017">
        <v>440096</v>
      </c>
      <c r="CB389" s="557">
        <f t="shared" si="317"/>
        <v>440096</v>
      </c>
      <c r="CC389" s="557">
        <f t="shared" si="318"/>
        <v>293.39733333333334</v>
      </c>
      <c r="CD389" s="622">
        <f t="shared" ref="CD389:CD452" si="334">+IF(CC389&lt;100,CC389,100)</f>
        <v>100</v>
      </c>
      <c r="CE389" s="621">
        <f t="shared" ref="CE389:CE452" si="335">+(CD389*BV389)/100</f>
        <v>0.10645161290322581</v>
      </c>
      <c r="CF389" s="605">
        <f t="shared" ref="CF389:CF452" si="336">+IF(BZ389&gt;BW389,100,CD389)</f>
        <v>100</v>
      </c>
      <c r="CG389" s="621">
        <f t="shared" ref="CG389:CG452" si="337">(CC389*BV389)/100</f>
        <v>0.31232619354838709</v>
      </c>
      <c r="CH389" s="553">
        <f t="shared" ref="CH389:CH452" si="338">+Q389*CJ389</f>
        <v>0.15825806451612903</v>
      </c>
      <c r="CI389" s="552">
        <v>223000</v>
      </c>
      <c r="CJ389" s="551">
        <f t="shared" si="319"/>
        <v>0.47956989247311826</v>
      </c>
      <c r="CK389" s="874">
        <v>7017</v>
      </c>
      <c r="CL389" s="533">
        <f t="shared" si="320"/>
        <v>215983</v>
      </c>
      <c r="CM389" s="619">
        <f t="shared" si="321"/>
        <v>7017</v>
      </c>
      <c r="CN389" s="619">
        <f t="shared" si="322"/>
        <v>3.1466367713004484</v>
      </c>
      <c r="CO389" s="549">
        <f t="shared" ref="CO389:CO452" si="339">+IF(CN389&lt;100,CN389,100)</f>
        <v>3.1466367713004484</v>
      </c>
      <c r="CP389" s="619">
        <f t="shared" ref="CP389:CP452" si="340">+(CO389*CH389)/100</f>
        <v>4.9798064516129031E-3</v>
      </c>
      <c r="CQ389" s="619">
        <f t="shared" ref="CQ389:CQ452" si="341">+(CN389*CH389)/100</f>
        <v>4.9798064516129031E-3</v>
      </c>
      <c r="CR389" s="546">
        <v>6000000000</v>
      </c>
      <c r="CS389" s="546">
        <v>6000000000</v>
      </c>
      <c r="CT389" s="546">
        <v>0</v>
      </c>
      <c r="CU389" s="546">
        <v>0</v>
      </c>
      <c r="CV389" s="546">
        <v>0</v>
      </c>
      <c r="CW389" s="546">
        <v>0</v>
      </c>
      <c r="CX389" s="546">
        <v>0</v>
      </c>
      <c r="CY389" s="546">
        <v>0</v>
      </c>
      <c r="CZ389" s="618">
        <v>0</v>
      </c>
      <c r="DA389" s="618">
        <v>0</v>
      </c>
      <c r="DB389" s="618">
        <v>0</v>
      </c>
      <c r="DC389" s="618">
        <v>0</v>
      </c>
      <c r="DD389" s="618">
        <v>0</v>
      </c>
      <c r="DE389" s="618">
        <v>0</v>
      </c>
      <c r="DF389" s="618">
        <v>0</v>
      </c>
      <c r="DG389" s="618">
        <v>0</v>
      </c>
      <c r="DH389" s="618">
        <v>0</v>
      </c>
      <c r="DI389" s="618">
        <v>0</v>
      </c>
      <c r="DJ389" s="618">
        <v>0</v>
      </c>
      <c r="DK389" s="1034">
        <f t="shared" si="323"/>
        <v>538266</v>
      </c>
      <c r="DL389" s="543">
        <f t="shared" ref="DL389:DL452" si="342">+R389+AT389+BV389+CH389</f>
        <v>0.33</v>
      </c>
      <c r="DM389" s="542">
        <f t="shared" ref="DM389:DM452" si="343">+DK389*100/P389</f>
        <v>115.75612903225806</v>
      </c>
      <c r="DN389" s="594">
        <f t="shared" ref="DN389:DN452" si="344">+IF(DM389&lt;100,DM389,100)</f>
        <v>100</v>
      </c>
      <c r="DO389" s="540">
        <f t="shared" ref="DO389:DO452" si="345">+(DN389*Q389)/100</f>
        <v>0.33</v>
      </c>
      <c r="DP389" s="597">
        <f t="shared" si="325"/>
        <v>0.33</v>
      </c>
      <c r="DQ389" s="538">
        <f t="shared" ref="DQ389:DQ452" si="346">+IF(DL389&lt;DP389,DL389,DP389)</f>
        <v>0.33</v>
      </c>
      <c r="DR389" s="617">
        <f t="shared" ref="DR389:DR452" si="347">+T389+AV389+BX389+CJ389</f>
        <v>1</v>
      </c>
      <c r="DS389" s="616">
        <f t="shared" ref="DS389:DS452" si="348">+Q389-R389-AT389-BV389-CH389</f>
        <v>0</v>
      </c>
      <c r="DT389" s="259">
        <v>449</v>
      </c>
      <c r="DU389" s="260" t="s">
        <v>1107</v>
      </c>
      <c r="DV389" s="259">
        <v>450</v>
      </c>
      <c r="DW389" s="260" t="s">
        <v>1108</v>
      </c>
      <c r="DX389" s="259"/>
      <c r="DY389" s="259"/>
      <c r="DZ389" s="259"/>
      <c r="EA389" s="987"/>
      <c r="EB389" s="1041" t="s">
        <v>2692</v>
      </c>
      <c r="EC389" s="802">
        <v>0</v>
      </c>
      <c r="EE389" s="1047"/>
    </row>
    <row r="390" spans="4:135" s="534" customFormat="1" ht="96" hidden="1" x14ac:dyDescent="0.3">
      <c r="D390" s="783">
        <v>387</v>
      </c>
      <c r="E390" s="799">
        <v>455</v>
      </c>
      <c r="F390" s="739" t="s">
        <v>202</v>
      </c>
      <c r="G390" s="739" t="s">
        <v>15</v>
      </c>
      <c r="H390" s="739" t="s">
        <v>152</v>
      </c>
      <c r="I390" s="676" t="s">
        <v>1104</v>
      </c>
      <c r="J390" s="573" t="s">
        <v>1114</v>
      </c>
      <c r="K390" s="573" t="s">
        <v>1115</v>
      </c>
      <c r="L390" s="677" t="s">
        <v>2121</v>
      </c>
      <c r="M390" s="575" t="s">
        <v>2017</v>
      </c>
      <c r="N390" s="575">
        <v>593858</v>
      </c>
      <c r="O390" s="570">
        <f t="shared" si="324"/>
        <v>693858</v>
      </c>
      <c r="P390" s="663">
        <v>100000</v>
      </c>
      <c r="Q390" s="628">
        <v>0.25</v>
      </c>
      <c r="R390" s="580">
        <f t="shared" si="326"/>
        <v>1.2500000000000001E-2</v>
      </c>
      <c r="S390" s="657">
        <v>5000</v>
      </c>
      <c r="T390" s="575">
        <f t="shared" si="310"/>
        <v>0.05</v>
      </c>
      <c r="U390" s="996">
        <v>2808</v>
      </c>
      <c r="V390" s="626">
        <f t="shared" si="311"/>
        <v>2808</v>
      </c>
      <c r="W390" s="594">
        <f t="shared" si="312"/>
        <v>56.16</v>
      </c>
      <c r="X390" s="594">
        <f t="shared" si="327"/>
        <v>56.16</v>
      </c>
      <c r="Y390" s="594">
        <f t="shared" si="307"/>
        <v>7.0199999999999993E-3</v>
      </c>
      <c r="Z390" s="594">
        <f t="shared" si="328"/>
        <v>56.16</v>
      </c>
      <c r="AA390" s="653">
        <v>1614000000</v>
      </c>
      <c r="AB390" s="653">
        <v>1614000000</v>
      </c>
      <c r="AC390" s="653">
        <v>0</v>
      </c>
      <c r="AD390" s="653">
        <v>0</v>
      </c>
      <c r="AE390" s="653">
        <v>0</v>
      </c>
      <c r="AF390" s="653">
        <v>0</v>
      </c>
      <c r="AG390" s="653">
        <v>0</v>
      </c>
      <c r="AH390" s="653">
        <v>0</v>
      </c>
      <c r="AI390" s="653">
        <v>4751518000</v>
      </c>
      <c r="AJ390" s="653">
        <v>3453139000</v>
      </c>
      <c r="AK390" s="653">
        <v>0</v>
      </c>
      <c r="AL390" s="653">
        <v>0</v>
      </c>
      <c r="AM390" s="653">
        <v>0</v>
      </c>
      <c r="AN390" s="653">
        <v>0</v>
      </c>
      <c r="AO390" s="653">
        <v>1235379000</v>
      </c>
      <c r="AP390" s="653">
        <v>63000000</v>
      </c>
      <c r="AQ390" s="653">
        <v>0</v>
      </c>
      <c r="AR390" s="653">
        <v>0</v>
      </c>
      <c r="AS390" s="653">
        <v>0</v>
      </c>
      <c r="AT390" s="570">
        <f t="shared" si="329"/>
        <v>0.105</v>
      </c>
      <c r="AU390" s="571">
        <v>42000</v>
      </c>
      <c r="AV390" s="625">
        <f t="shared" si="313"/>
        <v>0.42</v>
      </c>
      <c r="AW390" s="1003">
        <v>48946</v>
      </c>
      <c r="AX390" s="604">
        <f t="shared" si="314"/>
        <v>48946</v>
      </c>
      <c r="AY390" s="604">
        <f t="shared" si="315"/>
        <v>116.53809523809524</v>
      </c>
      <c r="AZ390" s="604">
        <f t="shared" si="330"/>
        <v>100</v>
      </c>
      <c r="BA390" s="592">
        <f t="shared" si="331"/>
        <v>0.105</v>
      </c>
      <c r="BB390" s="592">
        <f t="shared" si="332"/>
        <v>100</v>
      </c>
      <c r="BC390" s="591">
        <v>2500000000</v>
      </c>
      <c r="BD390" s="591">
        <v>0</v>
      </c>
      <c r="BE390" s="591">
        <v>1500000000</v>
      </c>
      <c r="BF390" s="591">
        <v>0</v>
      </c>
      <c r="BG390" s="591">
        <v>0</v>
      </c>
      <c r="BH390" s="591">
        <v>0</v>
      </c>
      <c r="BI390" s="591">
        <v>0</v>
      </c>
      <c r="BJ390" s="591">
        <v>1000000000</v>
      </c>
      <c r="BK390" s="669">
        <v>4907394135</v>
      </c>
      <c r="BL390" s="589">
        <v>4747999999</v>
      </c>
      <c r="BM390" s="589">
        <v>0</v>
      </c>
      <c r="BN390" s="589">
        <v>0</v>
      </c>
      <c r="BO390" s="589">
        <v>0</v>
      </c>
      <c r="BP390" s="589">
        <v>159394136</v>
      </c>
      <c r="BQ390" s="589">
        <v>0</v>
      </c>
      <c r="BR390" s="589">
        <v>0</v>
      </c>
      <c r="BS390" s="589">
        <v>0</v>
      </c>
      <c r="BT390" s="589">
        <v>9150406515</v>
      </c>
      <c r="BU390" s="589">
        <v>0</v>
      </c>
      <c r="BV390" s="588">
        <f t="shared" si="333"/>
        <v>9.375E-2</v>
      </c>
      <c r="BW390" s="588">
        <v>37500</v>
      </c>
      <c r="BX390" s="623">
        <f t="shared" si="316"/>
        <v>0.375</v>
      </c>
      <c r="BY390" s="607">
        <v>26690</v>
      </c>
      <c r="BZ390" s="629">
        <v>43224</v>
      </c>
      <c r="CA390" s="1017">
        <v>80372</v>
      </c>
      <c r="CB390" s="557">
        <f t="shared" si="317"/>
        <v>80372</v>
      </c>
      <c r="CC390" s="557">
        <f t="shared" si="318"/>
        <v>214.32533333333333</v>
      </c>
      <c r="CD390" s="622">
        <f t="shared" si="334"/>
        <v>100</v>
      </c>
      <c r="CE390" s="621">
        <f t="shared" si="335"/>
        <v>9.375E-2</v>
      </c>
      <c r="CF390" s="605">
        <f t="shared" si="336"/>
        <v>100</v>
      </c>
      <c r="CG390" s="621">
        <f t="shared" si="337"/>
        <v>0.20093</v>
      </c>
      <c r="CH390" s="553">
        <f t="shared" si="338"/>
        <v>3.875E-2</v>
      </c>
      <c r="CI390" s="552">
        <v>15500</v>
      </c>
      <c r="CJ390" s="551">
        <f t="shared" si="319"/>
        <v>0.155</v>
      </c>
      <c r="CK390" s="874">
        <v>1250</v>
      </c>
      <c r="CL390" s="533">
        <f t="shared" si="320"/>
        <v>14250</v>
      </c>
      <c r="CM390" s="619">
        <f t="shared" si="321"/>
        <v>1250</v>
      </c>
      <c r="CN390" s="619">
        <f t="shared" si="322"/>
        <v>8.064516129032258</v>
      </c>
      <c r="CO390" s="549">
        <f t="shared" si="339"/>
        <v>8.064516129032258</v>
      </c>
      <c r="CP390" s="619">
        <f t="shared" si="340"/>
        <v>3.1250000000000002E-3</v>
      </c>
      <c r="CQ390" s="619">
        <f t="shared" si="341"/>
        <v>3.1250000000000002E-3</v>
      </c>
      <c r="CR390" s="546">
        <v>8000000000</v>
      </c>
      <c r="CS390" s="546">
        <v>7000000000</v>
      </c>
      <c r="CT390" s="546">
        <v>0</v>
      </c>
      <c r="CU390" s="546">
        <v>0</v>
      </c>
      <c r="CV390" s="546">
        <v>0</v>
      </c>
      <c r="CW390" s="546">
        <v>0</v>
      </c>
      <c r="CX390" s="546">
        <v>0</v>
      </c>
      <c r="CY390" s="546">
        <v>1000000000</v>
      </c>
      <c r="CZ390" s="618">
        <v>0</v>
      </c>
      <c r="DA390" s="618">
        <v>0</v>
      </c>
      <c r="DB390" s="618">
        <v>0</v>
      </c>
      <c r="DC390" s="618">
        <v>0</v>
      </c>
      <c r="DD390" s="618">
        <v>0</v>
      </c>
      <c r="DE390" s="618">
        <v>0</v>
      </c>
      <c r="DF390" s="618">
        <v>0</v>
      </c>
      <c r="DG390" s="618">
        <v>0</v>
      </c>
      <c r="DH390" s="618">
        <v>0</v>
      </c>
      <c r="DI390" s="618">
        <v>0</v>
      </c>
      <c r="DJ390" s="618">
        <v>0</v>
      </c>
      <c r="DK390" s="1034">
        <f t="shared" si="323"/>
        <v>133376</v>
      </c>
      <c r="DL390" s="543">
        <f t="shared" si="342"/>
        <v>0.25</v>
      </c>
      <c r="DM390" s="542">
        <f t="shared" si="343"/>
        <v>133.376</v>
      </c>
      <c r="DN390" s="594">
        <f t="shared" si="344"/>
        <v>100</v>
      </c>
      <c r="DO390" s="540">
        <f t="shared" si="345"/>
        <v>0.25</v>
      </c>
      <c r="DP390" s="597">
        <f t="shared" si="325"/>
        <v>0.25</v>
      </c>
      <c r="DQ390" s="538">
        <f t="shared" si="346"/>
        <v>0.25</v>
      </c>
      <c r="DR390" s="617">
        <f t="shared" si="347"/>
        <v>1</v>
      </c>
      <c r="DS390" s="616">
        <f t="shared" si="348"/>
        <v>0</v>
      </c>
      <c r="DT390" s="259">
        <v>449</v>
      </c>
      <c r="DU390" s="260" t="s">
        <v>1107</v>
      </c>
      <c r="DV390" s="259">
        <v>450</v>
      </c>
      <c r="DW390" s="260" t="s">
        <v>1108</v>
      </c>
      <c r="DX390" s="259"/>
      <c r="DY390" s="259"/>
      <c r="DZ390" s="259"/>
      <c r="EA390" s="987"/>
      <c r="EB390" s="1041" t="s">
        <v>2693</v>
      </c>
      <c r="EC390" s="802">
        <v>0</v>
      </c>
      <c r="EE390" s="1047"/>
    </row>
    <row r="391" spans="4:135" s="534" customFormat="1" ht="102" hidden="1" x14ac:dyDescent="0.3">
      <c r="D391" s="783">
        <v>388</v>
      </c>
      <c r="E391" s="799">
        <v>456</v>
      </c>
      <c r="F391" s="574" t="s">
        <v>202</v>
      </c>
      <c r="G391" s="574" t="s">
        <v>15</v>
      </c>
      <c r="H391" s="574" t="s">
        <v>152</v>
      </c>
      <c r="I391" s="574" t="s">
        <v>1104</v>
      </c>
      <c r="J391" s="573" t="s">
        <v>1460</v>
      </c>
      <c r="K391" s="573" t="s">
        <v>1116</v>
      </c>
      <c r="L391" s="677" t="s">
        <v>2121</v>
      </c>
      <c r="M391" s="575" t="s">
        <v>2017</v>
      </c>
      <c r="N391" s="575">
        <v>6800</v>
      </c>
      <c r="O391" s="570">
        <f t="shared" si="324"/>
        <v>21000</v>
      </c>
      <c r="P391" s="663">
        <v>14200</v>
      </c>
      <c r="Q391" s="631">
        <v>0.25</v>
      </c>
      <c r="R391" s="580">
        <f t="shared" si="326"/>
        <v>0.12323943661971831</v>
      </c>
      <c r="S391" s="657">
        <v>7000</v>
      </c>
      <c r="T391" s="575">
        <f t="shared" si="310"/>
        <v>0.49295774647887325</v>
      </c>
      <c r="U391" s="996">
        <v>7436</v>
      </c>
      <c r="V391" s="626">
        <f t="shared" si="311"/>
        <v>7436</v>
      </c>
      <c r="W391" s="594">
        <f t="shared" si="312"/>
        <v>106.22857142857143</v>
      </c>
      <c r="X391" s="594">
        <f t="shared" si="327"/>
        <v>100</v>
      </c>
      <c r="Y391" s="594">
        <f t="shared" si="307"/>
        <v>0.12323943661971831</v>
      </c>
      <c r="Z391" s="594">
        <f t="shared" si="328"/>
        <v>100</v>
      </c>
      <c r="AA391" s="653">
        <v>202059000000</v>
      </c>
      <c r="AB391" s="653">
        <v>202059000000</v>
      </c>
      <c r="AC391" s="653">
        <v>0</v>
      </c>
      <c r="AD391" s="653">
        <v>0</v>
      </c>
      <c r="AE391" s="653">
        <v>0</v>
      </c>
      <c r="AF391" s="653">
        <v>0</v>
      </c>
      <c r="AG391" s="653">
        <v>0</v>
      </c>
      <c r="AH391" s="653">
        <v>0</v>
      </c>
      <c r="AI391" s="653">
        <v>19567242000</v>
      </c>
      <c r="AJ391" s="653">
        <v>19217242000</v>
      </c>
      <c r="AK391" s="653">
        <v>0</v>
      </c>
      <c r="AL391" s="653">
        <v>0</v>
      </c>
      <c r="AM391" s="653">
        <v>0</v>
      </c>
      <c r="AN391" s="653">
        <v>0</v>
      </c>
      <c r="AO391" s="653">
        <v>305000000</v>
      </c>
      <c r="AP391" s="653">
        <v>45000000</v>
      </c>
      <c r="AQ391" s="653">
        <v>0</v>
      </c>
      <c r="AR391" s="653">
        <v>0</v>
      </c>
      <c r="AS391" s="653">
        <v>0</v>
      </c>
      <c r="AT391" s="630">
        <f t="shared" si="329"/>
        <v>9.8573943661971836E-2</v>
      </c>
      <c r="AU391" s="571">
        <v>5599</v>
      </c>
      <c r="AV391" s="625">
        <f t="shared" si="313"/>
        <v>0.39429577464788734</v>
      </c>
      <c r="AW391" s="1003">
        <v>5955</v>
      </c>
      <c r="AX391" s="604">
        <f t="shared" si="314"/>
        <v>5955</v>
      </c>
      <c r="AY391" s="604">
        <f t="shared" si="315"/>
        <v>106.35827826397571</v>
      </c>
      <c r="AZ391" s="604">
        <f t="shared" si="330"/>
        <v>100</v>
      </c>
      <c r="BA391" s="592">
        <f t="shared" si="331"/>
        <v>9.8573943661971836E-2</v>
      </c>
      <c r="BB391" s="592">
        <f t="shared" si="332"/>
        <v>100</v>
      </c>
      <c r="BC391" s="591">
        <v>10753000000</v>
      </c>
      <c r="BD391" s="591">
        <v>0</v>
      </c>
      <c r="BE391" s="591">
        <v>3000000000</v>
      </c>
      <c r="BF391" s="591">
        <v>0</v>
      </c>
      <c r="BG391" s="591">
        <v>0</v>
      </c>
      <c r="BH391" s="591">
        <v>0</v>
      </c>
      <c r="BI391" s="591">
        <v>0</v>
      </c>
      <c r="BJ391" s="591">
        <v>7753000000</v>
      </c>
      <c r="BK391" s="669">
        <v>38465635</v>
      </c>
      <c r="BL391" s="589">
        <v>24711509</v>
      </c>
      <c r="BM391" s="589">
        <v>0</v>
      </c>
      <c r="BN391" s="589">
        <v>0</v>
      </c>
      <c r="BO391" s="589">
        <v>0</v>
      </c>
      <c r="BP391" s="589">
        <v>0</v>
      </c>
      <c r="BQ391" s="589">
        <v>13754126</v>
      </c>
      <c r="BR391" s="589">
        <v>0</v>
      </c>
      <c r="BS391" s="589">
        <v>0</v>
      </c>
      <c r="BT391" s="589">
        <v>3716527111</v>
      </c>
      <c r="BU391" s="589">
        <v>0</v>
      </c>
      <c r="BV391" s="588">
        <f t="shared" si="333"/>
        <v>1.3644366197183098E-2</v>
      </c>
      <c r="BW391" s="588">
        <v>775</v>
      </c>
      <c r="BX391" s="623">
        <f t="shared" si="316"/>
        <v>5.4577464788732391E-2</v>
      </c>
      <c r="BY391" s="607">
        <v>58.599998474121094</v>
      </c>
      <c r="BZ391" s="629">
        <v>58.599998474121094</v>
      </c>
      <c r="CA391" s="1017">
        <v>258.60000610351562</v>
      </c>
      <c r="CB391" s="557">
        <f t="shared" si="317"/>
        <v>258.60000610351562</v>
      </c>
      <c r="CC391" s="557">
        <f t="shared" si="318"/>
        <v>33.367742723034276</v>
      </c>
      <c r="CD391" s="622">
        <f t="shared" si="334"/>
        <v>33.367742723034276</v>
      </c>
      <c r="CE391" s="621">
        <f t="shared" si="335"/>
        <v>4.5528170088647117E-3</v>
      </c>
      <c r="CF391" s="605">
        <f t="shared" si="336"/>
        <v>33.367742723034276</v>
      </c>
      <c r="CG391" s="621">
        <f t="shared" si="337"/>
        <v>4.5528170088647117E-3</v>
      </c>
      <c r="CH391" s="553">
        <f t="shared" si="338"/>
        <v>1.4542253521126761E-2</v>
      </c>
      <c r="CI391" s="552">
        <v>826</v>
      </c>
      <c r="CJ391" s="551">
        <f t="shared" si="319"/>
        <v>5.8169014084507045E-2</v>
      </c>
      <c r="CK391" s="874">
        <v>0</v>
      </c>
      <c r="CL391" s="533">
        <f t="shared" si="320"/>
        <v>826</v>
      </c>
      <c r="CM391" s="619">
        <f t="shared" si="321"/>
        <v>0</v>
      </c>
      <c r="CN391" s="619">
        <f t="shared" si="322"/>
        <v>0</v>
      </c>
      <c r="CO391" s="549">
        <f t="shared" si="339"/>
        <v>0</v>
      </c>
      <c r="CP391" s="619">
        <f t="shared" si="340"/>
        <v>0</v>
      </c>
      <c r="CQ391" s="619">
        <f t="shared" si="341"/>
        <v>0</v>
      </c>
      <c r="CR391" s="546">
        <v>18743000000</v>
      </c>
      <c r="CS391" s="546">
        <v>10990000</v>
      </c>
      <c r="CT391" s="546">
        <v>0</v>
      </c>
      <c r="CU391" s="546">
        <v>0</v>
      </c>
      <c r="CV391" s="546">
        <v>0</v>
      </c>
      <c r="CW391" s="546">
        <v>0</v>
      </c>
      <c r="CX391" s="546">
        <v>0</v>
      </c>
      <c r="CY391" s="546">
        <v>7753000000</v>
      </c>
      <c r="CZ391" s="618">
        <v>0</v>
      </c>
      <c r="DA391" s="618">
        <v>0</v>
      </c>
      <c r="DB391" s="618">
        <v>0</v>
      </c>
      <c r="DC391" s="618">
        <v>0</v>
      </c>
      <c r="DD391" s="618">
        <v>0</v>
      </c>
      <c r="DE391" s="618">
        <v>0</v>
      </c>
      <c r="DF391" s="618">
        <v>0</v>
      </c>
      <c r="DG391" s="618">
        <v>0</v>
      </c>
      <c r="DH391" s="618">
        <v>0</v>
      </c>
      <c r="DI391" s="618">
        <v>0</v>
      </c>
      <c r="DJ391" s="618">
        <v>0</v>
      </c>
      <c r="DK391" s="1034">
        <f t="shared" si="323"/>
        <v>13649.600006103516</v>
      </c>
      <c r="DL391" s="543">
        <f t="shared" si="342"/>
        <v>0.25</v>
      </c>
      <c r="DM391" s="542">
        <f t="shared" si="343"/>
        <v>96.123943704954328</v>
      </c>
      <c r="DN391" s="594">
        <f t="shared" si="344"/>
        <v>96.123943704954328</v>
      </c>
      <c r="DO391" s="540">
        <f t="shared" si="345"/>
        <v>0.24030985926238582</v>
      </c>
      <c r="DP391" s="597">
        <f t="shared" si="325"/>
        <v>0.24030985926238582</v>
      </c>
      <c r="DQ391" s="538">
        <f t="shared" si="346"/>
        <v>0.24030985926238582</v>
      </c>
      <c r="DR391" s="617">
        <f t="shared" si="347"/>
        <v>1</v>
      </c>
      <c r="DS391" s="616">
        <f t="shared" si="348"/>
        <v>0</v>
      </c>
      <c r="DT391" s="259">
        <v>449</v>
      </c>
      <c r="DU391" s="260" t="s">
        <v>1107</v>
      </c>
      <c r="DV391" s="259">
        <v>450</v>
      </c>
      <c r="DW391" s="260" t="s">
        <v>1108</v>
      </c>
      <c r="DX391" s="259"/>
      <c r="DY391" s="259"/>
      <c r="DZ391" s="259"/>
      <c r="EA391" s="987"/>
      <c r="EB391" s="1041" t="s">
        <v>2694</v>
      </c>
      <c r="EC391" s="802">
        <v>0</v>
      </c>
      <c r="EE391" s="1047"/>
    </row>
    <row r="392" spans="4:135" s="534" customFormat="1" ht="102" hidden="1" x14ac:dyDescent="0.3">
      <c r="D392" s="783">
        <v>389</v>
      </c>
      <c r="E392" s="799">
        <v>457</v>
      </c>
      <c r="F392" s="739" t="s">
        <v>202</v>
      </c>
      <c r="G392" s="739" t="s">
        <v>15</v>
      </c>
      <c r="H392" s="739" t="s">
        <v>152</v>
      </c>
      <c r="I392" s="676" t="s">
        <v>1104</v>
      </c>
      <c r="J392" s="573" t="s">
        <v>1117</v>
      </c>
      <c r="K392" s="573" t="s">
        <v>1118</v>
      </c>
      <c r="L392" s="684" t="s">
        <v>2123</v>
      </c>
      <c r="M392" s="571" t="s">
        <v>2017</v>
      </c>
      <c r="N392" s="575">
        <v>163</v>
      </c>
      <c r="O392" s="570">
        <f t="shared" si="324"/>
        <v>333</v>
      </c>
      <c r="P392" s="663">
        <v>170</v>
      </c>
      <c r="Q392" s="628">
        <v>0.25</v>
      </c>
      <c r="R392" s="580">
        <f t="shared" si="326"/>
        <v>5.1470588235294115E-2</v>
      </c>
      <c r="S392" s="657">
        <v>35</v>
      </c>
      <c r="T392" s="575">
        <f t="shared" si="310"/>
        <v>0.20588235294117646</v>
      </c>
      <c r="U392" s="996">
        <v>55</v>
      </c>
      <c r="V392" s="626">
        <f t="shared" si="311"/>
        <v>55</v>
      </c>
      <c r="W392" s="594">
        <f t="shared" si="312"/>
        <v>157.14285714285714</v>
      </c>
      <c r="X392" s="594">
        <f t="shared" si="327"/>
        <v>100</v>
      </c>
      <c r="Y392" s="594">
        <f t="shared" si="307"/>
        <v>5.1470588235294115E-2</v>
      </c>
      <c r="Z392" s="594">
        <f t="shared" si="328"/>
        <v>100</v>
      </c>
      <c r="AA392" s="653">
        <v>305000000000</v>
      </c>
      <c r="AB392" s="653">
        <v>305000000000</v>
      </c>
      <c r="AC392" s="653">
        <v>0</v>
      </c>
      <c r="AD392" s="653">
        <v>0</v>
      </c>
      <c r="AE392" s="653">
        <v>0</v>
      </c>
      <c r="AF392" s="653">
        <v>0</v>
      </c>
      <c r="AG392" s="653">
        <v>0</v>
      </c>
      <c r="AH392" s="653">
        <v>0</v>
      </c>
      <c r="AI392" s="653">
        <v>3766172000</v>
      </c>
      <c r="AJ392" s="653">
        <v>3766172000</v>
      </c>
      <c r="AK392" s="653">
        <v>0</v>
      </c>
      <c r="AL392" s="653">
        <v>0</v>
      </c>
      <c r="AM392" s="653">
        <v>0</v>
      </c>
      <c r="AN392" s="653">
        <v>0</v>
      </c>
      <c r="AO392" s="653">
        <v>0</v>
      </c>
      <c r="AP392" s="653">
        <v>0</v>
      </c>
      <c r="AQ392" s="653">
        <v>0</v>
      </c>
      <c r="AR392" s="653">
        <v>0</v>
      </c>
      <c r="AS392" s="653">
        <v>0</v>
      </c>
      <c r="AT392" s="570">
        <f t="shared" si="329"/>
        <v>5.1470588235294115E-2</v>
      </c>
      <c r="AU392" s="571">
        <v>35</v>
      </c>
      <c r="AV392" s="625">
        <f t="shared" si="313"/>
        <v>0.20588235294117646</v>
      </c>
      <c r="AW392" s="1003">
        <v>72</v>
      </c>
      <c r="AX392" s="604">
        <f t="shared" si="314"/>
        <v>72</v>
      </c>
      <c r="AY392" s="604">
        <f t="shared" si="315"/>
        <v>205.71428571428572</v>
      </c>
      <c r="AZ392" s="604">
        <f t="shared" si="330"/>
        <v>100</v>
      </c>
      <c r="BA392" s="592">
        <f t="shared" si="331"/>
        <v>5.1470588235294115E-2</v>
      </c>
      <c r="BB392" s="592">
        <f t="shared" si="332"/>
        <v>100</v>
      </c>
      <c r="BC392" s="591">
        <v>463000000</v>
      </c>
      <c r="BD392" s="591">
        <v>0</v>
      </c>
      <c r="BE392" s="591">
        <v>200000000</v>
      </c>
      <c r="BF392" s="591">
        <v>0</v>
      </c>
      <c r="BG392" s="591">
        <v>0</v>
      </c>
      <c r="BH392" s="591">
        <v>0</v>
      </c>
      <c r="BI392" s="591">
        <v>0</v>
      </c>
      <c r="BJ392" s="591">
        <v>263000000</v>
      </c>
      <c r="BK392" s="669">
        <v>10103924430</v>
      </c>
      <c r="BL392" s="589">
        <v>3250000000</v>
      </c>
      <c r="BM392" s="589">
        <v>0</v>
      </c>
      <c r="BN392" s="589">
        <v>0</v>
      </c>
      <c r="BO392" s="589">
        <v>0</v>
      </c>
      <c r="BP392" s="589">
        <v>620304130</v>
      </c>
      <c r="BQ392" s="589">
        <v>165190692</v>
      </c>
      <c r="BR392" s="589">
        <v>6068429608</v>
      </c>
      <c r="BS392" s="589">
        <v>0</v>
      </c>
      <c r="BT392" s="589">
        <v>0</v>
      </c>
      <c r="BU392" s="589">
        <v>0</v>
      </c>
      <c r="BV392" s="588">
        <f t="shared" si="333"/>
        <v>7.3529411764705885E-2</v>
      </c>
      <c r="BW392" s="588">
        <v>50</v>
      </c>
      <c r="BX392" s="623">
        <f t="shared" si="316"/>
        <v>0.29411764705882354</v>
      </c>
      <c r="BY392" s="607">
        <v>0</v>
      </c>
      <c r="BZ392" s="629">
        <v>0</v>
      </c>
      <c r="CA392" s="1017">
        <v>2</v>
      </c>
      <c r="CB392" s="557">
        <f t="shared" si="317"/>
        <v>2</v>
      </c>
      <c r="CC392" s="557">
        <f t="shared" si="318"/>
        <v>4</v>
      </c>
      <c r="CD392" s="622">
        <f t="shared" si="334"/>
        <v>4</v>
      </c>
      <c r="CE392" s="621">
        <f t="shared" si="335"/>
        <v>2.9411764705882353E-3</v>
      </c>
      <c r="CF392" s="605">
        <f t="shared" si="336"/>
        <v>4</v>
      </c>
      <c r="CG392" s="621">
        <f t="shared" si="337"/>
        <v>2.9411764705882353E-3</v>
      </c>
      <c r="CH392" s="553">
        <f t="shared" si="338"/>
        <v>7.3529411764705885E-2</v>
      </c>
      <c r="CI392" s="552">
        <v>50</v>
      </c>
      <c r="CJ392" s="551">
        <f t="shared" si="319"/>
        <v>0.29411764705882354</v>
      </c>
      <c r="CK392" s="874">
        <v>0</v>
      </c>
      <c r="CL392" s="533">
        <f t="shared" si="320"/>
        <v>50</v>
      </c>
      <c r="CM392" s="619">
        <f t="shared" si="321"/>
        <v>0</v>
      </c>
      <c r="CN392" s="619">
        <f t="shared" si="322"/>
        <v>0</v>
      </c>
      <c r="CO392" s="549">
        <f t="shared" si="339"/>
        <v>0</v>
      </c>
      <c r="CP392" s="619">
        <f t="shared" si="340"/>
        <v>0</v>
      </c>
      <c r="CQ392" s="619">
        <f t="shared" si="341"/>
        <v>0</v>
      </c>
      <c r="CR392" s="546">
        <v>863000000</v>
      </c>
      <c r="CS392" s="546">
        <v>600000000</v>
      </c>
      <c r="CT392" s="546">
        <v>0</v>
      </c>
      <c r="CU392" s="546">
        <v>0</v>
      </c>
      <c r="CV392" s="546">
        <v>0</v>
      </c>
      <c r="CW392" s="546">
        <v>0</v>
      </c>
      <c r="CX392" s="546">
        <v>0</v>
      </c>
      <c r="CY392" s="546">
        <v>263000000</v>
      </c>
      <c r="CZ392" s="618">
        <v>0</v>
      </c>
      <c r="DA392" s="618">
        <v>0</v>
      </c>
      <c r="DB392" s="618">
        <v>0</v>
      </c>
      <c r="DC392" s="618">
        <v>0</v>
      </c>
      <c r="DD392" s="618">
        <v>0</v>
      </c>
      <c r="DE392" s="618">
        <v>0</v>
      </c>
      <c r="DF392" s="618">
        <v>0</v>
      </c>
      <c r="DG392" s="618">
        <v>0</v>
      </c>
      <c r="DH392" s="618">
        <v>0</v>
      </c>
      <c r="DI392" s="618">
        <v>0</v>
      </c>
      <c r="DJ392" s="618">
        <v>0</v>
      </c>
      <c r="DK392" s="1034">
        <f t="shared" si="323"/>
        <v>129</v>
      </c>
      <c r="DL392" s="543">
        <f t="shared" si="342"/>
        <v>0.25</v>
      </c>
      <c r="DM392" s="542">
        <f t="shared" si="343"/>
        <v>75.882352941176464</v>
      </c>
      <c r="DN392" s="594">
        <f t="shared" si="344"/>
        <v>75.882352941176464</v>
      </c>
      <c r="DO392" s="540">
        <f t="shared" si="345"/>
        <v>0.18970588235294117</v>
      </c>
      <c r="DP392" s="597">
        <f t="shared" si="325"/>
        <v>0.18970588235294117</v>
      </c>
      <c r="DQ392" s="538">
        <f t="shared" si="346"/>
        <v>0.18970588235294117</v>
      </c>
      <c r="DR392" s="617">
        <f t="shared" si="347"/>
        <v>1</v>
      </c>
      <c r="DS392" s="616">
        <f t="shared" si="348"/>
        <v>0</v>
      </c>
      <c r="DT392" s="259">
        <v>449</v>
      </c>
      <c r="DU392" s="260" t="s">
        <v>1107</v>
      </c>
      <c r="DV392" s="259">
        <v>450</v>
      </c>
      <c r="DW392" s="260" t="s">
        <v>1108</v>
      </c>
      <c r="DX392" s="259"/>
      <c r="DY392" s="259"/>
      <c r="DZ392" s="259"/>
      <c r="EA392" s="987"/>
      <c r="EB392" s="1041" t="s">
        <v>2695</v>
      </c>
      <c r="EC392" s="802">
        <v>0</v>
      </c>
      <c r="EE392" s="1047"/>
    </row>
    <row r="393" spans="4:135" s="534" customFormat="1" ht="96" hidden="1" x14ac:dyDescent="0.3">
      <c r="D393" s="783">
        <v>390</v>
      </c>
      <c r="E393" s="799">
        <v>458</v>
      </c>
      <c r="F393" s="739" t="s">
        <v>202</v>
      </c>
      <c r="G393" s="739" t="s">
        <v>15</v>
      </c>
      <c r="H393" s="739" t="s">
        <v>152</v>
      </c>
      <c r="I393" s="676" t="s">
        <v>1104</v>
      </c>
      <c r="J393" s="573" t="s">
        <v>1119</v>
      </c>
      <c r="K393" s="573" t="s">
        <v>1120</v>
      </c>
      <c r="L393" s="677" t="s">
        <v>1593</v>
      </c>
      <c r="M393" s="571" t="s">
        <v>2017</v>
      </c>
      <c r="N393" s="575">
        <v>0</v>
      </c>
      <c r="O393" s="570">
        <v>116</v>
      </c>
      <c r="P393" s="663">
        <v>116</v>
      </c>
      <c r="Q393" s="628">
        <v>0.33</v>
      </c>
      <c r="R393" s="580">
        <f t="shared" si="326"/>
        <v>8.2500000000000004E-2</v>
      </c>
      <c r="S393" s="657">
        <v>29</v>
      </c>
      <c r="T393" s="575">
        <f t="shared" si="310"/>
        <v>0.25</v>
      </c>
      <c r="U393" s="996">
        <v>58</v>
      </c>
      <c r="V393" s="626">
        <f t="shared" si="311"/>
        <v>58</v>
      </c>
      <c r="W393" s="594">
        <f t="shared" si="312"/>
        <v>200</v>
      </c>
      <c r="X393" s="594">
        <f t="shared" si="327"/>
        <v>100</v>
      </c>
      <c r="Y393" s="594">
        <f t="shared" si="307"/>
        <v>8.2500000000000004E-2</v>
      </c>
      <c r="Z393" s="594">
        <f t="shared" si="328"/>
        <v>100</v>
      </c>
      <c r="AA393" s="653">
        <v>0</v>
      </c>
      <c r="AB393" s="653">
        <v>0</v>
      </c>
      <c r="AC393" s="653">
        <v>0</v>
      </c>
      <c r="AD393" s="653">
        <v>0</v>
      </c>
      <c r="AE393" s="653">
        <v>0</v>
      </c>
      <c r="AF393" s="653">
        <v>0</v>
      </c>
      <c r="AG393" s="653">
        <v>0</v>
      </c>
      <c r="AH393" s="653">
        <v>0</v>
      </c>
      <c r="AI393" s="653">
        <v>19167750000</v>
      </c>
      <c r="AJ393" s="653">
        <v>14578750000</v>
      </c>
      <c r="AK393" s="653">
        <v>0</v>
      </c>
      <c r="AL393" s="653">
        <v>0</v>
      </c>
      <c r="AM393" s="653">
        <v>0</v>
      </c>
      <c r="AN393" s="653">
        <v>0</v>
      </c>
      <c r="AO393" s="653">
        <v>0</v>
      </c>
      <c r="AP393" s="653">
        <v>4589000000</v>
      </c>
      <c r="AQ393" s="653">
        <v>0</v>
      </c>
      <c r="AR393" s="653">
        <v>0</v>
      </c>
      <c r="AS393" s="653">
        <v>0</v>
      </c>
      <c r="AT393" s="570">
        <f t="shared" si="329"/>
        <v>0.15362068965517242</v>
      </c>
      <c r="AU393" s="571">
        <v>54</v>
      </c>
      <c r="AV393" s="625">
        <f t="shared" si="313"/>
        <v>0.46551724137931033</v>
      </c>
      <c r="AW393" s="1008">
        <v>52</v>
      </c>
      <c r="AX393" s="604">
        <f t="shared" si="314"/>
        <v>52</v>
      </c>
      <c r="AY393" s="604">
        <f t="shared" si="315"/>
        <v>96.296296296296291</v>
      </c>
      <c r="AZ393" s="604">
        <f t="shared" si="330"/>
        <v>96.296296296296291</v>
      </c>
      <c r="BA393" s="592">
        <f t="shared" si="331"/>
        <v>0.1479310344827586</v>
      </c>
      <c r="BB393" s="592">
        <f t="shared" si="332"/>
        <v>96.296296296296291</v>
      </c>
      <c r="BC393" s="591">
        <v>15494000000</v>
      </c>
      <c r="BD393" s="591">
        <v>0</v>
      </c>
      <c r="BE393" s="591">
        <v>4000000000</v>
      </c>
      <c r="BF393" s="591">
        <v>0</v>
      </c>
      <c r="BG393" s="591">
        <v>0</v>
      </c>
      <c r="BH393" s="591">
        <v>0</v>
      </c>
      <c r="BI393" s="591">
        <v>0</v>
      </c>
      <c r="BJ393" s="591">
        <v>11494000</v>
      </c>
      <c r="BK393" s="669">
        <v>3918884609</v>
      </c>
      <c r="BL393" s="589">
        <v>3918884609</v>
      </c>
      <c r="BM393" s="589">
        <v>0</v>
      </c>
      <c r="BN393" s="589">
        <v>0</v>
      </c>
      <c r="BO393" s="589">
        <v>0</v>
      </c>
      <c r="BP393" s="589">
        <v>0</v>
      </c>
      <c r="BQ393" s="589">
        <v>0</v>
      </c>
      <c r="BR393" s="589">
        <v>0</v>
      </c>
      <c r="BS393" s="589">
        <v>0</v>
      </c>
      <c r="BT393" s="589">
        <v>8643257256</v>
      </c>
      <c r="BU393" s="589">
        <v>0</v>
      </c>
      <c r="BV393" s="588">
        <f t="shared" si="333"/>
        <v>8.2500000000000004E-2</v>
      </c>
      <c r="BW393" s="588">
        <v>29</v>
      </c>
      <c r="BX393" s="623">
        <f t="shared" si="316"/>
        <v>0.25</v>
      </c>
      <c r="BY393" s="607">
        <v>0</v>
      </c>
      <c r="BZ393" s="629">
        <v>0</v>
      </c>
      <c r="CA393" s="1017">
        <v>0</v>
      </c>
      <c r="CB393" s="557">
        <f t="shared" si="317"/>
        <v>0</v>
      </c>
      <c r="CC393" s="557">
        <f t="shared" si="318"/>
        <v>0</v>
      </c>
      <c r="CD393" s="622">
        <f t="shared" si="334"/>
        <v>0</v>
      </c>
      <c r="CE393" s="621">
        <f t="shared" si="335"/>
        <v>0</v>
      </c>
      <c r="CF393" s="605">
        <f t="shared" si="336"/>
        <v>0</v>
      </c>
      <c r="CG393" s="621">
        <f t="shared" si="337"/>
        <v>0</v>
      </c>
      <c r="CH393" s="553">
        <f t="shared" si="338"/>
        <v>1.1379310344827587E-2</v>
      </c>
      <c r="CI393" s="552">
        <v>4</v>
      </c>
      <c r="CJ393" s="551">
        <f t="shared" si="319"/>
        <v>3.4482758620689655E-2</v>
      </c>
      <c r="CK393" s="874">
        <v>0</v>
      </c>
      <c r="CL393" s="533">
        <f t="shared" si="320"/>
        <v>4</v>
      </c>
      <c r="CM393" s="619">
        <f t="shared" si="321"/>
        <v>0</v>
      </c>
      <c r="CN393" s="619">
        <f t="shared" si="322"/>
        <v>0</v>
      </c>
      <c r="CO393" s="549">
        <f t="shared" si="339"/>
        <v>0</v>
      </c>
      <c r="CP393" s="619">
        <f t="shared" si="340"/>
        <v>0</v>
      </c>
      <c r="CQ393" s="619">
        <f t="shared" si="341"/>
        <v>0</v>
      </c>
      <c r="CR393" s="546">
        <v>31494000000</v>
      </c>
      <c r="CS393" s="546">
        <v>20000000</v>
      </c>
      <c r="CT393" s="546">
        <v>0</v>
      </c>
      <c r="CU393" s="546">
        <v>0</v>
      </c>
      <c r="CV393" s="546">
        <v>0</v>
      </c>
      <c r="CW393" s="546">
        <v>0</v>
      </c>
      <c r="CX393" s="546">
        <v>0</v>
      </c>
      <c r="CY393" s="546">
        <v>11494000</v>
      </c>
      <c r="CZ393" s="618">
        <v>0</v>
      </c>
      <c r="DA393" s="618">
        <v>0</v>
      </c>
      <c r="DB393" s="618">
        <v>0</v>
      </c>
      <c r="DC393" s="618">
        <v>0</v>
      </c>
      <c r="DD393" s="618">
        <v>0</v>
      </c>
      <c r="DE393" s="618">
        <v>0</v>
      </c>
      <c r="DF393" s="618">
        <v>0</v>
      </c>
      <c r="DG393" s="618">
        <v>0</v>
      </c>
      <c r="DH393" s="618">
        <v>0</v>
      </c>
      <c r="DI393" s="618">
        <v>0</v>
      </c>
      <c r="DJ393" s="618">
        <v>0</v>
      </c>
      <c r="DK393" s="1034">
        <f t="shared" si="323"/>
        <v>110</v>
      </c>
      <c r="DL393" s="543">
        <f t="shared" si="342"/>
        <v>0.33</v>
      </c>
      <c r="DM393" s="542">
        <f t="shared" si="343"/>
        <v>94.827586206896555</v>
      </c>
      <c r="DN393" s="594">
        <f t="shared" si="344"/>
        <v>94.827586206896555</v>
      </c>
      <c r="DO393" s="540">
        <f t="shared" si="345"/>
        <v>0.31293103448275866</v>
      </c>
      <c r="DP393" s="597">
        <f t="shared" si="325"/>
        <v>0.31293103448275866</v>
      </c>
      <c r="DQ393" s="538">
        <f t="shared" si="346"/>
        <v>0.31293103448275866</v>
      </c>
      <c r="DR393" s="617">
        <f t="shared" si="347"/>
        <v>0.99999999999999989</v>
      </c>
      <c r="DS393" s="616">
        <f t="shared" si="348"/>
        <v>-1.3877787807814457E-17</v>
      </c>
      <c r="DT393" s="259">
        <v>449</v>
      </c>
      <c r="DU393" s="260" t="s">
        <v>1107</v>
      </c>
      <c r="DV393" s="259">
        <v>450</v>
      </c>
      <c r="DW393" s="260" t="s">
        <v>1108</v>
      </c>
      <c r="DX393" s="259"/>
      <c r="DY393" s="259"/>
      <c r="DZ393" s="259"/>
      <c r="EA393" s="987"/>
      <c r="EB393" s="1041" t="s">
        <v>2696</v>
      </c>
      <c r="EC393" s="802">
        <v>0</v>
      </c>
      <c r="EE393" s="1047"/>
    </row>
    <row r="394" spans="4:135" s="534" customFormat="1" ht="51" hidden="1" x14ac:dyDescent="0.3">
      <c r="D394" s="783">
        <v>391</v>
      </c>
      <c r="E394" s="799">
        <v>459</v>
      </c>
      <c r="F394" s="739" t="s">
        <v>202</v>
      </c>
      <c r="G394" s="739" t="s">
        <v>15</v>
      </c>
      <c r="H394" s="739" t="s">
        <v>152</v>
      </c>
      <c r="I394" s="676" t="s">
        <v>1104</v>
      </c>
      <c r="J394" s="573" t="s">
        <v>1121</v>
      </c>
      <c r="K394" s="573" t="s">
        <v>1122</v>
      </c>
      <c r="L394" s="677" t="s">
        <v>2122</v>
      </c>
      <c r="M394" s="571" t="s">
        <v>2032</v>
      </c>
      <c r="N394" s="575">
        <v>0</v>
      </c>
      <c r="O394" s="570">
        <f>+P394</f>
        <v>3</v>
      </c>
      <c r="P394" s="569">
        <v>3</v>
      </c>
      <c r="Q394" s="628">
        <v>8.8999999999999996E-2</v>
      </c>
      <c r="R394" s="580">
        <f t="shared" si="326"/>
        <v>2.2249999999999999E-2</v>
      </c>
      <c r="S394" s="657">
        <v>3</v>
      </c>
      <c r="T394" s="575">
        <f t="shared" si="310"/>
        <v>0.25</v>
      </c>
      <c r="U394" s="996">
        <v>3</v>
      </c>
      <c r="V394" s="626">
        <f t="shared" si="311"/>
        <v>0.75</v>
      </c>
      <c r="W394" s="594">
        <f t="shared" si="312"/>
        <v>100</v>
      </c>
      <c r="X394" s="594">
        <f t="shared" si="327"/>
        <v>100</v>
      </c>
      <c r="Y394" s="594">
        <f t="shared" si="307"/>
        <v>2.2250000000000002E-2</v>
      </c>
      <c r="Z394" s="594">
        <f t="shared" si="328"/>
        <v>100</v>
      </c>
      <c r="AA394" s="653">
        <v>0</v>
      </c>
      <c r="AB394" s="653">
        <v>0</v>
      </c>
      <c r="AC394" s="653">
        <v>0</v>
      </c>
      <c r="AD394" s="653">
        <v>0</v>
      </c>
      <c r="AE394" s="653">
        <v>0</v>
      </c>
      <c r="AF394" s="653">
        <v>0</v>
      </c>
      <c r="AG394" s="653">
        <v>0</v>
      </c>
      <c r="AH394" s="653">
        <v>0</v>
      </c>
      <c r="AI394" s="653">
        <v>24691475000</v>
      </c>
      <c r="AJ394" s="653">
        <v>24691475000</v>
      </c>
      <c r="AK394" s="653">
        <v>0</v>
      </c>
      <c r="AL394" s="653">
        <v>0</v>
      </c>
      <c r="AM394" s="653">
        <v>0</v>
      </c>
      <c r="AN394" s="653">
        <v>0</v>
      </c>
      <c r="AO394" s="653">
        <v>0</v>
      </c>
      <c r="AP394" s="653">
        <v>0</v>
      </c>
      <c r="AQ394" s="653">
        <v>0</v>
      </c>
      <c r="AR394" s="653">
        <v>0</v>
      </c>
      <c r="AS394" s="653">
        <v>0</v>
      </c>
      <c r="AT394" s="570">
        <f t="shared" si="329"/>
        <v>2.2249999999999999E-2</v>
      </c>
      <c r="AU394" s="571">
        <v>3</v>
      </c>
      <c r="AV394" s="625">
        <f t="shared" si="313"/>
        <v>0.25</v>
      </c>
      <c r="AW394" s="1008">
        <v>3</v>
      </c>
      <c r="AX394" s="604">
        <f t="shared" si="314"/>
        <v>0.75</v>
      </c>
      <c r="AY394" s="604">
        <f t="shared" si="315"/>
        <v>100</v>
      </c>
      <c r="AZ394" s="604">
        <f t="shared" si="330"/>
        <v>100</v>
      </c>
      <c r="BA394" s="592">
        <f t="shared" si="331"/>
        <v>2.2250000000000002E-2</v>
      </c>
      <c r="BB394" s="592">
        <f t="shared" si="332"/>
        <v>100</v>
      </c>
      <c r="BC394" s="591">
        <v>10000000000</v>
      </c>
      <c r="BD394" s="591">
        <v>0</v>
      </c>
      <c r="BE394" s="591">
        <v>10000000</v>
      </c>
      <c r="BF394" s="591">
        <v>0</v>
      </c>
      <c r="BG394" s="591">
        <v>0</v>
      </c>
      <c r="BH394" s="591">
        <v>0</v>
      </c>
      <c r="BI394" s="591">
        <v>0</v>
      </c>
      <c r="BJ394" s="591">
        <v>0</v>
      </c>
      <c r="BK394" s="669">
        <v>0</v>
      </c>
      <c r="BL394" s="589">
        <v>0</v>
      </c>
      <c r="BM394" s="589">
        <v>0</v>
      </c>
      <c r="BN394" s="589">
        <v>0</v>
      </c>
      <c r="BO394" s="589">
        <v>0</v>
      </c>
      <c r="BP394" s="589">
        <v>0</v>
      </c>
      <c r="BQ394" s="589">
        <v>0</v>
      </c>
      <c r="BR394" s="589">
        <v>0</v>
      </c>
      <c r="BS394" s="589">
        <v>0</v>
      </c>
      <c r="BT394" s="589">
        <v>0</v>
      </c>
      <c r="BU394" s="589">
        <v>0</v>
      </c>
      <c r="BV394" s="588">
        <f t="shared" si="333"/>
        <v>2.2249999999999999E-2</v>
      </c>
      <c r="BW394" s="588">
        <v>3</v>
      </c>
      <c r="BX394" s="623">
        <f t="shared" si="316"/>
        <v>0.25</v>
      </c>
      <c r="BY394" s="607">
        <v>3</v>
      </c>
      <c r="BZ394" s="629">
        <v>3</v>
      </c>
      <c r="CA394" s="1017">
        <v>3</v>
      </c>
      <c r="CB394" s="557">
        <f t="shared" si="317"/>
        <v>0.75</v>
      </c>
      <c r="CC394" s="557">
        <f t="shared" si="318"/>
        <v>100</v>
      </c>
      <c r="CD394" s="622">
        <f t="shared" si="334"/>
        <v>100</v>
      </c>
      <c r="CE394" s="621">
        <f t="shared" si="335"/>
        <v>2.2250000000000002E-2</v>
      </c>
      <c r="CF394" s="605">
        <f t="shared" si="336"/>
        <v>100</v>
      </c>
      <c r="CG394" s="621">
        <f t="shared" si="337"/>
        <v>2.2250000000000002E-2</v>
      </c>
      <c r="CH394" s="553">
        <f t="shared" si="338"/>
        <v>2.2249999999999999E-2</v>
      </c>
      <c r="CI394" s="552">
        <v>3</v>
      </c>
      <c r="CJ394" s="551">
        <f t="shared" si="319"/>
        <v>0.25</v>
      </c>
      <c r="CK394" s="871">
        <v>0</v>
      </c>
      <c r="CL394" s="533">
        <f t="shared" si="320"/>
        <v>3</v>
      </c>
      <c r="CM394" s="619">
        <f t="shared" si="321"/>
        <v>0</v>
      </c>
      <c r="CN394" s="619">
        <f t="shared" si="322"/>
        <v>0</v>
      </c>
      <c r="CO394" s="619">
        <f t="shared" si="339"/>
        <v>0</v>
      </c>
      <c r="CP394" s="619">
        <f t="shared" si="340"/>
        <v>0</v>
      </c>
      <c r="CQ394" s="619">
        <f t="shared" si="341"/>
        <v>0</v>
      </c>
      <c r="CR394" s="546">
        <v>19550000000</v>
      </c>
      <c r="CS394" s="546">
        <v>19550000</v>
      </c>
      <c r="CT394" s="546">
        <v>0</v>
      </c>
      <c r="CU394" s="546">
        <v>0</v>
      </c>
      <c r="CV394" s="546">
        <v>0</v>
      </c>
      <c r="CW394" s="546">
        <v>0</v>
      </c>
      <c r="CX394" s="546">
        <v>0</v>
      </c>
      <c r="CY394" s="546">
        <v>0</v>
      </c>
      <c r="CZ394" s="618">
        <v>0</v>
      </c>
      <c r="DA394" s="618">
        <v>0</v>
      </c>
      <c r="DB394" s="618">
        <v>0</v>
      </c>
      <c r="DC394" s="618">
        <v>0</v>
      </c>
      <c r="DD394" s="618">
        <v>0</v>
      </c>
      <c r="DE394" s="618">
        <v>0</v>
      </c>
      <c r="DF394" s="618">
        <v>0</v>
      </c>
      <c r="DG394" s="618">
        <v>0</v>
      </c>
      <c r="DH394" s="618">
        <v>0</v>
      </c>
      <c r="DI394" s="618">
        <v>0</v>
      </c>
      <c r="DJ394" s="618">
        <v>0</v>
      </c>
      <c r="DK394" s="1034">
        <f t="shared" si="323"/>
        <v>2.25</v>
      </c>
      <c r="DL394" s="543">
        <f t="shared" si="342"/>
        <v>8.8999999999999996E-2</v>
      </c>
      <c r="DM394" s="542">
        <f t="shared" si="343"/>
        <v>75</v>
      </c>
      <c r="DN394" s="594">
        <f t="shared" si="344"/>
        <v>75</v>
      </c>
      <c r="DO394" s="540">
        <f t="shared" si="345"/>
        <v>6.6750000000000004E-2</v>
      </c>
      <c r="DP394" s="597">
        <f>+IF(M394="M",DO394,0)</f>
        <v>6.6750000000000004E-2</v>
      </c>
      <c r="DQ394" s="538">
        <f t="shared" si="346"/>
        <v>6.6750000000000004E-2</v>
      </c>
      <c r="DR394" s="617">
        <f t="shared" si="347"/>
        <v>1</v>
      </c>
      <c r="DS394" s="616">
        <f t="shared" si="348"/>
        <v>0</v>
      </c>
      <c r="DT394" s="259">
        <v>450</v>
      </c>
      <c r="DU394" s="260" t="s">
        <v>1108</v>
      </c>
      <c r="DV394" s="259"/>
      <c r="DW394" s="260" t="s">
        <v>242</v>
      </c>
      <c r="DX394" s="259"/>
      <c r="DY394" s="259"/>
      <c r="DZ394" s="259"/>
      <c r="EA394" s="987"/>
      <c r="EB394" s="1041" t="s">
        <v>2697</v>
      </c>
      <c r="EC394" s="802">
        <v>10000000000</v>
      </c>
      <c r="EE394" s="1047"/>
    </row>
    <row r="395" spans="4:135" s="534" customFormat="1" ht="51" hidden="1" x14ac:dyDescent="0.3">
      <c r="D395" s="783">
        <v>392</v>
      </c>
      <c r="E395" s="799">
        <v>460</v>
      </c>
      <c r="F395" s="574" t="s">
        <v>202</v>
      </c>
      <c r="G395" s="574" t="s">
        <v>15</v>
      </c>
      <c r="H395" s="574" t="s">
        <v>152</v>
      </c>
      <c r="I395" s="574" t="s">
        <v>1104</v>
      </c>
      <c r="J395" s="573" t="s">
        <v>1461</v>
      </c>
      <c r="K395" s="573" t="s">
        <v>1123</v>
      </c>
      <c r="L395" s="677" t="s">
        <v>2121</v>
      </c>
      <c r="M395" s="575" t="s">
        <v>2017</v>
      </c>
      <c r="N395" s="575">
        <v>13630</v>
      </c>
      <c r="O395" s="570">
        <f>+N395+P395</f>
        <v>28340</v>
      </c>
      <c r="P395" s="663">
        <v>14710</v>
      </c>
      <c r="Q395" s="631">
        <v>0.25</v>
      </c>
      <c r="R395" s="580">
        <f t="shared" si="326"/>
        <v>0</v>
      </c>
      <c r="S395" s="657">
        <v>0</v>
      </c>
      <c r="T395" s="575">
        <f t="shared" si="310"/>
        <v>0</v>
      </c>
      <c r="U395" s="996">
        <v>10</v>
      </c>
      <c r="V395" s="626">
        <f t="shared" si="311"/>
        <v>10</v>
      </c>
      <c r="W395" s="594">
        <f t="shared" si="312"/>
        <v>0</v>
      </c>
      <c r="X395" s="594">
        <f t="shared" si="327"/>
        <v>0</v>
      </c>
      <c r="Y395" s="594">
        <f t="shared" si="307"/>
        <v>0</v>
      </c>
      <c r="Z395" s="594">
        <f t="shared" si="328"/>
        <v>100</v>
      </c>
      <c r="AA395" s="653">
        <v>100000000000</v>
      </c>
      <c r="AB395" s="653">
        <v>100000000000</v>
      </c>
      <c r="AC395" s="653">
        <v>0</v>
      </c>
      <c r="AD395" s="653">
        <v>0</v>
      </c>
      <c r="AE395" s="653">
        <v>0</v>
      </c>
      <c r="AF395" s="653">
        <v>0</v>
      </c>
      <c r="AG395" s="653">
        <v>0</v>
      </c>
      <c r="AH395" s="653">
        <v>0</v>
      </c>
      <c r="AI395" s="653">
        <v>51900000</v>
      </c>
      <c r="AJ395" s="653">
        <v>51900000</v>
      </c>
      <c r="AK395" s="653">
        <v>0</v>
      </c>
      <c r="AL395" s="653">
        <v>0</v>
      </c>
      <c r="AM395" s="653">
        <v>0</v>
      </c>
      <c r="AN395" s="653">
        <v>0</v>
      </c>
      <c r="AO395" s="653">
        <v>0</v>
      </c>
      <c r="AP395" s="653">
        <v>0</v>
      </c>
      <c r="AQ395" s="653">
        <v>0</v>
      </c>
      <c r="AR395" s="653">
        <v>0</v>
      </c>
      <c r="AS395" s="653">
        <v>0</v>
      </c>
      <c r="AT395" s="630">
        <f t="shared" si="329"/>
        <v>0.1650237933378654</v>
      </c>
      <c r="AU395" s="571">
        <v>9710</v>
      </c>
      <c r="AV395" s="625">
        <f t="shared" si="313"/>
        <v>0.66009517335146162</v>
      </c>
      <c r="AW395" s="1003">
        <v>14700</v>
      </c>
      <c r="AX395" s="604">
        <f t="shared" si="314"/>
        <v>14700</v>
      </c>
      <c r="AY395" s="604">
        <f t="shared" si="315"/>
        <v>151.39031925849639</v>
      </c>
      <c r="AZ395" s="604">
        <f t="shared" si="330"/>
        <v>100</v>
      </c>
      <c r="BA395" s="592">
        <f t="shared" si="331"/>
        <v>0.1650237933378654</v>
      </c>
      <c r="BB395" s="592">
        <f t="shared" si="332"/>
        <v>100</v>
      </c>
      <c r="BC395" s="591">
        <v>0</v>
      </c>
      <c r="BD395" s="591">
        <v>0</v>
      </c>
      <c r="BE395" s="591">
        <v>0</v>
      </c>
      <c r="BF395" s="591">
        <v>0</v>
      </c>
      <c r="BG395" s="591">
        <v>0</v>
      </c>
      <c r="BH395" s="591">
        <v>0</v>
      </c>
      <c r="BI395" s="591">
        <v>0</v>
      </c>
      <c r="BJ395" s="591">
        <v>0</v>
      </c>
      <c r="BK395" s="669">
        <v>200000000</v>
      </c>
      <c r="BL395" s="589">
        <v>200000000</v>
      </c>
      <c r="BM395" s="589">
        <v>0</v>
      </c>
      <c r="BN395" s="589">
        <v>0</v>
      </c>
      <c r="BO395" s="589">
        <v>0</v>
      </c>
      <c r="BP395" s="589">
        <v>0</v>
      </c>
      <c r="BQ395" s="589">
        <v>0</v>
      </c>
      <c r="BR395" s="589">
        <v>0</v>
      </c>
      <c r="BS395" s="589">
        <v>0</v>
      </c>
      <c r="BT395" s="589">
        <v>0</v>
      </c>
      <c r="BU395" s="589">
        <v>0</v>
      </c>
      <c r="BV395" s="588">
        <f t="shared" si="333"/>
        <v>3.3990482664853841E-2</v>
      </c>
      <c r="BW395" s="588">
        <v>2000</v>
      </c>
      <c r="BX395" s="623">
        <f t="shared" si="316"/>
        <v>0.13596193065941536</v>
      </c>
      <c r="BY395" s="607">
        <v>0</v>
      </c>
      <c r="BZ395" s="629">
        <v>0</v>
      </c>
      <c r="CA395" s="1017">
        <v>0</v>
      </c>
      <c r="CB395" s="557">
        <f t="shared" si="317"/>
        <v>0</v>
      </c>
      <c r="CC395" s="557">
        <f t="shared" si="318"/>
        <v>0</v>
      </c>
      <c r="CD395" s="622">
        <f t="shared" si="334"/>
        <v>0</v>
      </c>
      <c r="CE395" s="621">
        <f t="shared" si="335"/>
        <v>0</v>
      </c>
      <c r="CF395" s="605">
        <f t="shared" si="336"/>
        <v>0</v>
      </c>
      <c r="CG395" s="621">
        <f t="shared" si="337"/>
        <v>0</v>
      </c>
      <c r="CH395" s="553">
        <f t="shared" si="338"/>
        <v>5.0985723997280762E-2</v>
      </c>
      <c r="CI395" s="552">
        <v>3000</v>
      </c>
      <c r="CJ395" s="551">
        <f t="shared" si="319"/>
        <v>0.20394289598912305</v>
      </c>
      <c r="CK395" s="871">
        <v>0</v>
      </c>
      <c r="CL395" s="533">
        <f t="shared" si="320"/>
        <v>3000</v>
      </c>
      <c r="CM395" s="619">
        <f t="shared" si="321"/>
        <v>0</v>
      </c>
      <c r="CN395" s="619">
        <f t="shared" si="322"/>
        <v>0</v>
      </c>
      <c r="CO395" s="549">
        <f t="shared" si="339"/>
        <v>0</v>
      </c>
      <c r="CP395" s="619">
        <f t="shared" si="340"/>
        <v>0</v>
      </c>
      <c r="CQ395" s="619">
        <f t="shared" si="341"/>
        <v>0</v>
      </c>
      <c r="CR395" s="546">
        <v>300000000</v>
      </c>
      <c r="CS395" s="546">
        <v>150000000</v>
      </c>
      <c r="CT395" s="546">
        <v>0</v>
      </c>
      <c r="CU395" s="546">
        <v>0</v>
      </c>
      <c r="CV395" s="546">
        <v>0</v>
      </c>
      <c r="CW395" s="546">
        <v>0</v>
      </c>
      <c r="CX395" s="546">
        <v>0</v>
      </c>
      <c r="CY395" s="546">
        <v>150000000</v>
      </c>
      <c r="CZ395" s="618">
        <v>0</v>
      </c>
      <c r="DA395" s="618">
        <v>0</v>
      </c>
      <c r="DB395" s="618">
        <v>0</v>
      </c>
      <c r="DC395" s="618">
        <v>0</v>
      </c>
      <c r="DD395" s="618">
        <v>0</v>
      </c>
      <c r="DE395" s="618">
        <v>0</v>
      </c>
      <c r="DF395" s="618">
        <v>0</v>
      </c>
      <c r="DG395" s="618">
        <v>0</v>
      </c>
      <c r="DH395" s="618">
        <v>0</v>
      </c>
      <c r="DI395" s="618">
        <v>0</v>
      </c>
      <c r="DJ395" s="618">
        <v>0</v>
      </c>
      <c r="DK395" s="1034">
        <f t="shared" si="323"/>
        <v>14710</v>
      </c>
      <c r="DL395" s="543">
        <f t="shared" si="342"/>
        <v>0.25</v>
      </c>
      <c r="DM395" s="542">
        <f t="shared" si="343"/>
        <v>100</v>
      </c>
      <c r="DN395" s="594">
        <f t="shared" si="344"/>
        <v>100</v>
      </c>
      <c r="DO395" s="540">
        <f t="shared" si="345"/>
        <v>0.25</v>
      </c>
      <c r="DP395" s="597">
        <f t="shared" ref="DP395:DP433" si="349">+IF(((DN395*Q395)/100)&lt;Q395, ((DN395*Q395)/100),Q395)</f>
        <v>0.25</v>
      </c>
      <c r="DQ395" s="538">
        <f t="shared" si="346"/>
        <v>0.25</v>
      </c>
      <c r="DR395" s="617">
        <f t="shared" si="347"/>
        <v>1</v>
      </c>
      <c r="DS395" s="616">
        <f t="shared" si="348"/>
        <v>0</v>
      </c>
      <c r="DT395" s="259">
        <v>449</v>
      </c>
      <c r="DU395" s="260" t="s">
        <v>1107</v>
      </c>
      <c r="DV395" s="259"/>
      <c r="DW395" s="260" t="s">
        <v>242</v>
      </c>
      <c r="DX395" s="259"/>
      <c r="DY395" s="259"/>
      <c r="DZ395" s="259"/>
      <c r="EA395" s="987"/>
      <c r="EB395" s="1041" t="s">
        <v>2698</v>
      </c>
      <c r="EC395" s="802">
        <v>0</v>
      </c>
      <c r="EE395" s="1047"/>
    </row>
    <row r="396" spans="4:135" s="534" customFormat="1" ht="51" hidden="1" x14ac:dyDescent="0.3">
      <c r="D396" s="783">
        <v>393</v>
      </c>
      <c r="E396" s="799">
        <v>461</v>
      </c>
      <c r="F396" s="574" t="s">
        <v>202</v>
      </c>
      <c r="G396" s="574" t="s">
        <v>15</v>
      </c>
      <c r="H396" s="574" t="s">
        <v>152</v>
      </c>
      <c r="I396" s="574" t="s">
        <v>1104</v>
      </c>
      <c r="J396" s="573" t="s">
        <v>1462</v>
      </c>
      <c r="K396" s="573" t="s">
        <v>1124</v>
      </c>
      <c r="L396" s="677" t="s">
        <v>2120</v>
      </c>
      <c r="M396" s="571" t="s">
        <v>2017</v>
      </c>
      <c r="N396" s="575">
        <v>0</v>
      </c>
      <c r="O396" s="570">
        <f>+N396+P396</f>
        <v>2</v>
      </c>
      <c r="P396" s="663">
        <v>2</v>
      </c>
      <c r="Q396" s="631">
        <v>0.16500000000000001</v>
      </c>
      <c r="R396" s="580">
        <f t="shared" si="326"/>
        <v>8.2500000000000004E-2</v>
      </c>
      <c r="S396" s="657">
        <v>1</v>
      </c>
      <c r="T396" s="575">
        <f t="shared" si="310"/>
        <v>0.5</v>
      </c>
      <c r="U396" s="996">
        <v>1</v>
      </c>
      <c r="V396" s="626">
        <f t="shared" si="311"/>
        <v>1</v>
      </c>
      <c r="W396" s="594">
        <f t="shared" si="312"/>
        <v>100</v>
      </c>
      <c r="X396" s="594">
        <f t="shared" si="327"/>
        <v>100</v>
      </c>
      <c r="Y396" s="594">
        <f t="shared" si="307"/>
        <v>8.2500000000000004E-2</v>
      </c>
      <c r="Z396" s="594">
        <f t="shared" si="328"/>
        <v>100</v>
      </c>
      <c r="AA396" s="653">
        <v>0</v>
      </c>
      <c r="AB396" s="653">
        <v>0</v>
      </c>
      <c r="AC396" s="653">
        <v>0</v>
      </c>
      <c r="AD396" s="653">
        <v>0</v>
      </c>
      <c r="AE396" s="653">
        <v>0</v>
      </c>
      <c r="AF396" s="653">
        <v>0</v>
      </c>
      <c r="AG396" s="653">
        <v>0</v>
      </c>
      <c r="AH396" s="653">
        <v>0</v>
      </c>
      <c r="AI396" s="653">
        <v>0</v>
      </c>
      <c r="AJ396" s="653">
        <v>0</v>
      </c>
      <c r="AK396" s="653">
        <v>0</v>
      </c>
      <c r="AL396" s="653">
        <v>0</v>
      </c>
      <c r="AM396" s="653">
        <v>0</v>
      </c>
      <c r="AN396" s="653">
        <v>0</v>
      </c>
      <c r="AO396" s="653">
        <v>0</v>
      </c>
      <c r="AP396" s="653">
        <v>0</v>
      </c>
      <c r="AQ396" s="653">
        <v>0</v>
      </c>
      <c r="AR396" s="653">
        <v>1950000000</v>
      </c>
      <c r="AS396" s="653" t="s">
        <v>2119</v>
      </c>
      <c r="AT396" s="630">
        <f t="shared" si="329"/>
        <v>0</v>
      </c>
      <c r="AU396" s="571">
        <v>0</v>
      </c>
      <c r="AV396" s="625">
        <f t="shared" si="313"/>
        <v>0</v>
      </c>
      <c r="AW396" s="1003">
        <v>0</v>
      </c>
      <c r="AX396" s="604">
        <f t="shared" si="314"/>
        <v>0</v>
      </c>
      <c r="AY396" s="604">
        <f t="shared" si="315"/>
        <v>0</v>
      </c>
      <c r="AZ396" s="604">
        <f t="shared" si="330"/>
        <v>0</v>
      </c>
      <c r="BA396" s="592">
        <f t="shared" si="331"/>
        <v>0</v>
      </c>
      <c r="BB396" s="592">
        <f t="shared" si="332"/>
        <v>0</v>
      </c>
      <c r="BC396" s="591">
        <v>0</v>
      </c>
      <c r="BD396" s="591">
        <v>0</v>
      </c>
      <c r="BE396" s="591">
        <v>0</v>
      </c>
      <c r="BF396" s="591">
        <v>0</v>
      </c>
      <c r="BG396" s="591">
        <v>0</v>
      </c>
      <c r="BH396" s="591">
        <v>0</v>
      </c>
      <c r="BI396" s="591">
        <v>0</v>
      </c>
      <c r="BJ396" s="591">
        <v>0</v>
      </c>
      <c r="BK396" s="669">
        <v>0</v>
      </c>
      <c r="BL396" s="589">
        <v>0</v>
      </c>
      <c r="BM396" s="589">
        <v>0</v>
      </c>
      <c r="BN396" s="589">
        <v>0</v>
      </c>
      <c r="BO396" s="589">
        <v>0</v>
      </c>
      <c r="BP396" s="589">
        <v>0</v>
      </c>
      <c r="BQ396" s="589">
        <v>0</v>
      </c>
      <c r="BR396" s="589">
        <v>0</v>
      </c>
      <c r="BS396" s="589">
        <v>0</v>
      </c>
      <c r="BT396" s="589">
        <v>0</v>
      </c>
      <c r="BU396" s="589">
        <v>0</v>
      </c>
      <c r="BV396" s="588">
        <f t="shared" si="333"/>
        <v>0</v>
      </c>
      <c r="BW396" s="588">
        <v>0</v>
      </c>
      <c r="BX396" s="623">
        <f t="shared" si="316"/>
        <v>0</v>
      </c>
      <c r="BY396" s="607">
        <v>0</v>
      </c>
      <c r="BZ396" s="629">
        <v>0</v>
      </c>
      <c r="CA396" s="1017">
        <v>0</v>
      </c>
      <c r="CB396" s="557">
        <f t="shared" si="317"/>
        <v>0</v>
      </c>
      <c r="CC396" s="557">
        <f t="shared" si="318"/>
        <v>0</v>
      </c>
      <c r="CD396" s="622">
        <f t="shared" si="334"/>
        <v>0</v>
      </c>
      <c r="CE396" s="621">
        <f t="shared" si="335"/>
        <v>0</v>
      </c>
      <c r="CF396" s="605">
        <f t="shared" si="336"/>
        <v>0</v>
      </c>
      <c r="CG396" s="621">
        <f t="shared" si="337"/>
        <v>0</v>
      </c>
      <c r="CH396" s="553">
        <f t="shared" si="338"/>
        <v>8.2500000000000004E-2</v>
      </c>
      <c r="CI396" s="552">
        <v>1</v>
      </c>
      <c r="CJ396" s="551">
        <f t="shared" si="319"/>
        <v>0.5</v>
      </c>
      <c r="CK396" s="871">
        <v>0</v>
      </c>
      <c r="CL396" s="533">
        <f t="shared" si="320"/>
        <v>1</v>
      </c>
      <c r="CM396" s="619">
        <f t="shared" si="321"/>
        <v>0</v>
      </c>
      <c r="CN396" s="619">
        <f t="shared" si="322"/>
        <v>0</v>
      </c>
      <c r="CO396" s="549">
        <f t="shared" si="339"/>
        <v>0</v>
      </c>
      <c r="CP396" s="619">
        <f t="shared" si="340"/>
        <v>0</v>
      </c>
      <c r="CQ396" s="619">
        <f t="shared" si="341"/>
        <v>0</v>
      </c>
      <c r="CR396" s="546">
        <v>0</v>
      </c>
      <c r="CS396" s="546">
        <v>0</v>
      </c>
      <c r="CT396" s="546">
        <v>0</v>
      </c>
      <c r="CU396" s="546">
        <v>0</v>
      </c>
      <c r="CV396" s="546">
        <v>0</v>
      </c>
      <c r="CW396" s="546">
        <v>0</v>
      </c>
      <c r="CX396" s="546">
        <v>0</v>
      </c>
      <c r="CY396" s="546">
        <v>0</v>
      </c>
      <c r="CZ396" s="618">
        <v>0</v>
      </c>
      <c r="DA396" s="618">
        <v>0</v>
      </c>
      <c r="DB396" s="618">
        <v>0</v>
      </c>
      <c r="DC396" s="618">
        <v>0</v>
      </c>
      <c r="DD396" s="618">
        <v>0</v>
      </c>
      <c r="DE396" s="618">
        <v>0</v>
      </c>
      <c r="DF396" s="618">
        <v>0</v>
      </c>
      <c r="DG396" s="618">
        <v>0</v>
      </c>
      <c r="DH396" s="618">
        <v>0</v>
      </c>
      <c r="DI396" s="618">
        <v>0</v>
      </c>
      <c r="DJ396" s="618">
        <v>0</v>
      </c>
      <c r="DK396" s="1034">
        <f t="shared" si="323"/>
        <v>1</v>
      </c>
      <c r="DL396" s="543">
        <f t="shared" si="342"/>
        <v>0.16500000000000001</v>
      </c>
      <c r="DM396" s="542">
        <f t="shared" si="343"/>
        <v>50</v>
      </c>
      <c r="DN396" s="594">
        <f t="shared" si="344"/>
        <v>50</v>
      </c>
      <c r="DO396" s="540">
        <f t="shared" si="345"/>
        <v>8.2500000000000004E-2</v>
      </c>
      <c r="DP396" s="597">
        <f t="shared" si="349"/>
        <v>8.2500000000000004E-2</v>
      </c>
      <c r="DQ396" s="538">
        <f t="shared" si="346"/>
        <v>8.2500000000000004E-2</v>
      </c>
      <c r="DR396" s="617">
        <f t="shared" si="347"/>
        <v>1</v>
      </c>
      <c r="DS396" s="616">
        <f t="shared" si="348"/>
        <v>0</v>
      </c>
      <c r="DT396" s="259">
        <v>450</v>
      </c>
      <c r="DU396" s="260" t="s">
        <v>1108</v>
      </c>
      <c r="DV396" s="259"/>
      <c r="DW396" s="260" t="s">
        <v>242</v>
      </c>
      <c r="DX396" s="259"/>
      <c r="DY396" s="259"/>
      <c r="DZ396" s="259"/>
      <c r="EA396" s="987"/>
      <c r="EB396" s="1041" t="s">
        <v>2699</v>
      </c>
      <c r="EC396" s="802">
        <v>267000000</v>
      </c>
      <c r="EE396" s="1047"/>
    </row>
    <row r="397" spans="4:135" s="534" customFormat="1" ht="114.75" hidden="1" x14ac:dyDescent="0.3">
      <c r="D397" s="783">
        <v>394</v>
      </c>
      <c r="E397" s="799">
        <v>462</v>
      </c>
      <c r="F397" s="739" t="s">
        <v>202</v>
      </c>
      <c r="G397" s="739" t="s">
        <v>22</v>
      </c>
      <c r="H397" s="739" t="s">
        <v>152</v>
      </c>
      <c r="I397" s="676" t="s">
        <v>1125</v>
      </c>
      <c r="J397" s="573" t="s">
        <v>1126</v>
      </c>
      <c r="K397" s="573" t="s">
        <v>1127</v>
      </c>
      <c r="L397" s="677" t="s">
        <v>2118</v>
      </c>
      <c r="M397" s="571" t="s">
        <v>2017</v>
      </c>
      <c r="N397" s="575">
        <v>0</v>
      </c>
      <c r="O397" s="570">
        <f>+N397+P397</f>
        <v>400</v>
      </c>
      <c r="P397" s="663">
        <v>400</v>
      </c>
      <c r="Q397" s="628">
        <v>0.16500000000000001</v>
      </c>
      <c r="R397" s="580">
        <f t="shared" si="326"/>
        <v>3.91875E-2</v>
      </c>
      <c r="S397" s="657">
        <v>95</v>
      </c>
      <c r="T397" s="575">
        <f t="shared" si="310"/>
        <v>0.23749999999999999</v>
      </c>
      <c r="U397" s="996">
        <v>0</v>
      </c>
      <c r="V397" s="626">
        <f t="shared" si="311"/>
        <v>0</v>
      </c>
      <c r="W397" s="594">
        <f t="shared" si="312"/>
        <v>0</v>
      </c>
      <c r="X397" s="594">
        <f t="shared" si="327"/>
        <v>0</v>
      </c>
      <c r="Y397" s="594">
        <f t="shared" si="307"/>
        <v>0</v>
      </c>
      <c r="Z397" s="594">
        <f t="shared" si="328"/>
        <v>0</v>
      </c>
      <c r="AA397" s="653">
        <v>1432000000</v>
      </c>
      <c r="AB397" s="653">
        <v>1232000000</v>
      </c>
      <c r="AC397" s="653">
        <v>0</v>
      </c>
      <c r="AD397" s="653">
        <v>0</v>
      </c>
      <c r="AE397" s="653">
        <v>0</v>
      </c>
      <c r="AF397" s="653">
        <v>0</v>
      </c>
      <c r="AG397" s="653">
        <v>0</v>
      </c>
      <c r="AH397" s="653">
        <v>200000000</v>
      </c>
      <c r="AI397" s="653">
        <v>44800000</v>
      </c>
      <c r="AJ397" s="653">
        <v>44800000</v>
      </c>
      <c r="AK397" s="653">
        <v>0</v>
      </c>
      <c r="AL397" s="653">
        <v>0</v>
      </c>
      <c r="AM397" s="653">
        <v>0</v>
      </c>
      <c r="AN397" s="653">
        <v>0</v>
      </c>
      <c r="AO397" s="653">
        <v>0</v>
      </c>
      <c r="AP397" s="653">
        <v>0</v>
      </c>
      <c r="AQ397" s="653">
        <v>0</v>
      </c>
      <c r="AR397" s="653">
        <v>0</v>
      </c>
      <c r="AS397" s="653">
        <v>0</v>
      </c>
      <c r="AT397" s="570">
        <f t="shared" si="329"/>
        <v>4.0837499999999999E-2</v>
      </c>
      <c r="AU397" s="571">
        <v>99</v>
      </c>
      <c r="AV397" s="625">
        <f t="shared" si="313"/>
        <v>0.2475</v>
      </c>
      <c r="AW397" s="1003">
        <v>72.3</v>
      </c>
      <c r="AX397" s="604">
        <f t="shared" si="314"/>
        <v>72.3</v>
      </c>
      <c r="AY397" s="604">
        <f t="shared" si="315"/>
        <v>73.030303030303031</v>
      </c>
      <c r="AZ397" s="604">
        <f t="shared" si="330"/>
        <v>73.030303030303031</v>
      </c>
      <c r="BA397" s="592">
        <f t="shared" si="331"/>
        <v>2.9823749999999996E-2</v>
      </c>
      <c r="BB397" s="592">
        <f t="shared" si="332"/>
        <v>73.030303030303031</v>
      </c>
      <c r="BC397" s="591">
        <v>1332000000</v>
      </c>
      <c r="BD397" s="591">
        <v>0</v>
      </c>
      <c r="BE397" s="591">
        <v>1332000000</v>
      </c>
      <c r="BF397" s="591">
        <v>0</v>
      </c>
      <c r="BG397" s="591">
        <v>0</v>
      </c>
      <c r="BH397" s="591">
        <v>0</v>
      </c>
      <c r="BI397" s="591">
        <v>0</v>
      </c>
      <c r="BJ397" s="591">
        <v>0</v>
      </c>
      <c r="BK397" s="669">
        <v>3872398045</v>
      </c>
      <c r="BL397" s="589">
        <v>3872398045</v>
      </c>
      <c r="BM397" s="589">
        <v>0</v>
      </c>
      <c r="BN397" s="589">
        <v>0</v>
      </c>
      <c r="BO397" s="589">
        <v>0</v>
      </c>
      <c r="BP397" s="589">
        <v>0</v>
      </c>
      <c r="BQ397" s="589">
        <v>0</v>
      </c>
      <c r="BR397" s="589">
        <v>0</v>
      </c>
      <c r="BS397" s="589">
        <v>0</v>
      </c>
      <c r="BT397" s="589">
        <v>0</v>
      </c>
      <c r="BU397" s="589">
        <v>0</v>
      </c>
      <c r="BV397" s="588">
        <f t="shared" si="333"/>
        <v>4.2075000000000001E-2</v>
      </c>
      <c r="BW397" s="588">
        <v>102</v>
      </c>
      <c r="BX397" s="623">
        <f t="shared" si="316"/>
        <v>0.255</v>
      </c>
      <c r="BY397" s="607">
        <v>81.5</v>
      </c>
      <c r="BZ397" s="629">
        <v>126.37000274658203</v>
      </c>
      <c r="CA397" s="1017">
        <v>218.33999633789062</v>
      </c>
      <c r="CB397" s="557">
        <f t="shared" si="317"/>
        <v>218.33999633789062</v>
      </c>
      <c r="CC397" s="557">
        <f t="shared" si="318"/>
        <v>214.05881993910845</v>
      </c>
      <c r="CD397" s="622">
        <f t="shared" si="334"/>
        <v>100</v>
      </c>
      <c r="CE397" s="621">
        <f t="shared" si="335"/>
        <v>4.2075000000000001E-2</v>
      </c>
      <c r="CF397" s="605">
        <f t="shared" si="336"/>
        <v>100</v>
      </c>
      <c r="CG397" s="621">
        <f t="shared" si="337"/>
        <v>9.0065248489379884E-2</v>
      </c>
      <c r="CH397" s="553">
        <f t="shared" si="338"/>
        <v>4.2900000000000001E-2</v>
      </c>
      <c r="CI397" s="552">
        <v>104</v>
      </c>
      <c r="CJ397" s="551">
        <f t="shared" si="319"/>
        <v>0.26</v>
      </c>
      <c r="CK397" s="871">
        <v>0</v>
      </c>
      <c r="CL397" s="533">
        <f t="shared" si="320"/>
        <v>104</v>
      </c>
      <c r="CM397" s="619">
        <f t="shared" si="321"/>
        <v>0</v>
      </c>
      <c r="CN397" s="619">
        <f t="shared" si="322"/>
        <v>0</v>
      </c>
      <c r="CO397" s="549">
        <f t="shared" si="339"/>
        <v>0</v>
      </c>
      <c r="CP397" s="619">
        <f t="shared" si="340"/>
        <v>0</v>
      </c>
      <c r="CQ397" s="619">
        <f t="shared" si="341"/>
        <v>0</v>
      </c>
      <c r="CR397" s="546">
        <v>1413000000</v>
      </c>
      <c r="CS397" s="546">
        <v>1413000000</v>
      </c>
      <c r="CT397" s="546">
        <v>0</v>
      </c>
      <c r="CU397" s="546">
        <v>0</v>
      </c>
      <c r="CV397" s="546">
        <v>0</v>
      </c>
      <c r="CW397" s="546">
        <v>0</v>
      </c>
      <c r="CX397" s="546">
        <v>0</v>
      </c>
      <c r="CY397" s="546">
        <v>0</v>
      </c>
      <c r="CZ397" s="618">
        <v>0</v>
      </c>
      <c r="DA397" s="618">
        <v>0</v>
      </c>
      <c r="DB397" s="618">
        <v>0</v>
      </c>
      <c r="DC397" s="618">
        <v>0</v>
      </c>
      <c r="DD397" s="618">
        <v>0</v>
      </c>
      <c r="DE397" s="618">
        <v>0</v>
      </c>
      <c r="DF397" s="618">
        <v>0</v>
      </c>
      <c r="DG397" s="618">
        <v>0</v>
      </c>
      <c r="DH397" s="618">
        <v>0</v>
      </c>
      <c r="DI397" s="618">
        <v>0</v>
      </c>
      <c r="DJ397" s="618">
        <v>0</v>
      </c>
      <c r="DK397" s="1034">
        <f t="shared" si="323"/>
        <v>290.63999633789064</v>
      </c>
      <c r="DL397" s="543">
        <f t="shared" si="342"/>
        <v>0.16500000000000001</v>
      </c>
      <c r="DM397" s="542">
        <f t="shared" si="343"/>
        <v>72.659999084472659</v>
      </c>
      <c r="DN397" s="594">
        <f t="shared" si="344"/>
        <v>72.659999084472659</v>
      </c>
      <c r="DO397" s="540">
        <f t="shared" si="345"/>
        <v>0.11988899848937989</v>
      </c>
      <c r="DP397" s="597">
        <f t="shared" si="349"/>
        <v>0.11988899848937989</v>
      </c>
      <c r="DQ397" s="538">
        <f t="shared" si="346"/>
        <v>0.11988899848937989</v>
      </c>
      <c r="DR397" s="617">
        <f t="shared" si="347"/>
        <v>1</v>
      </c>
      <c r="DS397" s="616">
        <f t="shared" si="348"/>
        <v>0</v>
      </c>
      <c r="DT397" s="259">
        <v>2</v>
      </c>
      <c r="DU397" s="260" t="s">
        <v>1128</v>
      </c>
      <c r="DV397" s="259">
        <v>34</v>
      </c>
      <c r="DW397" s="260" t="s">
        <v>296</v>
      </c>
      <c r="DX397" s="259">
        <v>73</v>
      </c>
      <c r="DY397" s="259">
        <v>116</v>
      </c>
      <c r="DZ397" s="259">
        <v>159</v>
      </c>
      <c r="EA397" s="987">
        <v>178</v>
      </c>
      <c r="EB397" s="1041" t="s">
        <v>2700</v>
      </c>
      <c r="EC397" s="802">
        <v>1372000000</v>
      </c>
      <c r="EE397" s="1047"/>
    </row>
    <row r="398" spans="4:135" s="534" customFormat="1" ht="89.25" hidden="1" x14ac:dyDescent="0.3">
      <c r="D398" s="783">
        <v>395</v>
      </c>
      <c r="E398" s="799">
        <v>463</v>
      </c>
      <c r="F398" s="739" t="s">
        <v>202</v>
      </c>
      <c r="G398" s="739" t="s">
        <v>22</v>
      </c>
      <c r="H398" s="739" t="s">
        <v>152</v>
      </c>
      <c r="I398" s="676" t="s">
        <v>1125</v>
      </c>
      <c r="J398" s="573" t="s">
        <v>2117</v>
      </c>
      <c r="K398" s="573" t="s">
        <v>1129</v>
      </c>
      <c r="L398" s="675" t="s">
        <v>1729</v>
      </c>
      <c r="M398" s="571" t="s">
        <v>2070</v>
      </c>
      <c r="N398" s="571">
        <v>443</v>
      </c>
      <c r="O398" s="571">
        <v>369</v>
      </c>
      <c r="P398" s="569">
        <v>74</v>
      </c>
      <c r="Q398" s="628">
        <v>0.25</v>
      </c>
      <c r="R398" s="683">
        <f t="shared" si="326"/>
        <v>6.0810810810810814E-2</v>
      </c>
      <c r="S398" s="654">
        <f>+N398-18</f>
        <v>425</v>
      </c>
      <c r="T398" s="625">
        <f>IF($M179="M",0.25,IF($M179="R",(N398-S398)/$P398,(IF($P398&gt;0,S398/$P398," "))))</f>
        <v>0.24324324324324326</v>
      </c>
      <c r="U398" s="992">
        <f>+N398-58</f>
        <v>385</v>
      </c>
      <c r="V398" s="626">
        <f>+IF($M398="I",(U398),IF($M398="M",U398/4, U398))</f>
        <v>385</v>
      </c>
      <c r="W398" s="594">
        <f>IF(S398=0,0, IF(M398="R",(N398-U398)/(N398-S398)*100,U398*100/S398))</f>
        <v>322.22222222222223</v>
      </c>
      <c r="X398" s="594">
        <f t="shared" si="327"/>
        <v>100</v>
      </c>
      <c r="Y398" s="594">
        <f t="shared" si="307"/>
        <v>6.0810810810810814E-2</v>
      </c>
      <c r="Z398" s="594">
        <f t="shared" si="328"/>
        <v>100</v>
      </c>
      <c r="AA398" s="653">
        <v>1049000000</v>
      </c>
      <c r="AB398" s="653">
        <v>0</v>
      </c>
      <c r="AC398" s="653">
        <v>0</v>
      </c>
      <c r="AD398" s="653">
        <v>0</v>
      </c>
      <c r="AE398" s="653">
        <v>0</v>
      </c>
      <c r="AF398" s="653">
        <v>0</v>
      </c>
      <c r="AG398" s="653">
        <v>0</v>
      </c>
      <c r="AH398" s="653">
        <v>0</v>
      </c>
      <c r="AI398" s="653">
        <v>777976000</v>
      </c>
      <c r="AJ398" s="653">
        <v>0</v>
      </c>
      <c r="AK398" s="653">
        <v>0</v>
      </c>
      <c r="AL398" s="653">
        <v>0</v>
      </c>
      <c r="AM398" s="653">
        <v>0</v>
      </c>
      <c r="AN398" s="653">
        <v>0</v>
      </c>
      <c r="AO398" s="653">
        <v>0</v>
      </c>
      <c r="AP398" s="653">
        <v>0</v>
      </c>
      <c r="AQ398" s="653">
        <v>0</v>
      </c>
      <c r="AR398" s="653">
        <v>0</v>
      </c>
      <c r="AS398" s="653">
        <v>0</v>
      </c>
      <c r="AT398" s="570">
        <f t="shared" si="329"/>
        <v>6.4189189189189186E-2</v>
      </c>
      <c r="AU398" s="652">
        <f>425-19</f>
        <v>406</v>
      </c>
      <c r="AV398" s="625">
        <f>IF($M179="M",0.25,IF($M179="R",(+S398-AU398)/$P398,(IF($P398&gt;0,AU398/$P398," "))))</f>
        <v>0.25675675675675674</v>
      </c>
      <c r="AW398" s="1003">
        <v>356</v>
      </c>
      <c r="AX398" s="649">
        <f>+IF($M398="I",(AW398),IF($M398="M",AW398/4, AW398))</f>
        <v>356</v>
      </c>
      <c r="AY398" s="592">
        <f>IF(AU398=0,0, IF($M398="R",(S398-AW398)/(S398-AU398)*100,AW398*100/AU398))</f>
        <v>363.15789473684214</v>
      </c>
      <c r="AZ398" s="604">
        <f t="shared" si="330"/>
        <v>100</v>
      </c>
      <c r="BA398" s="592">
        <f t="shared" si="331"/>
        <v>6.4189189189189186E-2</v>
      </c>
      <c r="BB398" s="592">
        <f t="shared" si="332"/>
        <v>100</v>
      </c>
      <c r="BC398" s="591">
        <v>0</v>
      </c>
      <c r="BD398" s="591">
        <v>0</v>
      </c>
      <c r="BE398" s="591">
        <v>0</v>
      </c>
      <c r="BF398" s="591">
        <v>0</v>
      </c>
      <c r="BG398" s="591">
        <v>0</v>
      </c>
      <c r="BH398" s="591">
        <v>0</v>
      </c>
      <c r="BI398" s="591">
        <v>0</v>
      </c>
      <c r="BJ398" s="591">
        <v>0</v>
      </c>
      <c r="BK398" s="669">
        <v>2080501750</v>
      </c>
      <c r="BL398" s="589">
        <v>2080501750</v>
      </c>
      <c r="BM398" s="589">
        <v>0</v>
      </c>
      <c r="BN398" s="589">
        <v>0</v>
      </c>
      <c r="BO398" s="589">
        <v>0</v>
      </c>
      <c r="BP398" s="589">
        <v>0</v>
      </c>
      <c r="BQ398" s="589">
        <v>0</v>
      </c>
      <c r="BR398" s="589">
        <v>0</v>
      </c>
      <c r="BS398" s="589">
        <v>0</v>
      </c>
      <c r="BT398" s="589">
        <v>0</v>
      </c>
      <c r="BU398" s="589">
        <v>0</v>
      </c>
      <c r="BV398" s="588">
        <f t="shared" si="333"/>
        <v>6.4189189189189186E-2</v>
      </c>
      <c r="BW398" s="651">
        <f>+AU398-19</f>
        <v>387</v>
      </c>
      <c r="BX398" s="650">
        <f>IF($M179="M",0.25,IF($M179="R",(AU398-BW398)/$P398,(IF($P398&gt;0,BW398/$P398," "))))</f>
        <v>0.25675675675675674</v>
      </c>
      <c r="BY398" s="607">
        <v>2</v>
      </c>
      <c r="BZ398" s="629">
        <v>61</v>
      </c>
      <c r="CA398" s="1024">
        <v>392</v>
      </c>
      <c r="CB398" s="649">
        <f>+IF($M398="I",(CA398),IF($M398="M",CA398/4, CA398))</f>
        <v>392</v>
      </c>
      <c r="CC398" s="592">
        <f>IF(CA398=0,0,IF($M398="R",((AU398-CA398)/(AU398-BW398))*100,CA398*100/BW398))</f>
        <v>73.68421052631578</v>
      </c>
      <c r="CD398" s="622">
        <f t="shared" si="334"/>
        <v>73.68421052631578</v>
      </c>
      <c r="CE398" s="621">
        <f t="shared" si="335"/>
        <v>4.7297297297297286E-2</v>
      </c>
      <c r="CF398" s="605">
        <f t="shared" si="336"/>
        <v>73.68421052631578</v>
      </c>
      <c r="CG398" s="621">
        <f t="shared" si="337"/>
        <v>4.7297297297297286E-2</v>
      </c>
      <c r="CH398" s="553">
        <f t="shared" si="338"/>
        <v>6.0810810810810814E-2</v>
      </c>
      <c r="CI398" s="552">
        <f>+BW398-18</f>
        <v>369</v>
      </c>
      <c r="CJ398" s="648">
        <f>IF($M179="M",0.25,IF($M179="R",(BW398-CI398)/$P398,(IF($P398&gt;0,CI398/$P398," "))))</f>
        <v>0.24324324324324326</v>
      </c>
      <c r="CK398" s="874">
        <v>180</v>
      </c>
      <c r="CL398" s="533">
        <f t="shared" si="320"/>
        <v>189</v>
      </c>
      <c r="CM398" s="626">
        <f>+IF($M398="I",(CK398),IF($M398="M",CK398/4, CK398))</f>
        <v>180</v>
      </c>
      <c r="CN398" s="594">
        <f>IF(CK398=0,0,IF($M398="R",((BW398-CK398)/(BW398-CI398))*100,CK398*100/CI398))</f>
        <v>1150</v>
      </c>
      <c r="CO398" s="619">
        <f t="shared" si="339"/>
        <v>100</v>
      </c>
      <c r="CP398" s="619">
        <f t="shared" si="340"/>
        <v>6.0810810810810814E-2</v>
      </c>
      <c r="CQ398" s="619">
        <f t="shared" si="341"/>
        <v>0.69932432432432434</v>
      </c>
      <c r="CR398" s="546">
        <v>0</v>
      </c>
      <c r="CS398" s="546">
        <v>0</v>
      </c>
      <c r="CT398" s="546">
        <v>0</v>
      </c>
      <c r="CU398" s="546">
        <v>0</v>
      </c>
      <c r="CV398" s="546">
        <v>0</v>
      </c>
      <c r="CW398" s="546">
        <v>0</v>
      </c>
      <c r="CX398" s="546">
        <v>0</v>
      </c>
      <c r="CY398" s="546">
        <v>0</v>
      </c>
      <c r="CZ398" s="618">
        <v>0</v>
      </c>
      <c r="DA398" s="618">
        <v>0</v>
      </c>
      <c r="DB398" s="618">
        <v>0</v>
      </c>
      <c r="DC398" s="618">
        <v>0</v>
      </c>
      <c r="DD398" s="618">
        <v>0</v>
      </c>
      <c r="DE398" s="618">
        <v>0</v>
      </c>
      <c r="DF398" s="618">
        <v>0</v>
      </c>
      <c r="DG398" s="618">
        <v>0</v>
      </c>
      <c r="DH398" s="618">
        <v>0</v>
      </c>
      <c r="DI398" s="618">
        <v>0</v>
      </c>
      <c r="DJ398" s="618">
        <v>0</v>
      </c>
      <c r="DK398" s="1035">
        <f>+IF(M398="I",(H398+AF398+BJ398),IF(M398="M",(H398+AF398+BJ398)/3,N398-CK398 ))</f>
        <v>263</v>
      </c>
      <c r="DL398" s="543">
        <f t="shared" si="342"/>
        <v>0.25</v>
      </c>
      <c r="DM398" s="542">
        <f t="shared" si="343"/>
        <v>355.40540540540542</v>
      </c>
      <c r="DN398" s="594">
        <f t="shared" si="344"/>
        <v>100</v>
      </c>
      <c r="DO398" s="540">
        <f t="shared" si="345"/>
        <v>0.25</v>
      </c>
      <c r="DP398" s="597">
        <f t="shared" si="349"/>
        <v>0.25</v>
      </c>
      <c r="DQ398" s="538">
        <f t="shared" si="346"/>
        <v>0.25</v>
      </c>
      <c r="DR398" s="617">
        <f t="shared" si="347"/>
        <v>1</v>
      </c>
      <c r="DS398" s="616">
        <f t="shared" si="348"/>
        <v>0</v>
      </c>
      <c r="DT398" s="259">
        <v>2</v>
      </c>
      <c r="DU398" s="260" t="s">
        <v>1128</v>
      </c>
      <c r="DV398" s="259">
        <v>34</v>
      </c>
      <c r="DW398" s="260" t="s">
        <v>296</v>
      </c>
      <c r="DX398" s="259">
        <v>73</v>
      </c>
      <c r="DY398" s="259">
        <v>116</v>
      </c>
      <c r="DZ398" s="259">
        <v>159</v>
      </c>
      <c r="EA398" s="987">
        <v>178</v>
      </c>
      <c r="EB398" s="1041" t="s">
        <v>2701</v>
      </c>
      <c r="EC398" s="802">
        <v>0</v>
      </c>
      <c r="EE398" s="1047"/>
    </row>
    <row r="399" spans="4:135" s="534" customFormat="1" ht="84" hidden="1" x14ac:dyDescent="0.3">
      <c r="D399" s="783">
        <v>396</v>
      </c>
      <c r="E399" s="799">
        <v>464</v>
      </c>
      <c r="F399" s="739" t="s">
        <v>202</v>
      </c>
      <c r="G399" s="739" t="s">
        <v>22</v>
      </c>
      <c r="H399" s="739" t="s">
        <v>152</v>
      </c>
      <c r="I399" s="676" t="s">
        <v>1125</v>
      </c>
      <c r="J399" s="573" t="s">
        <v>1130</v>
      </c>
      <c r="K399" s="573" t="s">
        <v>1131</v>
      </c>
      <c r="L399" s="677" t="s">
        <v>2049</v>
      </c>
      <c r="M399" s="571" t="s">
        <v>2017</v>
      </c>
      <c r="N399" s="575">
        <v>0</v>
      </c>
      <c r="O399" s="570">
        <f t="shared" ref="O399:O433" si="350">+N399+P399</f>
        <v>1</v>
      </c>
      <c r="P399" s="663">
        <v>1</v>
      </c>
      <c r="Q399" s="628">
        <v>0.25</v>
      </c>
      <c r="R399" s="580">
        <f t="shared" si="326"/>
        <v>2.5000000000000001E-2</v>
      </c>
      <c r="S399" s="657">
        <v>0.1</v>
      </c>
      <c r="T399" s="642">
        <f t="shared" ref="T399:T430" si="351">IF($M399="M",0.25,(IF($P399&gt;0,S399/$P399," ")))</f>
        <v>0.1</v>
      </c>
      <c r="U399" s="996">
        <v>0</v>
      </c>
      <c r="V399" s="626">
        <f t="shared" ref="V399:V430" si="352">+IF(M399="I",(+U399),IF(M399="M",(+U399)/4,))</f>
        <v>0</v>
      </c>
      <c r="W399" s="594">
        <f t="shared" ref="W399:W430" si="353">IF(S399=0,0,+U399*100/S399)</f>
        <v>0</v>
      </c>
      <c r="X399" s="594">
        <f t="shared" si="327"/>
        <v>0</v>
      </c>
      <c r="Y399" s="594">
        <f t="shared" si="307"/>
        <v>0</v>
      </c>
      <c r="Z399" s="594">
        <f t="shared" si="328"/>
        <v>0</v>
      </c>
      <c r="AA399" s="653">
        <v>240000000</v>
      </c>
      <c r="AB399" s="653">
        <v>240000000</v>
      </c>
      <c r="AC399" s="653">
        <v>0</v>
      </c>
      <c r="AD399" s="653">
        <v>0</v>
      </c>
      <c r="AE399" s="653">
        <v>0</v>
      </c>
      <c r="AF399" s="653">
        <v>0</v>
      </c>
      <c r="AG399" s="653">
        <v>0</v>
      </c>
      <c r="AH399" s="653">
        <v>0</v>
      </c>
      <c r="AI399" s="653">
        <v>85647000</v>
      </c>
      <c r="AJ399" s="653">
        <v>85647000</v>
      </c>
      <c r="AK399" s="653">
        <v>0</v>
      </c>
      <c r="AL399" s="653">
        <v>0</v>
      </c>
      <c r="AM399" s="653">
        <v>0</v>
      </c>
      <c r="AN399" s="653">
        <v>0</v>
      </c>
      <c r="AO399" s="653">
        <v>0</v>
      </c>
      <c r="AP399" s="653">
        <v>0</v>
      </c>
      <c r="AQ399" s="653">
        <v>0</v>
      </c>
      <c r="AR399" s="653">
        <v>0</v>
      </c>
      <c r="AS399" s="653">
        <v>0</v>
      </c>
      <c r="AT399" s="570">
        <f t="shared" si="329"/>
        <v>7.4999999999999997E-2</v>
      </c>
      <c r="AU399" s="571">
        <v>0.3</v>
      </c>
      <c r="AV399" s="625">
        <f t="shared" ref="AV399:AV430" si="354">IF($M399="M",0.25,(IF($P399&gt;0,AU399/$P399," ")))</f>
        <v>0.3</v>
      </c>
      <c r="AW399" s="1003">
        <v>0.1</v>
      </c>
      <c r="AX399" s="604">
        <f t="shared" ref="AX399:AX430" si="355">+IF(M399="I",(+AW399),IF(M399="M",(+AW399)/4,))</f>
        <v>0.1</v>
      </c>
      <c r="AY399" s="604">
        <f t="shared" ref="AY399:AY430" si="356">IF(AU399=0,0,+AW399*100/AU399)</f>
        <v>33.333333333333336</v>
      </c>
      <c r="AZ399" s="604">
        <f t="shared" si="330"/>
        <v>33.333333333333336</v>
      </c>
      <c r="BA399" s="592">
        <f t="shared" si="331"/>
        <v>2.5000000000000001E-2</v>
      </c>
      <c r="BB399" s="592">
        <f t="shared" si="332"/>
        <v>33.333333333333336</v>
      </c>
      <c r="BC399" s="591">
        <v>396000000</v>
      </c>
      <c r="BD399" s="591">
        <v>0</v>
      </c>
      <c r="BE399" s="591">
        <v>396000000</v>
      </c>
      <c r="BF399" s="591">
        <v>0</v>
      </c>
      <c r="BG399" s="591">
        <v>0</v>
      </c>
      <c r="BH399" s="591">
        <v>0</v>
      </c>
      <c r="BI399" s="591">
        <v>0</v>
      </c>
      <c r="BJ399" s="591">
        <v>0</v>
      </c>
      <c r="BK399" s="669">
        <v>128996000</v>
      </c>
      <c r="BL399" s="589">
        <v>128996000</v>
      </c>
      <c r="BM399" s="589">
        <v>0</v>
      </c>
      <c r="BN399" s="589">
        <v>0</v>
      </c>
      <c r="BO399" s="589">
        <v>0</v>
      </c>
      <c r="BP399" s="589">
        <v>0</v>
      </c>
      <c r="BQ399" s="589">
        <v>0</v>
      </c>
      <c r="BR399" s="589">
        <v>0</v>
      </c>
      <c r="BS399" s="589">
        <v>0</v>
      </c>
      <c r="BT399" s="589">
        <v>0</v>
      </c>
      <c r="BU399" s="589">
        <v>0</v>
      </c>
      <c r="BV399" s="588">
        <f t="shared" si="333"/>
        <v>7.4999999999999997E-2</v>
      </c>
      <c r="BW399" s="588">
        <v>0.3</v>
      </c>
      <c r="BX399" s="623">
        <f t="shared" ref="BX399:BX430" si="357">IF($M399="M",0.25,(IF($P399&gt;0,BW399/$P399," ")))</f>
        <v>0.3</v>
      </c>
      <c r="BY399" s="607">
        <v>0.5</v>
      </c>
      <c r="BZ399" s="629">
        <v>0.5</v>
      </c>
      <c r="CA399" s="1017">
        <v>0.6</v>
      </c>
      <c r="CB399" s="557">
        <f t="shared" ref="CB399:CB430" si="358">+IF(M399="I",(+CA399),IF(M399="M",(+CA399)/4,))</f>
        <v>0.6</v>
      </c>
      <c r="CC399" s="557">
        <f t="shared" ref="CC399:CC430" si="359">IF(BW399=0,0,+CA399*100/BW399)</f>
        <v>200</v>
      </c>
      <c r="CD399" s="622">
        <f t="shared" si="334"/>
        <v>100</v>
      </c>
      <c r="CE399" s="621">
        <f t="shared" si="335"/>
        <v>7.4999999999999997E-2</v>
      </c>
      <c r="CF399" s="605">
        <f t="shared" si="336"/>
        <v>100</v>
      </c>
      <c r="CG399" s="621">
        <f t="shared" si="337"/>
        <v>0.15</v>
      </c>
      <c r="CH399" s="553">
        <f t="shared" si="338"/>
        <v>7.4999999999999997E-2</v>
      </c>
      <c r="CI399" s="634">
        <v>0.3</v>
      </c>
      <c r="CJ399" s="551">
        <f t="shared" ref="CJ399:CJ430" si="360">IF($M399="M",0.25,(IF($P399&gt;0,CI399/$P399," ")))</f>
        <v>0.3</v>
      </c>
      <c r="CK399" s="874">
        <v>0.1</v>
      </c>
      <c r="CL399" s="533">
        <f t="shared" si="320"/>
        <v>0.19999999999999998</v>
      </c>
      <c r="CM399" s="619">
        <f t="shared" ref="CM399:CM430" si="361">+IF(M399="I",(+CK399),IF(M399="M",(+CK399)/4,))</f>
        <v>0.1</v>
      </c>
      <c r="CN399" s="619">
        <f t="shared" ref="CN399:CN430" si="362">IF(CI399=0,0,+CK399*100/CI399)</f>
        <v>33.333333333333336</v>
      </c>
      <c r="CO399" s="549">
        <f t="shared" si="339"/>
        <v>33.333333333333336</v>
      </c>
      <c r="CP399" s="619">
        <f t="shared" si="340"/>
        <v>2.5000000000000001E-2</v>
      </c>
      <c r="CQ399" s="619">
        <f t="shared" si="341"/>
        <v>2.5000000000000001E-2</v>
      </c>
      <c r="CR399" s="546">
        <v>420000000</v>
      </c>
      <c r="CS399" s="546">
        <v>420000000</v>
      </c>
      <c r="CT399" s="546">
        <v>0</v>
      </c>
      <c r="CU399" s="546">
        <v>0</v>
      </c>
      <c r="CV399" s="546">
        <v>0</v>
      </c>
      <c r="CW399" s="546">
        <v>0</v>
      </c>
      <c r="CX399" s="546">
        <v>0</v>
      </c>
      <c r="CY399" s="546">
        <v>0</v>
      </c>
      <c r="CZ399" s="618">
        <v>0</v>
      </c>
      <c r="DA399" s="618">
        <v>0</v>
      </c>
      <c r="DB399" s="618">
        <v>0</v>
      </c>
      <c r="DC399" s="618">
        <v>0</v>
      </c>
      <c r="DD399" s="618">
        <v>0</v>
      </c>
      <c r="DE399" s="618">
        <v>0</v>
      </c>
      <c r="DF399" s="618">
        <v>0</v>
      </c>
      <c r="DG399" s="618">
        <v>0</v>
      </c>
      <c r="DH399" s="618">
        <v>0</v>
      </c>
      <c r="DI399" s="618">
        <v>0</v>
      </c>
      <c r="DJ399" s="618">
        <v>0</v>
      </c>
      <c r="DK399" s="1034">
        <f t="shared" ref="DK399:DK430" si="363">+IF(M399="I",(+U399+AW399+CA399+CK399),IF(M399="M",(+U399+AW399+CA399+CK399)/4,))</f>
        <v>0.79999999999999993</v>
      </c>
      <c r="DL399" s="543">
        <f t="shared" si="342"/>
        <v>0.25</v>
      </c>
      <c r="DM399" s="542">
        <f t="shared" si="343"/>
        <v>80</v>
      </c>
      <c r="DN399" s="594">
        <f t="shared" si="344"/>
        <v>80</v>
      </c>
      <c r="DO399" s="540">
        <f t="shared" si="345"/>
        <v>0.2</v>
      </c>
      <c r="DP399" s="597">
        <f t="shared" si="349"/>
        <v>0.2</v>
      </c>
      <c r="DQ399" s="538">
        <f t="shared" si="346"/>
        <v>0.2</v>
      </c>
      <c r="DR399" s="617">
        <f t="shared" si="347"/>
        <v>1</v>
      </c>
      <c r="DS399" s="616">
        <f t="shared" si="348"/>
        <v>0</v>
      </c>
      <c r="DT399" s="259">
        <v>2</v>
      </c>
      <c r="DU399" s="260" t="s">
        <v>1128</v>
      </c>
      <c r="DV399" s="259">
        <v>34</v>
      </c>
      <c r="DW399" s="260" t="s">
        <v>296</v>
      </c>
      <c r="DX399" s="259">
        <v>73</v>
      </c>
      <c r="DY399" s="259">
        <v>116</v>
      </c>
      <c r="DZ399" s="259">
        <v>159</v>
      </c>
      <c r="EA399" s="987">
        <v>178</v>
      </c>
      <c r="EB399" s="1041" t="s">
        <v>2702</v>
      </c>
      <c r="EC399" s="802">
        <v>408000000</v>
      </c>
      <c r="EE399" s="1047"/>
    </row>
    <row r="400" spans="4:135" s="534" customFormat="1" ht="84" hidden="1" x14ac:dyDescent="0.3">
      <c r="D400" s="783">
        <v>397</v>
      </c>
      <c r="E400" s="799">
        <v>465</v>
      </c>
      <c r="F400" s="739" t="s">
        <v>202</v>
      </c>
      <c r="G400" s="739" t="s">
        <v>22</v>
      </c>
      <c r="H400" s="739" t="s">
        <v>152</v>
      </c>
      <c r="I400" s="676" t="s">
        <v>1125</v>
      </c>
      <c r="J400" s="573" t="s">
        <v>1132</v>
      </c>
      <c r="K400" s="573" t="s">
        <v>1133</v>
      </c>
      <c r="L400" s="677" t="s">
        <v>2049</v>
      </c>
      <c r="M400" s="571" t="s">
        <v>2017</v>
      </c>
      <c r="N400" s="575">
        <v>0</v>
      </c>
      <c r="O400" s="570">
        <f t="shared" si="350"/>
        <v>1</v>
      </c>
      <c r="P400" s="663">
        <v>1</v>
      </c>
      <c r="Q400" s="628">
        <v>0.16500000000000001</v>
      </c>
      <c r="R400" s="580">
        <f t="shared" si="326"/>
        <v>3.3000000000000002E-2</v>
      </c>
      <c r="S400" s="657">
        <v>0.2</v>
      </c>
      <c r="T400" s="642">
        <f t="shared" si="351"/>
        <v>0.2</v>
      </c>
      <c r="U400" s="996">
        <v>0.1</v>
      </c>
      <c r="V400" s="626">
        <f t="shared" si="352"/>
        <v>0.1</v>
      </c>
      <c r="W400" s="594">
        <f t="shared" si="353"/>
        <v>50</v>
      </c>
      <c r="X400" s="594">
        <f t="shared" si="327"/>
        <v>50</v>
      </c>
      <c r="Y400" s="594">
        <f t="shared" si="307"/>
        <v>1.6500000000000001E-2</v>
      </c>
      <c r="Z400" s="594">
        <f t="shared" si="328"/>
        <v>50</v>
      </c>
      <c r="AA400" s="653">
        <v>2558000000</v>
      </c>
      <c r="AB400" s="653">
        <v>758000000</v>
      </c>
      <c r="AC400" s="653">
        <v>0</v>
      </c>
      <c r="AD400" s="653">
        <v>0</v>
      </c>
      <c r="AE400" s="653">
        <v>0</v>
      </c>
      <c r="AF400" s="653">
        <v>0</v>
      </c>
      <c r="AG400" s="653">
        <v>0</v>
      </c>
      <c r="AH400" s="653">
        <v>1800000000</v>
      </c>
      <c r="AI400" s="653">
        <v>233006000</v>
      </c>
      <c r="AJ400" s="653">
        <v>233006000</v>
      </c>
      <c r="AK400" s="653">
        <v>0</v>
      </c>
      <c r="AL400" s="653">
        <v>0</v>
      </c>
      <c r="AM400" s="653">
        <v>0</v>
      </c>
      <c r="AN400" s="653">
        <v>0</v>
      </c>
      <c r="AO400" s="653">
        <v>0</v>
      </c>
      <c r="AP400" s="653">
        <v>0</v>
      </c>
      <c r="AQ400" s="653">
        <v>0</v>
      </c>
      <c r="AR400" s="653">
        <v>0</v>
      </c>
      <c r="AS400" s="653">
        <v>0</v>
      </c>
      <c r="AT400" s="570">
        <f t="shared" si="329"/>
        <v>4.9500000000000002E-2</v>
      </c>
      <c r="AU400" s="571">
        <v>0.3</v>
      </c>
      <c r="AV400" s="625">
        <f t="shared" si="354"/>
        <v>0.3</v>
      </c>
      <c r="AW400" s="1003">
        <v>0.1</v>
      </c>
      <c r="AX400" s="604">
        <f t="shared" si="355"/>
        <v>0.1</v>
      </c>
      <c r="AY400" s="604">
        <f t="shared" si="356"/>
        <v>33.333333333333336</v>
      </c>
      <c r="AZ400" s="604">
        <f t="shared" si="330"/>
        <v>33.333333333333336</v>
      </c>
      <c r="BA400" s="592">
        <f t="shared" si="331"/>
        <v>1.6500000000000001E-2</v>
      </c>
      <c r="BB400" s="592">
        <f t="shared" si="332"/>
        <v>33.333333333333336</v>
      </c>
      <c r="BC400" s="591">
        <v>828000000</v>
      </c>
      <c r="BD400" s="591">
        <v>0</v>
      </c>
      <c r="BE400" s="591">
        <v>828000000</v>
      </c>
      <c r="BF400" s="591">
        <v>0</v>
      </c>
      <c r="BG400" s="591">
        <v>0</v>
      </c>
      <c r="BH400" s="591">
        <v>0</v>
      </c>
      <c r="BI400" s="591">
        <v>0</v>
      </c>
      <c r="BJ400" s="591">
        <v>0</v>
      </c>
      <c r="BK400" s="669">
        <v>33000000</v>
      </c>
      <c r="BL400" s="589">
        <v>33000000</v>
      </c>
      <c r="BM400" s="589">
        <v>0</v>
      </c>
      <c r="BN400" s="589">
        <v>0</v>
      </c>
      <c r="BO400" s="589">
        <v>0</v>
      </c>
      <c r="BP400" s="589">
        <v>0</v>
      </c>
      <c r="BQ400" s="589">
        <v>0</v>
      </c>
      <c r="BR400" s="589">
        <v>0</v>
      </c>
      <c r="BS400" s="589">
        <v>0</v>
      </c>
      <c r="BT400" s="589">
        <v>0</v>
      </c>
      <c r="BU400" s="589">
        <v>0</v>
      </c>
      <c r="BV400" s="588">
        <f t="shared" si="333"/>
        <v>4.9500000000000002E-2</v>
      </c>
      <c r="BW400" s="588">
        <v>0.3</v>
      </c>
      <c r="BX400" s="623">
        <f t="shared" si="357"/>
        <v>0.3</v>
      </c>
      <c r="BY400" s="607">
        <v>0.5</v>
      </c>
      <c r="BZ400" s="629">
        <v>0.5</v>
      </c>
      <c r="CA400" s="1017">
        <v>0.64999997615814209</v>
      </c>
      <c r="CB400" s="557">
        <f t="shared" si="358"/>
        <v>0.64999997615814209</v>
      </c>
      <c r="CC400" s="557">
        <f t="shared" si="359"/>
        <v>216.66665871938071</v>
      </c>
      <c r="CD400" s="622">
        <f t="shared" si="334"/>
        <v>100</v>
      </c>
      <c r="CE400" s="621">
        <f t="shared" si="335"/>
        <v>4.9500000000000002E-2</v>
      </c>
      <c r="CF400" s="605">
        <f t="shared" si="336"/>
        <v>100</v>
      </c>
      <c r="CG400" s="621">
        <f t="shared" si="337"/>
        <v>0.10724999606609346</v>
      </c>
      <c r="CH400" s="553">
        <f t="shared" si="338"/>
        <v>3.3000000000000002E-2</v>
      </c>
      <c r="CI400" s="634">
        <v>0.2</v>
      </c>
      <c r="CJ400" s="551">
        <f t="shared" si="360"/>
        <v>0.2</v>
      </c>
      <c r="CK400" s="874">
        <v>0</v>
      </c>
      <c r="CL400" s="533">
        <f t="shared" si="320"/>
        <v>0.2</v>
      </c>
      <c r="CM400" s="619">
        <f t="shared" si="361"/>
        <v>0</v>
      </c>
      <c r="CN400" s="619">
        <f t="shared" si="362"/>
        <v>0</v>
      </c>
      <c r="CO400" s="549">
        <f t="shared" si="339"/>
        <v>0</v>
      </c>
      <c r="CP400" s="619">
        <f t="shared" si="340"/>
        <v>0</v>
      </c>
      <c r="CQ400" s="619">
        <f t="shared" si="341"/>
        <v>0</v>
      </c>
      <c r="CR400" s="546">
        <v>878000000</v>
      </c>
      <c r="CS400" s="546">
        <v>878000000</v>
      </c>
      <c r="CT400" s="546">
        <v>0</v>
      </c>
      <c r="CU400" s="546">
        <v>0</v>
      </c>
      <c r="CV400" s="546">
        <v>0</v>
      </c>
      <c r="CW400" s="546">
        <v>0</v>
      </c>
      <c r="CX400" s="546">
        <v>0</v>
      </c>
      <c r="CY400" s="546">
        <v>0</v>
      </c>
      <c r="CZ400" s="618">
        <v>0</v>
      </c>
      <c r="DA400" s="618">
        <v>0</v>
      </c>
      <c r="DB400" s="618">
        <v>0</v>
      </c>
      <c r="DC400" s="618">
        <v>0</v>
      </c>
      <c r="DD400" s="618">
        <v>0</v>
      </c>
      <c r="DE400" s="618">
        <v>0</v>
      </c>
      <c r="DF400" s="618">
        <v>0</v>
      </c>
      <c r="DG400" s="618">
        <v>0</v>
      </c>
      <c r="DH400" s="618">
        <v>0</v>
      </c>
      <c r="DI400" s="618">
        <v>0</v>
      </c>
      <c r="DJ400" s="618">
        <v>0</v>
      </c>
      <c r="DK400" s="1034">
        <f t="shared" si="363"/>
        <v>0.84999997615814205</v>
      </c>
      <c r="DL400" s="543">
        <f t="shared" si="342"/>
        <v>0.16500000000000001</v>
      </c>
      <c r="DM400" s="542">
        <f t="shared" si="343"/>
        <v>84.999997615814209</v>
      </c>
      <c r="DN400" s="594">
        <f t="shared" si="344"/>
        <v>84.999997615814209</v>
      </c>
      <c r="DO400" s="540">
        <f t="shared" si="345"/>
        <v>0.14024999606609345</v>
      </c>
      <c r="DP400" s="597">
        <f t="shared" si="349"/>
        <v>0.14024999606609345</v>
      </c>
      <c r="DQ400" s="538">
        <f t="shared" si="346"/>
        <v>0.14024999606609345</v>
      </c>
      <c r="DR400" s="617">
        <f t="shared" si="347"/>
        <v>1</v>
      </c>
      <c r="DS400" s="616">
        <f t="shared" si="348"/>
        <v>0</v>
      </c>
      <c r="DT400" s="259">
        <v>2</v>
      </c>
      <c r="DU400" s="260" t="s">
        <v>1128</v>
      </c>
      <c r="DV400" s="259">
        <v>34</v>
      </c>
      <c r="DW400" s="260" t="s">
        <v>296</v>
      </c>
      <c r="DX400" s="259">
        <v>73</v>
      </c>
      <c r="DY400" s="259">
        <v>116</v>
      </c>
      <c r="DZ400" s="259">
        <v>159</v>
      </c>
      <c r="EA400" s="987">
        <v>178</v>
      </c>
      <c r="EB400" s="1041" t="s">
        <v>2703</v>
      </c>
      <c r="EC400" s="802">
        <v>853000000</v>
      </c>
      <c r="EE400" s="1047"/>
    </row>
    <row r="401" spans="4:135" s="534" customFormat="1" ht="38.25" hidden="1" x14ac:dyDescent="0.3">
      <c r="D401" s="783">
        <v>398</v>
      </c>
      <c r="E401" s="799">
        <v>466</v>
      </c>
      <c r="F401" s="574" t="s">
        <v>202</v>
      </c>
      <c r="G401" s="574" t="s">
        <v>15</v>
      </c>
      <c r="H401" s="574" t="s">
        <v>152</v>
      </c>
      <c r="I401" s="574" t="s">
        <v>1134</v>
      </c>
      <c r="J401" s="573" t="s">
        <v>1463</v>
      </c>
      <c r="K401" s="573" t="s">
        <v>1135</v>
      </c>
      <c r="L401" s="677" t="s">
        <v>2116</v>
      </c>
      <c r="M401" s="571" t="s">
        <v>2017</v>
      </c>
      <c r="N401" s="575">
        <v>0</v>
      </c>
      <c r="O401" s="570">
        <f t="shared" si="350"/>
        <v>3</v>
      </c>
      <c r="P401" s="663">
        <v>3</v>
      </c>
      <c r="Q401" s="631">
        <v>0.25</v>
      </c>
      <c r="R401" s="580">
        <f t="shared" si="326"/>
        <v>0</v>
      </c>
      <c r="S401" s="657">
        <v>0</v>
      </c>
      <c r="T401" s="575">
        <f t="shared" si="351"/>
        <v>0</v>
      </c>
      <c r="U401" s="996">
        <v>0</v>
      </c>
      <c r="V401" s="626">
        <f t="shared" si="352"/>
        <v>0</v>
      </c>
      <c r="W401" s="594">
        <f t="shared" si="353"/>
        <v>0</v>
      </c>
      <c r="X401" s="594">
        <f t="shared" si="327"/>
        <v>0</v>
      </c>
      <c r="Y401" s="594">
        <f t="shared" si="307"/>
        <v>0</v>
      </c>
      <c r="Z401" s="594">
        <f t="shared" si="328"/>
        <v>0</v>
      </c>
      <c r="AA401" s="653">
        <v>0</v>
      </c>
      <c r="AB401" s="653">
        <v>0</v>
      </c>
      <c r="AC401" s="653">
        <v>0</v>
      </c>
      <c r="AD401" s="653">
        <v>0</v>
      </c>
      <c r="AE401" s="653">
        <v>0</v>
      </c>
      <c r="AF401" s="653">
        <v>0</v>
      </c>
      <c r="AG401" s="653">
        <v>0</v>
      </c>
      <c r="AH401" s="653">
        <v>0</v>
      </c>
      <c r="AI401" s="653">
        <v>0</v>
      </c>
      <c r="AJ401" s="653">
        <v>0</v>
      </c>
      <c r="AK401" s="653">
        <v>0</v>
      </c>
      <c r="AL401" s="653">
        <v>0</v>
      </c>
      <c r="AM401" s="653">
        <v>0</v>
      </c>
      <c r="AN401" s="653">
        <v>0</v>
      </c>
      <c r="AO401" s="653">
        <v>0</v>
      </c>
      <c r="AP401" s="653">
        <v>0</v>
      </c>
      <c r="AQ401" s="653">
        <v>0</v>
      </c>
      <c r="AR401" s="653">
        <v>0</v>
      </c>
      <c r="AS401" s="653">
        <v>0</v>
      </c>
      <c r="AT401" s="630">
        <f t="shared" si="329"/>
        <v>0</v>
      </c>
      <c r="AU401" s="571">
        <v>0</v>
      </c>
      <c r="AV401" s="625">
        <f t="shared" si="354"/>
        <v>0</v>
      </c>
      <c r="AW401" s="1003">
        <v>0</v>
      </c>
      <c r="AX401" s="604">
        <f t="shared" si="355"/>
        <v>0</v>
      </c>
      <c r="AY401" s="604">
        <f t="shared" si="356"/>
        <v>0</v>
      </c>
      <c r="AZ401" s="604">
        <f t="shared" si="330"/>
        <v>0</v>
      </c>
      <c r="BA401" s="592">
        <f t="shared" si="331"/>
        <v>0</v>
      </c>
      <c r="BB401" s="592">
        <f t="shared" si="332"/>
        <v>0</v>
      </c>
      <c r="BC401" s="591">
        <v>94249000000</v>
      </c>
      <c r="BD401" s="591">
        <v>0</v>
      </c>
      <c r="BE401" s="591">
        <v>650000000</v>
      </c>
      <c r="BF401" s="591">
        <v>0</v>
      </c>
      <c r="BG401" s="591">
        <v>0</v>
      </c>
      <c r="BH401" s="591">
        <v>0</v>
      </c>
      <c r="BI401" s="591">
        <v>0</v>
      </c>
      <c r="BJ401" s="591">
        <v>93599000</v>
      </c>
      <c r="BK401" s="669">
        <v>0</v>
      </c>
      <c r="BL401" s="589">
        <v>0</v>
      </c>
      <c r="BM401" s="589">
        <v>0</v>
      </c>
      <c r="BN401" s="589">
        <v>0</v>
      </c>
      <c r="BO401" s="589">
        <v>0</v>
      </c>
      <c r="BP401" s="589">
        <v>0</v>
      </c>
      <c r="BQ401" s="589">
        <v>0</v>
      </c>
      <c r="BR401" s="589">
        <v>0</v>
      </c>
      <c r="BS401" s="589">
        <v>0</v>
      </c>
      <c r="BT401" s="589">
        <v>0</v>
      </c>
      <c r="BU401" s="589">
        <v>0</v>
      </c>
      <c r="BV401" s="588">
        <f t="shared" si="333"/>
        <v>8.3333333333333329E-2</v>
      </c>
      <c r="BW401" s="588">
        <v>1</v>
      </c>
      <c r="BX401" s="623">
        <f t="shared" si="357"/>
        <v>0.33333333333333331</v>
      </c>
      <c r="BY401" s="607">
        <v>0</v>
      </c>
      <c r="BZ401" s="629">
        <v>0</v>
      </c>
      <c r="CA401" s="1017">
        <v>0</v>
      </c>
      <c r="CB401" s="557">
        <f t="shared" si="358"/>
        <v>0</v>
      </c>
      <c r="CC401" s="557">
        <f t="shared" si="359"/>
        <v>0</v>
      </c>
      <c r="CD401" s="622">
        <f t="shared" si="334"/>
        <v>0</v>
      </c>
      <c r="CE401" s="621">
        <f t="shared" si="335"/>
        <v>0</v>
      </c>
      <c r="CF401" s="605">
        <f t="shared" si="336"/>
        <v>0</v>
      </c>
      <c r="CG401" s="621">
        <f t="shared" si="337"/>
        <v>0</v>
      </c>
      <c r="CH401" s="553">
        <f t="shared" si="338"/>
        <v>0.16666666666666666</v>
      </c>
      <c r="CI401" s="552">
        <v>2</v>
      </c>
      <c r="CJ401" s="551">
        <f t="shared" si="360"/>
        <v>0.66666666666666663</v>
      </c>
      <c r="CK401" s="871">
        <v>0</v>
      </c>
      <c r="CL401" s="533">
        <f t="shared" si="320"/>
        <v>2</v>
      </c>
      <c r="CM401" s="619">
        <f t="shared" si="361"/>
        <v>0</v>
      </c>
      <c r="CN401" s="619">
        <f t="shared" si="362"/>
        <v>0</v>
      </c>
      <c r="CO401" s="549">
        <f t="shared" si="339"/>
        <v>0</v>
      </c>
      <c r="CP401" s="619">
        <f t="shared" si="340"/>
        <v>0</v>
      </c>
      <c r="CQ401" s="619">
        <f t="shared" si="341"/>
        <v>0</v>
      </c>
      <c r="CR401" s="546">
        <v>95099000000</v>
      </c>
      <c r="CS401" s="546">
        <v>1500000000</v>
      </c>
      <c r="CT401" s="546">
        <v>0</v>
      </c>
      <c r="CU401" s="546">
        <v>0</v>
      </c>
      <c r="CV401" s="546">
        <v>0</v>
      </c>
      <c r="CW401" s="546">
        <v>0</v>
      </c>
      <c r="CX401" s="546">
        <v>0</v>
      </c>
      <c r="CY401" s="546">
        <v>93599000</v>
      </c>
      <c r="CZ401" s="618">
        <v>0</v>
      </c>
      <c r="DA401" s="618">
        <v>0</v>
      </c>
      <c r="DB401" s="618">
        <v>0</v>
      </c>
      <c r="DC401" s="618">
        <v>0</v>
      </c>
      <c r="DD401" s="618">
        <v>0</v>
      </c>
      <c r="DE401" s="618">
        <v>0</v>
      </c>
      <c r="DF401" s="618">
        <v>0</v>
      </c>
      <c r="DG401" s="618">
        <v>0</v>
      </c>
      <c r="DH401" s="618">
        <v>0</v>
      </c>
      <c r="DI401" s="618">
        <v>0</v>
      </c>
      <c r="DJ401" s="618">
        <v>0</v>
      </c>
      <c r="DK401" s="1034">
        <f t="shared" si="363"/>
        <v>0</v>
      </c>
      <c r="DL401" s="543">
        <f t="shared" si="342"/>
        <v>0.25</v>
      </c>
      <c r="DM401" s="542">
        <f t="shared" si="343"/>
        <v>0</v>
      </c>
      <c r="DN401" s="594">
        <f t="shared" si="344"/>
        <v>0</v>
      </c>
      <c r="DO401" s="540">
        <f t="shared" si="345"/>
        <v>0</v>
      </c>
      <c r="DP401" s="597">
        <f t="shared" si="349"/>
        <v>0</v>
      </c>
      <c r="DQ401" s="538">
        <f t="shared" si="346"/>
        <v>0</v>
      </c>
      <c r="DR401" s="617">
        <f t="shared" si="347"/>
        <v>1</v>
      </c>
      <c r="DS401" s="616">
        <f t="shared" si="348"/>
        <v>0</v>
      </c>
      <c r="DT401" s="259">
        <v>257</v>
      </c>
      <c r="DU401" s="260" t="s">
        <v>276</v>
      </c>
      <c r="DV401" s="259"/>
      <c r="DW401" s="260" t="s">
        <v>242</v>
      </c>
      <c r="DX401" s="259"/>
      <c r="DY401" s="259"/>
      <c r="DZ401" s="259"/>
      <c r="EA401" s="987"/>
      <c r="EB401" s="1041" t="s">
        <v>2704</v>
      </c>
      <c r="EC401" s="802">
        <v>0</v>
      </c>
      <c r="EE401" s="1047"/>
    </row>
    <row r="402" spans="4:135" s="534" customFormat="1" ht="102" hidden="1" x14ac:dyDescent="0.3">
      <c r="D402" s="783">
        <v>399</v>
      </c>
      <c r="E402" s="799">
        <v>467</v>
      </c>
      <c r="F402" s="739" t="s">
        <v>202</v>
      </c>
      <c r="G402" s="739" t="s">
        <v>15</v>
      </c>
      <c r="H402" s="739" t="s">
        <v>152</v>
      </c>
      <c r="I402" s="676" t="s">
        <v>1134</v>
      </c>
      <c r="J402" s="573" t="s">
        <v>1136</v>
      </c>
      <c r="K402" s="573" t="s">
        <v>1137</v>
      </c>
      <c r="L402" s="677" t="s">
        <v>2116</v>
      </c>
      <c r="M402" s="571" t="s">
        <v>2017</v>
      </c>
      <c r="N402" s="575">
        <v>12</v>
      </c>
      <c r="O402" s="570">
        <f t="shared" si="350"/>
        <v>15</v>
      </c>
      <c r="P402" s="663">
        <v>3</v>
      </c>
      <c r="Q402" s="628">
        <v>0.25</v>
      </c>
      <c r="R402" s="580">
        <f t="shared" si="326"/>
        <v>0</v>
      </c>
      <c r="S402" s="657">
        <v>0</v>
      </c>
      <c r="T402" s="575">
        <f t="shared" si="351"/>
        <v>0</v>
      </c>
      <c r="U402" s="996">
        <v>0</v>
      </c>
      <c r="V402" s="626">
        <f t="shared" si="352"/>
        <v>0</v>
      </c>
      <c r="W402" s="594">
        <f t="shared" si="353"/>
        <v>0</v>
      </c>
      <c r="X402" s="594">
        <f t="shared" si="327"/>
        <v>0</v>
      </c>
      <c r="Y402" s="594">
        <f t="shared" ref="Y402:Y465" si="364">+(X402*R402)/100</f>
        <v>0</v>
      </c>
      <c r="Z402" s="594">
        <f t="shared" si="328"/>
        <v>0</v>
      </c>
      <c r="AA402" s="653">
        <v>0</v>
      </c>
      <c r="AB402" s="653">
        <v>0</v>
      </c>
      <c r="AC402" s="653">
        <v>0</v>
      </c>
      <c r="AD402" s="653">
        <v>0</v>
      </c>
      <c r="AE402" s="653">
        <v>0</v>
      </c>
      <c r="AF402" s="653">
        <v>0</v>
      </c>
      <c r="AG402" s="653">
        <v>0</v>
      </c>
      <c r="AH402" s="653">
        <v>0</v>
      </c>
      <c r="AI402" s="653">
        <v>0</v>
      </c>
      <c r="AJ402" s="653">
        <v>0</v>
      </c>
      <c r="AK402" s="653">
        <v>0</v>
      </c>
      <c r="AL402" s="653">
        <v>0</v>
      </c>
      <c r="AM402" s="653">
        <v>0</v>
      </c>
      <c r="AN402" s="653">
        <v>0</v>
      </c>
      <c r="AO402" s="653">
        <v>0</v>
      </c>
      <c r="AP402" s="653">
        <v>0</v>
      </c>
      <c r="AQ402" s="653">
        <v>0</v>
      </c>
      <c r="AR402" s="653">
        <v>0</v>
      </c>
      <c r="AS402" s="653">
        <v>0</v>
      </c>
      <c r="AT402" s="570">
        <f t="shared" si="329"/>
        <v>0</v>
      </c>
      <c r="AU402" s="571">
        <v>0</v>
      </c>
      <c r="AV402" s="625">
        <f t="shared" si="354"/>
        <v>0</v>
      </c>
      <c r="AW402" s="1003">
        <v>0</v>
      </c>
      <c r="AX402" s="604">
        <f t="shared" si="355"/>
        <v>0</v>
      </c>
      <c r="AY402" s="604">
        <f t="shared" si="356"/>
        <v>0</v>
      </c>
      <c r="AZ402" s="604">
        <f t="shared" si="330"/>
        <v>0</v>
      </c>
      <c r="BA402" s="592">
        <f t="shared" si="331"/>
        <v>0</v>
      </c>
      <c r="BB402" s="592">
        <f t="shared" si="332"/>
        <v>0</v>
      </c>
      <c r="BC402" s="591">
        <v>650000000</v>
      </c>
      <c r="BD402" s="591">
        <v>0</v>
      </c>
      <c r="BE402" s="591">
        <v>650000000</v>
      </c>
      <c r="BF402" s="591">
        <v>0</v>
      </c>
      <c r="BG402" s="591">
        <v>0</v>
      </c>
      <c r="BH402" s="591">
        <v>0</v>
      </c>
      <c r="BI402" s="591">
        <v>0</v>
      </c>
      <c r="BJ402" s="591">
        <v>0</v>
      </c>
      <c r="BK402" s="669">
        <v>0</v>
      </c>
      <c r="BL402" s="589">
        <v>0</v>
      </c>
      <c r="BM402" s="589">
        <v>0</v>
      </c>
      <c r="BN402" s="589">
        <v>0</v>
      </c>
      <c r="BO402" s="589">
        <v>0</v>
      </c>
      <c r="BP402" s="589">
        <v>0</v>
      </c>
      <c r="BQ402" s="589">
        <v>0</v>
      </c>
      <c r="BR402" s="589">
        <v>0</v>
      </c>
      <c r="BS402" s="589">
        <v>0</v>
      </c>
      <c r="BT402" s="589">
        <v>0</v>
      </c>
      <c r="BU402" s="589">
        <v>0</v>
      </c>
      <c r="BV402" s="588">
        <f t="shared" si="333"/>
        <v>0.16666666666666666</v>
      </c>
      <c r="BW402" s="588">
        <v>2</v>
      </c>
      <c r="BX402" s="623">
        <f t="shared" si="357"/>
        <v>0.66666666666666663</v>
      </c>
      <c r="BY402" s="607">
        <v>0</v>
      </c>
      <c r="BZ402" s="629">
        <v>0</v>
      </c>
      <c r="CA402" s="1017">
        <v>0</v>
      </c>
      <c r="CB402" s="557">
        <f t="shared" si="358"/>
        <v>0</v>
      </c>
      <c r="CC402" s="557">
        <f t="shared" si="359"/>
        <v>0</v>
      </c>
      <c r="CD402" s="622">
        <f t="shared" si="334"/>
        <v>0</v>
      </c>
      <c r="CE402" s="621">
        <f t="shared" si="335"/>
        <v>0</v>
      </c>
      <c r="CF402" s="605">
        <f t="shared" si="336"/>
        <v>0</v>
      </c>
      <c r="CG402" s="621">
        <f t="shared" si="337"/>
        <v>0</v>
      </c>
      <c r="CH402" s="553">
        <f t="shared" si="338"/>
        <v>8.3333333333333329E-2</v>
      </c>
      <c r="CI402" s="552">
        <v>1</v>
      </c>
      <c r="CJ402" s="551">
        <f t="shared" si="360"/>
        <v>0.33333333333333331</v>
      </c>
      <c r="CK402" s="871">
        <v>0</v>
      </c>
      <c r="CL402" s="533">
        <f t="shared" si="320"/>
        <v>1</v>
      </c>
      <c r="CM402" s="619">
        <f t="shared" si="361"/>
        <v>0</v>
      </c>
      <c r="CN402" s="619">
        <f t="shared" si="362"/>
        <v>0</v>
      </c>
      <c r="CO402" s="549">
        <f t="shared" si="339"/>
        <v>0</v>
      </c>
      <c r="CP402" s="619">
        <f t="shared" si="340"/>
        <v>0</v>
      </c>
      <c r="CQ402" s="619">
        <f t="shared" si="341"/>
        <v>0</v>
      </c>
      <c r="CR402" s="546">
        <v>1500000000</v>
      </c>
      <c r="CS402" s="546">
        <v>1500000000</v>
      </c>
      <c r="CT402" s="546">
        <v>0</v>
      </c>
      <c r="CU402" s="546">
        <v>0</v>
      </c>
      <c r="CV402" s="546">
        <v>0</v>
      </c>
      <c r="CW402" s="546">
        <v>0</v>
      </c>
      <c r="CX402" s="546">
        <v>0</v>
      </c>
      <c r="CY402" s="546">
        <v>0</v>
      </c>
      <c r="CZ402" s="618">
        <v>0</v>
      </c>
      <c r="DA402" s="618">
        <v>0</v>
      </c>
      <c r="DB402" s="618">
        <v>0</v>
      </c>
      <c r="DC402" s="618">
        <v>0</v>
      </c>
      <c r="DD402" s="618">
        <v>0</v>
      </c>
      <c r="DE402" s="618">
        <v>0</v>
      </c>
      <c r="DF402" s="618">
        <v>0</v>
      </c>
      <c r="DG402" s="618">
        <v>0</v>
      </c>
      <c r="DH402" s="618">
        <v>0</v>
      </c>
      <c r="DI402" s="618">
        <v>0</v>
      </c>
      <c r="DJ402" s="618">
        <v>0</v>
      </c>
      <c r="DK402" s="1034">
        <f t="shared" si="363"/>
        <v>0</v>
      </c>
      <c r="DL402" s="543">
        <f t="shared" si="342"/>
        <v>0.25</v>
      </c>
      <c r="DM402" s="542">
        <f t="shared" si="343"/>
        <v>0</v>
      </c>
      <c r="DN402" s="594">
        <f t="shared" si="344"/>
        <v>0</v>
      </c>
      <c r="DO402" s="540">
        <f t="shared" si="345"/>
        <v>0</v>
      </c>
      <c r="DP402" s="597">
        <f t="shared" si="349"/>
        <v>0</v>
      </c>
      <c r="DQ402" s="538">
        <f t="shared" si="346"/>
        <v>0</v>
      </c>
      <c r="DR402" s="617">
        <f t="shared" si="347"/>
        <v>1</v>
      </c>
      <c r="DS402" s="616">
        <f t="shared" si="348"/>
        <v>0</v>
      </c>
      <c r="DT402" s="259">
        <v>257</v>
      </c>
      <c r="DU402" s="260" t="s">
        <v>276</v>
      </c>
      <c r="DV402" s="259"/>
      <c r="DW402" s="260" t="s">
        <v>242</v>
      </c>
      <c r="DX402" s="259"/>
      <c r="DY402" s="259"/>
      <c r="DZ402" s="259"/>
      <c r="EA402" s="987"/>
      <c r="EB402" s="1041" t="s">
        <v>2705</v>
      </c>
      <c r="EC402" s="802">
        <v>0</v>
      </c>
      <c r="EE402" s="1047"/>
    </row>
    <row r="403" spans="4:135" s="534" customFormat="1" ht="76.5" hidden="1" x14ac:dyDescent="0.3">
      <c r="D403" s="783">
        <v>400</v>
      </c>
      <c r="E403" s="799">
        <v>469</v>
      </c>
      <c r="F403" s="739" t="s">
        <v>202</v>
      </c>
      <c r="G403" s="739" t="s">
        <v>23</v>
      </c>
      <c r="H403" s="739" t="s">
        <v>153</v>
      </c>
      <c r="I403" s="676" t="s">
        <v>1138</v>
      </c>
      <c r="J403" s="573" t="s">
        <v>1139</v>
      </c>
      <c r="K403" s="573" t="s">
        <v>1140</v>
      </c>
      <c r="L403" s="677" t="s">
        <v>2028</v>
      </c>
      <c r="M403" s="571" t="s">
        <v>2017</v>
      </c>
      <c r="N403" s="575">
        <v>0</v>
      </c>
      <c r="O403" s="570">
        <f t="shared" si="350"/>
        <v>2</v>
      </c>
      <c r="P403" s="663">
        <v>2</v>
      </c>
      <c r="Q403" s="628">
        <v>0.25</v>
      </c>
      <c r="R403" s="580">
        <f t="shared" si="326"/>
        <v>3.125E-2</v>
      </c>
      <c r="S403" s="657">
        <v>0.25</v>
      </c>
      <c r="T403" s="575">
        <f t="shared" si="351"/>
        <v>0.125</v>
      </c>
      <c r="U403" s="996">
        <v>0.25</v>
      </c>
      <c r="V403" s="626">
        <f t="shared" si="352"/>
        <v>0.25</v>
      </c>
      <c r="W403" s="594">
        <f t="shared" si="353"/>
        <v>100</v>
      </c>
      <c r="X403" s="594">
        <f t="shared" si="327"/>
        <v>100</v>
      </c>
      <c r="Y403" s="594">
        <f t="shared" si="364"/>
        <v>3.125E-2</v>
      </c>
      <c r="Z403" s="594">
        <f t="shared" si="328"/>
        <v>100</v>
      </c>
      <c r="AA403" s="653">
        <v>437000000</v>
      </c>
      <c r="AB403" s="653">
        <v>324500000</v>
      </c>
      <c r="AC403" s="653">
        <v>0</v>
      </c>
      <c r="AD403" s="653">
        <v>0</v>
      </c>
      <c r="AE403" s="653">
        <v>0</v>
      </c>
      <c r="AF403" s="653">
        <v>0</v>
      </c>
      <c r="AG403" s="653">
        <v>0</v>
      </c>
      <c r="AH403" s="653">
        <v>112500000</v>
      </c>
      <c r="AI403" s="653">
        <v>109800000</v>
      </c>
      <c r="AJ403" s="653">
        <v>109000000</v>
      </c>
      <c r="AK403" s="653">
        <v>0</v>
      </c>
      <c r="AL403" s="653">
        <v>800000</v>
      </c>
      <c r="AM403" s="653">
        <v>0</v>
      </c>
      <c r="AN403" s="653">
        <v>0</v>
      </c>
      <c r="AO403" s="653">
        <v>0</v>
      </c>
      <c r="AP403" s="653">
        <v>0</v>
      </c>
      <c r="AQ403" s="653">
        <v>0</v>
      </c>
      <c r="AR403" s="653">
        <v>0</v>
      </c>
      <c r="AS403" s="653">
        <v>0</v>
      </c>
      <c r="AT403" s="570">
        <f t="shared" si="329"/>
        <v>3.125E-2</v>
      </c>
      <c r="AU403" s="571">
        <v>0.25</v>
      </c>
      <c r="AV403" s="625">
        <f t="shared" si="354"/>
        <v>0.125</v>
      </c>
      <c r="AW403" s="1003">
        <v>0.35</v>
      </c>
      <c r="AX403" s="604">
        <f t="shared" si="355"/>
        <v>0.35</v>
      </c>
      <c r="AY403" s="604">
        <f t="shared" si="356"/>
        <v>140</v>
      </c>
      <c r="AZ403" s="604">
        <f t="shared" si="330"/>
        <v>100</v>
      </c>
      <c r="BA403" s="592">
        <f t="shared" si="331"/>
        <v>3.125E-2</v>
      </c>
      <c r="BB403" s="592">
        <f t="shared" si="332"/>
        <v>100</v>
      </c>
      <c r="BC403" s="591">
        <v>108000000</v>
      </c>
      <c r="BD403" s="591">
        <v>0</v>
      </c>
      <c r="BE403" s="591">
        <v>33000000</v>
      </c>
      <c r="BF403" s="591">
        <v>0</v>
      </c>
      <c r="BG403" s="591">
        <v>0</v>
      </c>
      <c r="BH403" s="591">
        <v>0</v>
      </c>
      <c r="BI403" s="591">
        <v>0</v>
      </c>
      <c r="BJ403" s="591">
        <v>75000000</v>
      </c>
      <c r="BK403" s="669">
        <v>175035000</v>
      </c>
      <c r="BL403" s="589">
        <v>175035000</v>
      </c>
      <c r="BM403" s="589">
        <v>0</v>
      </c>
      <c r="BN403" s="589">
        <v>0</v>
      </c>
      <c r="BO403" s="589">
        <v>0</v>
      </c>
      <c r="BP403" s="589">
        <v>0</v>
      </c>
      <c r="BQ403" s="589">
        <v>0</v>
      </c>
      <c r="BR403" s="589">
        <v>0</v>
      </c>
      <c r="BS403" s="589">
        <v>0</v>
      </c>
      <c r="BT403" s="589">
        <v>8000000000</v>
      </c>
      <c r="BU403" s="589" t="s">
        <v>2105</v>
      </c>
      <c r="BV403" s="588">
        <f t="shared" si="333"/>
        <v>6.25E-2</v>
      </c>
      <c r="BW403" s="588">
        <v>0.5</v>
      </c>
      <c r="BX403" s="623">
        <f t="shared" si="357"/>
        <v>0.25</v>
      </c>
      <c r="BY403" s="639">
        <v>1.5</v>
      </c>
      <c r="BZ403" s="679">
        <v>0.9</v>
      </c>
      <c r="CA403" s="1020">
        <v>0.9</v>
      </c>
      <c r="CB403" s="557">
        <f t="shared" si="358"/>
        <v>0.9</v>
      </c>
      <c r="CC403" s="557">
        <f t="shared" si="359"/>
        <v>180</v>
      </c>
      <c r="CD403" s="622">
        <f t="shared" si="334"/>
        <v>100</v>
      </c>
      <c r="CE403" s="621">
        <f t="shared" si="335"/>
        <v>6.25E-2</v>
      </c>
      <c r="CF403" s="605">
        <f t="shared" si="336"/>
        <v>100</v>
      </c>
      <c r="CG403" s="621">
        <f t="shared" si="337"/>
        <v>0.1125</v>
      </c>
      <c r="CH403" s="553">
        <f t="shared" si="338"/>
        <v>0.125</v>
      </c>
      <c r="CI403" s="552">
        <v>1</v>
      </c>
      <c r="CJ403" s="551">
        <f t="shared" si="360"/>
        <v>0.5</v>
      </c>
      <c r="CK403" s="871">
        <v>0</v>
      </c>
      <c r="CL403" s="533">
        <f t="shared" si="320"/>
        <v>1</v>
      </c>
      <c r="CM403" s="619">
        <f t="shared" si="361"/>
        <v>0</v>
      </c>
      <c r="CN403" s="619">
        <f t="shared" si="362"/>
        <v>0</v>
      </c>
      <c r="CO403" s="549">
        <f t="shared" si="339"/>
        <v>0</v>
      </c>
      <c r="CP403" s="619">
        <f t="shared" si="340"/>
        <v>0</v>
      </c>
      <c r="CQ403" s="619">
        <f t="shared" si="341"/>
        <v>0</v>
      </c>
      <c r="CR403" s="546">
        <v>150000000</v>
      </c>
      <c r="CS403" s="546">
        <v>75000000</v>
      </c>
      <c r="CT403" s="546">
        <v>0</v>
      </c>
      <c r="CU403" s="546">
        <v>0</v>
      </c>
      <c r="CV403" s="546">
        <v>0</v>
      </c>
      <c r="CW403" s="546">
        <v>0</v>
      </c>
      <c r="CX403" s="546">
        <v>0</v>
      </c>
      <c r="CY403" s="546">
        <v>75000000</v>
      </c>
      <c r="CZ403" s="618">
        <v>0</v>
      </c>
      <c r="DA403" s="618">
        <v>0</v>
      </c>
      <c r="DB403" s="618">
        <v>0</v>
      </c>
      <c r="DC403" s="618">
        <v>0</v>
      </c>
      <c r="DD403" s="618">
        <v>0</v>
      </c>
      <c r="DE403" s="618">
        <v>0</v>
      </c>
      <c r="DF403" s="618">
        <v>0</v>
      </c>
      <c r="DG403" s="618">
        <v>0</v>
      </c>
      <c r="DH403" s="618">
        <v>0</v>
      </c>
      <c r="DI403" s="618">
        <v>0</v>
      </c>
      <c r="DJ403" s="618">
        <v>0</v>
      </c>
      <c r="DK403" s="1034">
        <f t="shared" si="363"/>
        <v>1.5</v>
      </c>
      <c r="DL403" s="543">
        <f t="shared" si="342"/>
        <v>0.25</v>
      </c>
      <c r="DM403" s="542">
        <f t="shared" si="343"/>
        <v>75</v>
      </c>
      <c r="DN403" s="594">
        <f t="shared" si="344"/>
        <v>75</v>
      </c>
      <c r="DO403" s="540">
        <f t="shared" si="345"/>
        <v>0.1875</v>
      </c>
      <c r="DP403" s="597">
        <f t="shared" si="349"/>
        <v>0.1875</v>
      </c>
      <c r="DQ403" s="538">
        <f t="shared" si="346"/>
        <v>0.1875</v>
      </c>
      <c r="DR403" s="617">
        <f t="shared" si="347"/>
        <v>1</v>
      </c>
      <c r="DS403" s="616">
        <f t="shared" si="348"/>
        <v>0</v>
      </c>
      <c r="DT403" s="259">
        <v>468</v>
      </c>
      <c r="DU403" s="260" t="s">
        <v>260</v>
      </c>
      <c r="DV403" s="259"/>
      <c r="DW403" s="260" t="s">
        <v>242</v>
      </c>
      <c r="DX403" s="259"/>
      <c r="DY403" s="259"/>
      <c r="DZ403" s="259"/>
      <c r="EA403" s="987"/>
      <c r="EB403" s="1041" t="s">
        <v>2706</v>
      </c>
      <c r="EC403" s="802">
        <v>150000000</v>
      </c>
      <c r="EE403" s="1047"/>
    </row>
    <row r="404" spans="4:135" s="534" customFormat="1" ht="102" hidden="1" x14ac:dyDescent="0.3">
      <c r="D404" s="783">
        <v>401</v>
      </c>
      <c r="E404" s="799">
        <v>470</v>
      </c>
      <c r="F404" s="739" t="s">
        <v>202</v>
      </c>
      <c r="G404" s="739" t="s">
        <v>23</v>
      </c>
      <c r="H404" s="739" t="s">
        <v>153</v>
      </c>
      <c r="I404" s="676" t="s">
        <v>1138</v>
      </c>
      <c r="J404" s="573" t="s">
        <v>1141</v>
      </c>
      <c r="K404" s="573" t="s">
        <v>1142</v>
      </c>
      <c r="L404" s="675" t="s">
        <v>2115</v>
      </c>
      <c r="M404" s="571" t="s">
        <v>2017</v>
      </c>
      <c r="N404" s="575">
        <v>0</v>
      </c>
      <c r="O404" s="570">
        <f t="shared" si="350"/>
        <v>3</v>
      </c>
      <c r="P404" s="663">
        <v>3</v>
      </c>
      <c r="Q404" s="628">
        <v>0.16500000000000001</v>
      </c>
      <c r="R404" s="580">
        <f t="shared" si="326"/>
        <v>0</v>
      </c>
      <c r="S404" s="657">
        <v>0</v>
      </c>
      <c r="T404" s="575">
        <f t="shared" si="351"/>
        <v>0</v>
      </c>
      <c r="U404" s="996">
        <v>0</v>
      </c>
      <c r="V404" s="626">
        <f t="shared" si="352"/>
        <v>0</v>
      </c>
      <c r="W404" s="594">
        <f t="shared" si="353"/>
        <v>0</v>
      </c>
      <c r="X404" s="594">
        <f t="shared" si="327"/>
        <v>0</v>
      </c>
      <c r="Y404" s="594">
        <f t="shared" si="364"/>
        <v>0</v>
      </c>
      <c r="Z404" s="594">
        <f t="shared" si="328"/>
        <v>0</v>
      </c>
      <c r="AA404" s="653">
        <v>0</v>
      </c>
      <c r="AB404" s="653">
        <v>0</v>
      </c>
      <c r="AC404" s="653">
        <v>0</v>
      </c>
      <c r="AD404" s="653">
        <v>0</v>
      </c>
      <c r="AE404" s="653">
        <v>0</v>
      </c>
      <c r="AF404" s="653">
        <v>0</v>
      </c>
      <c r="AG404" s="653">
        <v>0</v>
      </c>
      <c r="AH404" s="653">
        <v>0</v>
      </c>
      <c r="AI404" s="653">
        <v>0</v>
      </c>
      <c r="AJ404" s="653">
        <v>0</v>
      </c>
      <c r="AK404" s="653">
        <v>0</v>
      </c>
      <c r="AL404" s="653">
        <v>0</v>
      </c>
      <c r="AM404" s="653">
        <v>0</v>
      </c>
      <c r="AN404" s="653">
        <v>0</v>
      </c>
      <c r="AO404" s="653">
        <v>0</v>
      </c>
      <c r="AP404" s="653">
        <v>0</v>
      </c>
      <c r="AQ404" s="653">
        <v>0</v>
      </c>
      <c r="AR404" s="653">
        <v>0</v>
      </c>
      <c r="AS404" s="653">
        <v>0</v>
      </c>
      <c r="AT404" s="570">
        <f t="shared" si="329"/>
        <v>5.5E-2</v>
      </c>
      <c r="AU404" s="571">
        <v>1</v>
      </c>
      <c r="AV404" s="625">
        <f t="shared" si="354"/>
        <v>0.33333333333333331</v>
      </c>
      <c r="AW404" s="1003">
        <v>1</v>
      </c>
      <c r="AX404" s="604">
        <f t="shared" si="355"/>
        <v>1</v>
      </c>
      <c r="AY404" s="604">
        <f t="shared" si="356"/>
        <v>100</v>
      </c>
      <c r="AZ404" s="604">
        <f t="shared" si="330"/>
        <v>100</v>
      </c>
      <c r="BA404" s="592">
        <f t="shared" si="331"/>
        <v>5.5E-2</v>
      </c>
      <c r="BB404" s="592">
        <f t="shared" si="332"/>
        <v>100</v>
      </c>
      <c r="BC404" s="591">
        <v>1769000000</v>
      </c>
      <c r="BD404" s="591">
        <v>0</v>
      </c>
      <c r="BE404" s="591">
        <v>769000000</v>
      </c>
      <c r="BF404" s="591">
        <v>0</v>
      </c>
      <c r="BG404" s="591">
        <v>0</v>
      </c>
      <c r="BH404" s="591">
        <v>0</v>
      </c>
      <c r="BI404" s="591">
        <v>0</v>
      </c>
      <c r="BJ404" s="591">
        <v>1000000000</v>
      </c>
      <c r="BK404" s="669">
        <v>1350000000</v>
      </c>
      <c r="BL404" s="589">
        <v>1350000000</v>
      </c>
      <c r="BM404" s="589">
        <v>0</v>
      </c>
      <c r="BN404" s="589">
        <v>0</v>
      </c>
      <c r="BO404" s="589">
        <v>0</v>
      </c>
      <c r="BP404" s="589">
        <v>0</v>
      </c>
      <c r="BQ404" s="589">
        <v>0</v>
      </c>
      <c r="BR404" s="589">
        <v>0</v>
      </c>
      <c r="BS404" s="589">
        <v>0</v>
      </c>
      <c r="BT404" s="589">
        <v>200000000</v>
      </c>
      <c r="BU404" s="589" t="s">
        <v>2114</v>
      </c>
      <c r="BV404" s="588">
        <f t="shared" si="333"/>
        <v>5.5E-2</v>
      </c>
      <c r="BW404" s="588">
        <v>1</v>
      </c>
      <c r="BX404" s="623">
        <f t="shared" si="357"/>
        <v>0.33333333333333331</v>
      </c>
      <c r="BY404" s="607">
        <v>0.5</v>
      </c>
      <c r="BZ404" s="679">
        <v>0.69999998807907104</v>
      </c>
      <c r="CA404" s="1020">
        <v>1</v>
      </c>
      <c r="CB404" s="557">
        <f t="shared" si="358"/>
        <v>1</v>
      </c>
      <c r="CC404" s="557">
        <f t="shared" si="359"/>
        <v>100</v>
      </c>
      <c r="CD404" s="622">
        <f t="shared" si="334"/>
        <v>100</v>
      </c>
      <c r="CE404" s="621">
        <f t="shared" si="335"/>
        <v>5.5E-2</v>
      </c>
      <c r="CF404" s="605">
        <f t="shared" si="336"/>
        <v>100</v>
      </c>
      <c r="CG404" s="621">
        <f t="shared" si="337"/>
        <v>5.5E-2</v>
      </c>
      <c r="CH404" s="553">
        <f t="shared" si="338"/>
        <v>5.5E-2</v>
      </c>
      <c r="CI404" s="552">
        <v>1</v>
      </c>
      <c r="CJ404" s="551">
        <f t="shared" si="360"/>
        <v>0.33333333333333331</v>
      </c>
      <c r="CK404" s="874">
        <v>0.5</v>
      </c>
      <c r="CL404" s="533">
        <f t="shared" si="320"/>
        <v>0.5</v>
      </c>
      <c r="CM404" s="619">
        <f t="shared" si="361"/>
        <v>0.5</v>
      </c>
      <c r="CN404" s="619">
        <f t="shared" si="362"/>
        <v>50</v>
      </c>
      <c r="CO404" s="549">
        <f t="shared" si="339"/>
        <v>50</v>
      </c>
      <c r="CP404" s="619">
        <f t="shared" si="340"/>
        <v>2.75E-2</v>
      </c>
      <c r="CQ404" s="619">
        <f t="shared" si="341"/>
        <v>2.75E-2</v>
      </c>
      <c r="CR404" s="546">
        <v>2775000000</v>
      </c>
      <c r="CS404" s="546">
        <v>1775000000</v>
      </c>
      <c r="CT404" s="546">
        <v>0</v>
      </c>
      <c r="CU404" s="546">
        <v>0</v>
      </c>
      <c r="CV404" s="546">
        <v>0</v>
      </c>
      <c r="CW404" s="546">
        <v>0</v>
      </c>
      <c r="CX404" s="546">
        <v>0</v>
      </c>
      <c r="CY404" s="546">
        <v>1000000000</v>
      </c>
      <c r="CZ404" s="618">
        <v>0</v>
      </c>
      <c r="DA404" s="618">
        <v>0</v>
      </c>
      <c r="DB404" s="618">
        <v>0</v>
      </c>
      <c r="DC404" s="618">
        <v>0</v>
      </c>
      <c r="DD404" s="618">
        <v>0</v>
      </c>
      <c r="DE404" s="618">
        <v>0</v>
      </c>
      <c r="DF404" s="618">
        <v>0</v>
      </c>
      <c r="DG404" s="618">
        <v>0</v>
      </c>
      <c r="DH404" s="618">
        <v>0</v>
      </c>
      <c r="DI404" s="618">
        <v>0</v>
      </c>
      <c r="DJ404" s="618">
        <v>0</v>
      </c>
      <c r="DK404" s="1034">
        <f t="shared" si="363"/>
        <v>2.5</v>
      </c>
      <c r="DL404" s="543">
        <f t="shared" si="342"/>
        <v>0.16500000000000001</v>
      </c>
      <c r="DM404" s="542">
        <f t="shared" si="343"/>
        <v>83.333333333333329</v>
      </c>
      <c r="DN404" s="594">
        <f t="shared" si="344"/>
        <v>83.333333333333329</v>
      </c>
      <c r="DO404" s="540">
        <f t="shared" si="345"/>
        <v>0.13750000000000001</v>
      </c>
      <c r="DP404" s="597">
        <f t="shared" si="349"/>
        <v>0.13750000000000001</v>
      </c>
      <c r="DQ404" s="538">
        <f t="shared" si="346"/>
        <v>0.13750000000000001</v>
      </c>
      <c r="DR404" s="617">
        <f t="shared" si="347"/>
        <v>1</v>
      </c>
      <c r="DS404" s="616">
        <f t="shared" si="348"/>
        <v>0</v>
      </c>
      <c r="DT404" s="259">
        <v>468</v>
      </c>
      <c r="DU404" s="260" t="s">
        <v>260</v>
      </c>
      <c r="DV404" s="259"/>
      <c r="DW404" s="260" t="s">
        <v>242</v>
      </c>
      <c r="DX404" s="259"/>
      <c r="DY404" s="259"/>
      <c r="DZ404" s="259"/>
      <c r="EA404" s="987"/>
      <c r="EB404" s="1041" t="s">
        <v>2707</v>
      </c>
      <c r="EC404" s="802">
        <v>2775000000</v>
      </c>
      <c r="EE404" s="1047"/>
    </row>
    <row r="405" spans="4:135" s="534" customFormat="1" ht="191.25" hidden="1" x14ac:dyDescent="0.3">
      <c r="D405" s="783">
        <v>402</v>
      </c>
      <c r="E405" s="799">
        <v>471</v>
      </c>
      <c r="F405" s="739" t="s">
        <v>202</v>
      </c>
      <c r="G405" s="739" t="s">
        <v>23</v>
      </c>
      <c r="H405" s="739" t="s">
        <v>153</v>
      </c>
      <c r="I405" s="676" t="s">
        <v>1138</v>
      </c>
      <c r="J405" s="573" t="s">
        <v>1143</v>
      </c>
      <c r="K405" s="573" t="s">
        <v>1144</v>
      </c>
      <c r="L405" s="675" t="s">
        <v>2113</v>
      </c>
      <c r="M405" s="571" t="s">
        <v>2017</v>
      </c>
      <c r="N405" s="575">
        <v>0</v>
      </c>
      <c r="O405" s="570">
        <f t="shared" si="350"/>
        <v>2</v>
      </c>
      <c r="P405" s="663">
        <v>2</v>
      </c>
      <c r="Q405" s="628">
        <v>0.25</v>
      </c>
      <c r="R405" s="580">
        <f t="shared" si="326"/>
        <v>0</v>
      </c>
      <c r="S405" s="657">
        <v>0</v>
      </c>
      <c r="T405" s="575">
        <f t="shared" si="351"/>
        <v>0</v>
      </c>
      <c r="U405" s="996">
        <v>0.1</v>
      </c>
      <c r="V405" s="626">
        <f t="shared" si="352"/>
        <v>0.1</v>
      </c>
      <c r="W405" s="594">
        <f t="shared" si="353"/>
        <v>0</v>
      </c>
      <c r="X405" s="594">
        <f t="shared" si="327"/>
        <v>0</v>
      </c>
      <c r="Y405" s="594">
        <f t="shared" si="364"/>
        <v>0</v>
      </c>
      <c r="Z405" s="594">
        <f t="shared" si="328"/>
        <v>100</v>
      </c>
      <c r="AA405" s="653">
        <v>203500000</v>
      </c>
      <c r="AB405" s="653">
        <v>183000000</v>
      </c>
      <c r="AC405" s="653">
        <v>0</v>
      </c>
      <c r="AD405" s="653">
        <v>0</v>
      </c>
      <c r="AE405" s="653">
        <v>0</v>
      </c>
      <c r="AF405" s="653">
        <v>0</v>
      </c>
      <c r="AG405" s="653">
        <v>0</v>
      </c>
      <c r="AH405" s="653">
        <v>20500000</v>
      </c>
      <c r="AI405" s="653">
        <v>174500000</v>
      </c>
      <c r="AJ405" s="653">
        <v>154000000</v>
      </c>
      <c r="AK405" s="653">
        <v>0</v>
      </c>
      <c r="AL405" s="653">
        <v>20500000</v>
      </c>
      <c r="AM405" s="653">
        <v>0</v>
      </c>
      <c r="AN405" s="653">
        <v>0</v>
      </c>
      <c r="AO405" s="653">
        <v>0</v>
      </c>
      <c r="AP405" s="653">
        <v>0</v>
      </c>
      <c r="AQ405" s="653">
        <v>0</v>
      </c>
      <c r="AR405" s="653">
        <v>0</v>
      </c>
      <c r="AS405" s="653">
        <v>0</v>
      </c>
      <c r="AT405" s="570">
        <f t="shared" si="329"/>
        <v>0</v>
      </c>
      <c r="AU405" s="571">
        <v>0</v>
      </c>
      <c r="AV405" s="625">
        <f t="shared" si="354"/>
        <v>0</v>
      </c>
      <c r="AW405" s="1003">
        <v>0.25</v>
      </c>
      <c r="AX405" s="604">
        <f t="shared" si="355"/>
        <v>0.25</v>
      </c>
      <c r="AY405" s="604">
        <f t="shared" si="356"/>
        <v>0</v>
      </c>
      <c r="AZ405" s="604">
        <f t="shared" si="330"/>
        <v>0</v>
      </c>
      <c r="BA405" s="592">
        <f t="shared" si="331"/>
        <v>0</v>
      </c>
      <c r="BB405" s="592">
        <f t="shared" si="332"/>
        <v>100</v>
      </c>
      <c r="BC405" s="591">
        <v>315000000</v>
      </c>
      <c r="BD405" s="591">
        <v>0</v>
      </c>
      <c r="BE405" s="591">
        <v>65000000</v>
      </c>
      <c r="BF405" s="591">
        <v>0</v>
      </c>
      <c r="BG405" s="591">
        <v>0</v>
      </c>
      <c r="BH405" s="591">
        <v>0</v>
      </c>
      <c r="BI405" s="591">
        <v>0</v>
      </c>
      <c r="BJ405" s="591">
        <v>250000000</v>
      </c>
      <c r="BK405" s="669">
        <v>178000000</v>
      </c>
      <c r="BL405" s="589">
        <v>178000000</v>
      </c>
      <c r="BM405" s="589">
        <v>0</v>
      </c>
      <c r="BN405" s="589">
        <v>0</v>
      </c>
      <c r="BO405" s="589">
        <v>0</v>
      </c>
      <c r="BP405" s="589">
        <v>0</v>
      </c>
      <c r="BQ405" s="589">
        <v>0</v>
      </c>
      <c r="BR405" s="589">
        <v>0</v>
      </c>
      <c r="BS405" s="589">
        <v>0</v>
      </c>
      <c r="BT405" s="589">
        <v>1181869382</v>
      </c>
      <c r="BU405" s="589" t="s">
        <v>2112</v>
      </c>
      <c r="BV405" s="588">
        <f t="shared" si="333"/>
        <v>0.125</v>
      </c>
      <c r="BW405" s="588">
        <v>1</v>
      </c>
      <c r="BX405" s="623">
        <f t="shared" si="357"/>
        <v>0.5</v>
      </c>
      <c r="BY405" s="607">
        <v>0.30000001192092896</v>
      </c>
      <c r="BZ405" s="679">
        <v>0.34999999403953552</v>
      </c>
      <c r="CA405" s="1020">
        <v>0.64999997615814209</v>
      </c>
      <c r="CB405" s="557">
        <f t="shared" si="358"/>
        <v>0.64999997615814209</v>
      </c>
      <c r="CC405" s="557">
        <f t="shared" si="359"/>
        <v>64.999997615814209</v>
      </c>
      <c r="CD405" s="622">
        <f t="shared" si="334"/>
        <v>64.999997615814209</v>
      </c>
      <c r="CE405" s="621">
        <f t="shared" si="335"/>
        <v>8.1249997019767761E-2</v>
      </c>
      <c r="CF405" s="605">
        <f t="shared" si="336"/>
        <v>64.999997615814209</v>
      </c>
      <c r="CG405" s="621">
        <f t="shared" si="337"/>
        <v>8.1249997019767761E-2</v>
      </c>
      <c r="CH405" s="553">
        <f t="shared" si="338"/>
        <v>0.125</v>
      </c>
      <c r="CI405" s="552">
        <v>1</v>
      </c>
      <c r="CJ405" s="551">
        <f t="shared" si="360"/>
        <v>0.5</v>
      </c>
      <c r="CK405" s="874">
        <v>0.40000000596046448</v>
      </c>
      <c r="CL405" s="533">
        <f t="shared" si="320"/>
        <v>0.59999999403953552</v>
      </c>
      <c r="CM405" s="619">
        <f t="shared" si="361"/>
        <v>0.40000000596046448</v>
      </c>
      <c r="CN405" s="619">
        <f t="shared" si="362"/>
        <v>40.000000596046448</v>
      </c>
      <c r="CO405" s="549">
        <f t="shared" si="339"/>
        <v>40.000000596046448</v>
      </c>
      <c r="CP405" s="619">
        <f t="shared" si="340"/>
        <v>5.000000074505806E-2</v>
      </c>
      <c r="CQ405" s="619">
        <f t="shared" si="341"/>
        <v>5.000000074505806E-2</v>
      </c>
      <c r="CR405" s="546">
        <v>400000000</v>
      </c>
      <c r="CS405" s="546">
        <v>150000000</v>
      </c>
      <c r="CT405" s="546">
        <v>0</v>
      </c>
      <c r="CU405" s="546">
        <v>0</v>
      </c>
      <c r="CV405" s="546">
        <v>0</v>
      </c>
      <c r="CW405" s="546">
        <v>0</v>
      </c>
      <c r="CX405" s="546">
        <v>0</v>
      </c>
      <c r="CY405" s="546">
        <v>250000000</v>
      </c>
      <c r="CZ405" s="618">
        <v>0</v>
      </c>
      <c r="DA405" s="618">
        <v>0</v>
      </c>
      <c r="DB405" s="618">
        <v>0</v>
      </c>
      <c r="DC405" s="618">
        <v>0</v>
      </c>
      <c r="DD405" s="618">
        <v>0</v>
      </c>
      <c r="DE405" s="618">
        <v>0</v>
      </c>
      <c r="DF405" s="618">
        <v>0</v>
      </c>
      <c r="DG405" s="618">
        <v>0</v>
      </c>
      <c r="DH405" s="618">
        <v>0</v>
      </c>
      <c r="DI405" s="618">
        <v>0</v>
      </c>
      <c r="DJ405" s="618">
        <v>0</v>
      </c>
      <c r="DK405" s="1034">
        <f t="shared" si="363"/>
        <v>1.3999999821186067</v>
      </c>
      <c r="DL405" s="543">
        <f t="shared" si="342"/>
        <v>0.25</v>
      </c>
      <c r="DM405" s="542">
        <f t="shared" si="343"/>
        <v>69.999999105930328</v>
      </c>
      <c r="DN405" s="594">
        <f t="shared" si="344"/>
        <v>69.999999105930328</v>
      </c>
      <c r="DO405" s="540">
        <f t="shared" si="345"/>
        <v>0.17499999776482583</v>
      </c>
      <c r="DP405" s="597">
        <f t="shared" si="349"/>
        <v>0.17499999776482583</v>
      </c>
      <c r="DQ405" s="538">
        <f t="shared" si="346"/>
        <v>0.17499999776482583</v>
      </c>
      <c r="DR405" s="617">
        <f t="shared" si="347"/>
        <v>1</v>
      </c>
      <c r="DS405" s="616">
        <f t="shared" si="348"/>
        <v>0</v>
      </c>
      <c r="DT405" s="259">
        <v>468</v>
      </c>
      <c r="DU405" s="260" t="s">
        <v>260</v>
      </c>
      <c r="DV405" s="259"/>
      <c r="DW405" s="260" t="s">
        <v>242</v>
      </c>
      <c r="DX405" s="259"/>
      <c r="DY405" s="259"/>
      <c r="DZ405" s="259"/>
      <c r="EA405" s="987"/>
      <c r="EB405" s="1041" t="s">
        <v>2708</v>
      </c>
      <c r="EC405" s="802">
        <v>400000000</v>
      </c>
      <c r="EE405" s="1047"/>
    </row>
    <row r="406" spans="4:135" s="534" customFormat="1" ht="63.75" hidden="1" x14ac:dyDescent="0.3">
      <c r="D406" s="783">
        <v>403</v>
      </c>
      <c r="E406" s="799">
        <v>472</v>
      </c>
      <c r="F406" s="739" t="s">
        <v>202</v>
      </c>
      <c r="G406" s="739" t="s">
        <v>23</v>
      </c>
      <c r="H406" s="739" t="s">
        <v>153</v>
      </c>
      <c r="I406" s="676" t="s">
        <v>1138</v>
      </c>
      <c r="J406" s="573" t="s">
        <v>1145</v>
      </c>
      <c r="K406" s="573" t="s">
        <v>1146</v>
      </c>
      <c r="L406" s="675" t="s">
        <v>2019</v>
      </c>
      <c r="M406" s="571" t="s">
        <v>2017</v>
      </c>
      <c r="N406" s="575">
        <v>0</v>
      </c>
      <c r="O406" s="570">
        <f t="shared" si="350"/>
        <v>2</v>
      </c>
      <c r="P406" s="663">
        <v>2</v>
      </c>
      <c r="Q406" s="628">
        <v>0.25</v>
      </c>
      <c r="R406" s="580">
        <f t="shared" si="326"/>
        <v>0</v>
      </c>
      <c r="S406" s="657">
        <v>0</v>
      </c>
      <c r="T406" s="575">
        <f t="shared" si="351"/>
        <v>0</v>
      </c>
      <c r="U406" s="996">
        <v>0</v>
      </c>
      <c r="V406" s="626">
        <f t="shared" si="352"/>
        <v>0</v>
      </c>
      <c r="W406" s="594">
        <f t="shared" si="353"/>
        <v>0</v>
      </c>
      <c r="X406" s="594">
        <f t="shared" si="327"/>
        <v>0</v>
      </c>
      <c r="Y406" s="594">
        <f t="shared" si="364"/>
        <v>0</v>
      </c>
      <c r="Z406" s="594">
        <f t="shared" si="328"/>
        <v>0</v>
      </c>
      <c r="AA406" s="653">
        <v>0</v>
      </c>
      <c r="AB406" s="653">
        <v>0</v>
      </c>
      <c r="AC406" s="653">
        <v>0</v>
      </c>
      <c r="AD406" s="653">
        <v>0</v>
      </c>
      <c r="AE406" s="653">
        <v>0</v>
      </c>
      <c r="AF406" s="653">
        <v>0</v>
      </c>
      <c r="AG406" s="653">
        <v>0</v>
      </c>
      <c r="AH406" s="653">
        <v>0</v>
      </c>
      <c r="AI406" s="653">
        <v>0</v>
      </c>
      <c r="AJ406" s="653">
        <v>0</v>
      </c>
      <c r="AK406" s="653">
        <v>0</v>
      </c>
      <c r="AL406" s="653">
        <v>0</v>
      </c>
      <c r="AM406" s="653">
        <v>0</v>
      </c>
      <c r="AN406" s="653">
        <v>0</v>
      </c>
      <c r="AO406" s="653">
        <v>0</v>
      </c>
      <c r="AP406" s="653">
        <v>0</v>
      </c>
      <c r="AQ406" s="653">
        <v>0</v>
      </c>
      <c r="AR406" s="653">
        <v>0</v>
      </c>
      <c r="AS406" s="653">
        <v>0</v>
      </c>
      <c r="AT406" s="570">
        <f t="shared" si="329"/>
        <v>0</v>
      </c>
      <c r="AU406" s="571">
        <v>0</v>
      </c>
      <c r="AV406" s="625">
        <f t="shared" si="354"/>
        <v>0</v>
      </c>
      <c r="AW406" s="1003">
        <v>3</v>
      </c>
      <c r="AX406" s="604">
        <f t="shared" si="355"/>
        <v>3</v>
      </c>
      <c r="AY406" s="604">
        <f t="shared" si="356"/>
        <v>0</v>
      </c>
      <c r="AZ406" s="604">
        <f t="shared" si="330"/>
        <v>0</v>
      </c>
      <c r="BA406" s="592">
        <f t="shared" si="331"/>
        <v>0</v>
      </c>
      <c r="BB406" s="592">
        <f t="shared" si="332"/>
        <v>100</v>
      </c>
      <c r="BC406" s="591">
        <v>815000000</v>
      </c>
      <c r="BD406" s="591">
        <v>0</v>
      </c>
      <c r="BE406" s="591">
        <v>65000000</v>
      </c>
      <c r="BF406" s="591">
        <v>0</v>
      </c>
      <c r="BG406" s="591">
        <v>0</v>
      </c>
      <c r="BH406" s="591">
        <v>0</v>
      </c>
      <c r="BI406" s="591">
        <v>0</v>
      </c>
      <c r="BJ406" s="591">
        <v>750000000</v>
      </c>
      <c r="BK406" s="669">
        <v>0</v>
      </c>
      <c r="BL406" s="589">
        <v>0</v>
      </c>
      <c r="BM406" s="589">
        <v>0</v>
      </c>
      <c r="BN406" s="589">
        <v>0</v>
      </c>
      <c r="BO406" s="589">
        <v>0</v>
      </c>
      <c r="BP406" s="589">
        <v>0</v>
      </c>
      <c r="BQ406" s="589">
        <v>0</v>
      </c>
      <c r="BR406" s="589">
        <v>0</v>
      </c>
      <c r="BS406" s="589">
        <v>0</v>
      </c>
      <c r="BT406" s="589">
        <v>0</v>
      </c>
      <c r="BU406" s="589">
        <v>0</v>
      </c>
      <c r="BV406" s="588">
        <f t="shared" si="333"/>
        <v>0.125</v>
      </c>
      <c r="BW406" s="588">
        <v>1</v>
      </c>
      <c r="BX406" s="623">
        <f t="shared" si="357"/>
        <v>0.5</v>
      </c>
      <c r="BY406" s="640">
        <v>0</v>
      </c>
      <c r="BZ406" s="682">
        <v>3</v>
      </c>
      <c r="CA406" s="1028">
        <v>3</v>
      </c>
      <c r="CB406" s="557">
        <f t="shared" si="358"/>
        <v>3</v>
      </c>
      <c r="CC406" s="557">
        <f t="shared" si="359"/>
        <v>300</v>
      </c>
      <c r="CD406" s="622">
        <f t="shared" si="334"/>
        <v>100</v>
      </c>
      <c r="CE406" s="621">
        <f t="shared" si="335"/>
        <v>0.125</v>
      </c>
      <c r="CF406" s="605">
        <f t="shared" si="336"/>
        <v>100</v>
      </c>
      <c r="CG406" s="621">
        <f t="shared" si="337"/>
        <v>0.375</v>
      </c>
      <c r="CH406" s="553">
        <f t="shared" si="338"/>
        <v>0.125</v>
      </c>
      <c r="CI406" s="552">
        <v>1</v>
      </c>
      <c r="CJ406" s="551">
        <f t="shared" si="360"/>
        <v>0.5</v>
      </c>
      <c r="CK406" s="871">
        <v>0</v>
      </c>
      <c r="CL406" s="533">
        <f t="shared" si="320"/>
        <v>1</v>
      </c>
      <c r="CM406" s="619">
        <f t="shared" si="361"/>
        <v>0</v>
      </c>
      <c r="CN406" s="619">
        <f t="shared" si="362"/>
        <v>0</v>
      </c>
      <c r="CO406" s="549">
        <f t="shared" si="339"/>
        <v>0</v>
      </c>
      <c r="CP406" s="619">
        <f t="shared" si="340"/>
        <v>0</v>
      </c>
      <c r="CQ406" s="619">
        <f t="shared" si="341"/>
        <v>0</v>
      </c>
      <c r="CR406" s="546">
        <v>900000000</v>
      </c>
      <c r="CS406" s="546">
        <v>150000000</v>
      </c>
      <c r="CT406" s="546">
        <v>0</v>
      </c>
      <c r="CU406" s="546">
        <v>0</v>
      </c>
      <c r="CV406" s="546">
        <v>0</v>
      </c>
      <c r="CW406" s="546">
        <v>0</v>
      </c>
      <c r="CX406" s="546">
        <v>0</v>
      </c>
      <c r="CY406" s="546">
        <v>750000000</v>
      </c>
      <c r="CZ406" s="618">
        <v>0</v>
      </c>
      <c r="DA406" s="618">
        <v>0</v>
      </c>
      <c r="DB406" s="618">
        <v>0</v>
      </c>
      <c r="DC406" s="618">
        <v>0</v>
      </c>
      <c r="DD406" s="618">
        <v>0</v>
      </c>
      <c r="DE406" s="618">
        <v>0</v>
      </c>
      <c r="DF406" s="618">
        <v>0</v>
      </c>
      <c r="DG406" s="618">
        <v>0</v>
      </c>
      <c r="DH406" s="618">
        <v>0</v>
      </c>
      <c r="DI406" s="618">
        <v>0</v>
      </c>
      <c r="DJ406" s="618">
        <v>0</v>
      </c>
      <c r="DK406" s="1034">
        <f t="shared" si="363"/>
        <v>6</v>
      </c>
      <c r="DL406" s="543">
        <f t="shared" si="342"/>
        <v>0.25</v>
      </c>
      <c r="DM406" s="542">
        <f t="shared" si="343"/>
        <v>300</v>
      </c>
      <c r="DN406" s="594">
        <f t="shared" si="344"/>
        <v>100</v>
      </c>
      <c r="DO406" s="540">
        <f t="shared" si="345"/>
        <v>0.25</v>
      </c>
      <c r="DP406" s="597">
        <f t="shared" si="349"/>
        <v>0.25</v>
      </c>
      <c r="DQ406" s="538">
        <f t="shared" si="346"/>
        <v>0.25</v>
      </c>
      <c r="DR406" s="617">
        <f t="shared" si="347"/>
        <v>1</v>
      </c>
      <c r="DS406" s="616">
        <f t="shared" si="348"/>
        <v>0</v>
      </c>
      <c r="DT406" s="259">
        <v>468</v>
      </c>
      <c r="DU406" s="260" t="s">
        <v>260</v>
      </c>
      <c r="DV406" s="259"/>
      <c r="DW406" s="260" t="s">
        <v>242</v>
      </c>
      <c r="DX406" s="259"/>
      <c r="DY406" s="259"/>
      <c r="DZ406" s="259"/>
      <c r="EA406" s="987"/>
      <c r="EB406" s="1041" t="s">
        <v>2709</v>
      </c>
      <c r="EC406" s="802">
        <v>900000000</v>
      </c>
      <c r="EE406" s="1047"/>
    </row>
    <row r="407" spans="4:135" s="534" customFormat="1" ht="89.25" hidden="1" x14ac:dyDescent="0.3">
      <c r="D407" s="783">
        <v>404</v>
      </c>
      <c r="E407" s="799">
        <v>473</v>
      </c>
      <c r="F407" s="739" t="s">
        <v>202</v>
      </c>
      <c r="G407" s="739" t="s">
        <v>23</v>
      </c>
      <c r="H407" s="739" t="s">
        <v>153</v>
      </c>
      <c r="I407" s="676" t="s">
        <v>1138</v>
      </c>
      <c r="J407" s="573" t="s">
        <v>1147</v>
      </c>
      <c r="K407" s="573" t="s">
        <v>1148</v>
      </c>
      <c r="L407" s="677" t="s">
        <v>2090</v>
      </c>
      <c r="M407" s="571" t="s">
        <v>2017</v>
      </c>
      <c r="N407" s="575">
        <v>0</v>
      </c>
      <c r="O407" s="570">
        <f t="shared" si="350"/>
        <v>2</v>
      </c>
      <c r="P407" s="663">
        <v>2</v>
      </c>
      <c r="Q407" s="628">
        <v>0.16500000000000001</v>
      </c>
      <c r="R407" s="580">
        <f t="shared" si="326"/>
        <v>3.3000000000000002E-2</v>
      </c>
      <c r="S407" s="571">
        <v>0.4</v>
      </c>
      <c r="T407" s="625">
        <f t="shared" si="351"/>
        <v>0.2</v>
      </c>
      <c r="U407" s="998">
        <v>0.25</v>
      </c>
      <c r="V407" s="626">
        <f t="shared" si="352"/>
        <v>0.25</v>
      </c>
      <c r="W407" s="594">
        <f t="shared" si="353"/>
        <v>62.5</v>
      </c>
      <c r="X407" s="594">
        <f t="shared" si="327"/>
        <v>62.5</v>
      </c>
      <c r="Y407" s="594">
        <f t="shared" si="364"/>
        <v>2.0625000000000001E-2</v>
      </c>
      <c r="Z407" s="594">
        <f t="shared" si="328"/>
        <v>62.5</v>
      </c>
      <c r="AA407" s="653">
        <v>0</v>
      </c>
      <c r="AB407" s="653">
        <v>0</v>
      </c>
      <c r="AC407" s="653">
        <v>0</v>
      </c>
      <c r="AD407" s="653">
        <v>0</v>
      </c>
      <c r="AE407" s="653">
        <v>0</v>
      </c>
      <c r="AF407" s="653">
        <v>0</v>
      </c>
      <c r="AG407" s="653">
        <v>0</v>
      </c>
      <c r="AH407" s="653">
        <v>0</v>
      </c>
      <c r="AI407" s="653">
        <v>0</v>
      </c>
      <c r="AJ407" s="653">
        <v>0</v>
      </c>
      <c r="AK407" s="653">
        <v>0</v>
      </c>
      <c r="AL407" s="653">
        <v>0</v>
      </c>
      <c r="AM407" s="653">
        <v>0</v>
      </c>
      <c r="AN407" s="653">
        <v>0</v>
      </c>
      <c r="AO407" s="653">
        <v>0</v>
      </c>
      <c r="AP407" s="653">
        <v>0</v>
      </c>
      <c r="AQ407" s="653">
        <v>0</v>
      </c>
      <c r="AR407" s="653">
        <v>0</v>
      </c>
      <c r="AS407" s="653">
        <v>0</v>
      </c>
      <c r="AT407" s="570">
        <f t="shared" si="329"/>
        <v>0.13200000000000001</v>
      </c>
      <c r="AU407" s="571">
        <v>1.6</v>
      </c>
      <c r="AV407" s="625">
        <f t="shared" si="354"/>
        <v>0.8</v>
      </c>
      <c r="AW407" s="1003">
        <v>1.45</v>
      </c>
      <c r="AX407" s="604">
        <f t="shared" si="355"/>
        <v>1.45</v>
      </c>
      <c r="AY407" s="604">
        <f t="shared" si="356"/>
        <v>90.625</v>
      </c>
      <c r="AZ407" s="604">
        <f t="shared" si="330"/>
        <v>90.625</v>
      </c>
      <c r="BA407" s="592">
        <f t="shared" si="331"/>
        <v>0.11962500000000001</v>
      </c>
      <c r="BB407" s="592">
        <f t="shared" si="332"/>
        <v>90.625</v>
      </c>
      <c r="BC407" s="591">
        <v>114000000</v>
      </c>
      <c r="BD407" s="591">
        <v>0</v>
      </c>
      <c r="BE407" s="591">
        <v>39000000</v>
      </c>
      <c r="BF407" s="591">
        <v>0</v>
      </c>
      <c r="BG407" s="591">
        <v>0</v>
      </c>
      <c r="BH407" s="591">
        <v>0</v>
      </c>
      <c r="BI407" s="591">
        <v>0</v>
      </c>
      <c r="BJ407" s="591">
        <v>75000000</v>
      </c>
      <c r="BK407" s="669">
        <v>182500000</v>
      </c>
      <c r="BL407" s="589">
        <v>182500000</v>
      </c>
      <c r="BM407" s="589">
        <v>0</v>
      </c>
      <c r="BN407" s="589">
        <v>0</v>
      </c>
      <c r="BO407" s="589">
        <v>0</v>
      </c>
      <c r="BP407" s="589">
        <v>0</v>
      </c>
      <c r="BQ407" s="589">
        <v>0</v>
      </c>
      <c r="BR407" s="589">
        <v>0</v>
      </c>
      <c r="BS407" s="589">
        <v>0</v>
      </c>
      <c r="BT407" s="589">
        <v>80000000</v>
      </c>
      <c r="BU407" s="589" t="s">
        <v>2105</v>
      </c>
      <c r="BV407" s="588">
        <f t="shared" si="333"/>
        <v>0</v>
      </c>
      <c r="BW407" s="588">
        <v>0</v>
      </c>
      <c r="BX407" s="623">
        <f t="shared" si="357"/>
        <v>0</v>
      </c>
      <c r="BY407" s="607">
        <v>0.34999999403953552</v>
      </c>
      <c r="BZ407" s="679">
        <v>0.30000001192092896</v>
      </c>
      <c r="CA407" s="1020">
        <v>0.3</v>
      </c>
      <c r="CB407" s="557">
        <f t="shared" si="358"/>
        <v>0.3</v>
      </c>
      <c r="CC407" s="557">
        <f t="shared" si="359"/>
        <v>0</v>
      </c>
      <c r="CD407" s="622">
        <f t="shared" si="334"/>
        <v>0</v>
      </c>
      <c r="CE407" s="621">
        <f t="shared" si="335"/>
        <v>0</v>
      </c>
      <c r="CF407" s="605">
        <f t="shared" si="336"/>
        <v>100</v>
      </c>
      <c r="CG407" s="621">
        <f t="shared" si="337"/>
        <v>0</v>
      </c>
      <c r="CH407" s="553">
        <f t="shared" si="338"/>
        <v>0</v>
      </c>
      <c r="CI407" s="552">
        <v>0</v>
      </c>
      <c r="CJ407" s="551">
        <f t="shared" si="360"/>
        <v>0</v>
      </c>
      <c r="CK407" s="871">
        <v>0</v>
      </c>
      <c r="CL407" s="533">
        <f t="shared" si="320"/>
        <v>0</v>
      </c>
      <c r="CM407" s="619">
        <f t="shared" si="361"/>
        <v>0</v>
      </c>
      <c r="CN407" s="619">
        <f t="shared" si="362"/>
        <v>0</v>
      </c>
      <c r="CO407" s="549">
        <f t="shared" si="339"/>
        <v>0</v>
      </c>
      <c r="CP407" s="619">
        <f t="shared" si="340"/>
        <v>0</v>
      </c>
      <c r="CQ407" s="619">
        <f t="shared" si="341"/>
        <v>0</v>
      </c>
      <c r="CR407" s="546">
        <v>165000000</v>
      </c>
      <c r="CS407" s="546">
        <v>90000000</v>
      </c>
      <c r="CT407" s="546">
        <v>0</v>
      </c>
      <c r="CU407" s="546">
        <v>0</v>
      </c>
      <c r="CV407" s="546">
        <v>0</v>
      </c>
      <c r="CW407" s="546">
        <v>0</v>
      </c>
      <c r="CX407" s="546">
        <v>0</v>
      </c>
      <c r="CY407" s="546">
        <v>75000000</v>
      </c>
      <c r="CZ407" s="618">
        <v>0</v>
      </c>
      <c r="DA407" s="618">
        <v>0</v>
      </c>
      <c r="DB407" s="618">
        <v>0</v>
      </c>
      <c r="DC407" s="618">
        <v>0</v>
      </c>
      <c r="DD407" s="618">
        <v>0</v>
      </c>
      <c r="DE407" s="618">
        <v>0</v>
      </c>
      <c r="DF407" s="618">
        <v>0</v>
      </c>
      <c r="DG407" s="618">
        <v>0</v>
      </c>
      <c r="DH407" s="618">
        <v>0</v>
      </c>
      <c r="DI407" s="618">
        <v>0</v>
      </c>
      <c r="DJ407" s="618">
        <v>0</v>
      </c>
      <c r="DK407" s="1034">
        <f t="shared" si="363"/>
        <v>2</v>
      </c>
      <c r="DL407" s="543">
        <f t="shared" si="342"/>
        <v>0.16500000000000001</v>
      </c>
      <c r="DM407" s="542">
        <f t="shared" si="343"/>
        <v>100</v>
      </c>
      <c r="DN407" s="594">
        <f t="shared" si="344"/>
        <v>100</v>
      </c>
      <c r="DO407" s="540">
        <f t="shared" si="345"/>
        <v>0.16500000000000001</v>
      </c>
      <c r="DP407" s="597">
        <f t="shared" si="349"/>
        <v>0.16500000000000001</v>
      </c>
      <c r="DQ407" s="538">
        <f t="shared" si="346"/>
        <v>0.16500000000000001</v>
      </c>
      <c r="DR407" s="617">
        <f t="shared" si="347"/>
        <v>1</v>
      </c>
      <c r="DS407" s="616">
        <f t="shared" si="348"/>
        <v>0</v>
      </c>
      <c r="DT407" s="259">
        <v>468</v>
      </c>
      <c r="DU407" s="260" t="s">
        <v>260</v>
      </c>
      <c r="DV407" s="259"/>
      <c r="DW407" s="260" t="s">
        <v>242</v>
      </c>
      <c r="DX407" s="259"/>
      <c r="DY407" s="259"/>
      <c r="DZ407" s="259"/>
      <c r="EA407" s="987"/>
      <c r="EB407" s="1041" t="s">
        <v>2710</v>
      </c>
      <c r="EC407" s="802">
        <v>165000000</v>
      </c>
      <c r="EE407" s="1047"/>
    </row>
    <row r="408" spans="4:135" s="534" customFormat="1" ht="89.25" hidden="1" x14ac:dyDescent="0.3">
      <c r="D408" s="783">
        <v>405</v>
      </c>
      <c r="E408" s="799">
        <v>474</v>
      </c>
      <c r="F408" s="739" t="s">
        <v>202</v>
      </c>
      <c r="G408" s="739" t="s">
        <v>23</v>
      </c>
      <c r="H408" s="739" t="s">
        <v>153</v>
      </c>
      <c r="I408" s="795" t="s">
        <v>1138</v>
      </c>
      <c r="J408" s="573" t="s">
        <v>1149</v>
      </c>
      <c r="K408" s="573" t="s">
        <v>1150</v>
      </c>
      <c r="L408" s="681" t="s">
        <v>2111</v>
      </c>
      <c r="M408" s="571" t="s">
        <v>2017</v>
      </c>
      <c r="N408" s="575">
        <v>0</v>
      </c>
      <c r="O408" s="570">
        <f t="shared" si="350"/>
        <v>1</v>
      </c>
      <c r="P408" s="663">
        <v>1</v>
      </c>
      <c r="Q408" s="628">
        <v>0.16500000000000001</v>
      </c>
      <c r="R408" s="580">
        <f t="shared" si="326"/>
        <v>0</v>
      </c>
      <c r="S408" s="657">
        <v>0</v>
      </c>
      <c r="T408" s="642">
        <f t="shared" si="351"/>
        <v>0</v>
      </c>
      <c r="U408" s="996">
        <v>0</v>
      </c>
      <c r="V408" s="626">
        <f t="shared" si="352"/>
        <v>0</v>
      </c>
      <c r="W408" s="594">
        <f t="shared" si="353"/>
        <v>0</v>
      </c>
      <c r="X408" s="594">
        <f t="shared" si="327"/>
        <v>0</v>
      </c>
      <c r="Y408" s="594">
        <f t="shared" si="364"/>
        <v>0</v>
      </c>
      <c r="Z408" s="594">
        <f t="shared" si="328"/>
        <v>0</v>
      </c>
      <c r="AA408" s="653">
        <v>0</v>
      </c>
      <c r="AB408" s="653">
        <v>0</v>
      </c>
      <c r="AC408" s="653">
        <v>0</v>
      </c>
      <c r="AD408" s="653">
        <v>0</v>
      </c>
      <c r="AE408" s="653">
        <v>0</v>
      </c>
      <c r="AF408" s="653">
        <v>0</v>
      </c>
      <c r="AG408" s="653">
        <v>0</v>
      </c>
      <c r="AH408" s="653">
        <v>0</v>
      </c>
      <c r="AI408" s="653">
        <v>0</v>
      </c>
      <c r="AJ408" s="653">
        <v>0</v>
      </c>
      <c r="AK408" s="653">
        <v>0</v>
      </c>
      <c r="AL408" s="653">
        <v>0</v>
      </c>
      <c r="AM408" s="653">
        <v>0</v>
      </c>
      <c r="AN408" s="653">
        <v>0</v>
      </c>
      <c r="AO408" s="653">
        <v>0</v>
      </c>
      <c r="AP408" s="653">
        <v>0</v>
      </c>
      <c r="AQ408" s="653">
        <v>0</v>
      </c>
      <c r="AR408" s="653">
        <v>0</v>
      </c>
      <c r="AS408" s="653">
        <v>0</v>
      </c>
      <c r="AT408" s="570">
        <f t="shared" si="329"/>
        <v>4.9500000000000002E-2</v>
      </c>
      <c r="AU408" s="571">
        <v>0.3</v>
      </c>
      <c r="AV408" s="625">
        <f t="shared" si="354"/>
        <v>0.3</v>
      </c>
      <c r="AW408" s="1003">
        <v>0.35</v>
      </c>
      <c r="AX408" s="604">
        <f t="shared" si="355"/>
        <v>0.35</v>
      </c>
      <c r="AY408" s="604">
        <f t="shared" si="356"/>
        <v>116.66666666666667</v>
      </c>
      <c r="AZ408" s="604">
        <f t="shared" si="330"/>
        <v>100</v>
      </c>
      <c r="BA408" s="592">
        <f t="shared" si="331"/>
        <v>4.9500000000000002E-2</v>
      </c>
      <c r="BB408" s="592">
        <f t="shared" si="332"/>
        <v>100</v>
      </c>
      <c r="BC408" s="591">
        <v>38000000</v>
      </c>
      <c r="BD408" s="591">
        <v>0</v>
      </c>
      <c r="BE408" s="591">
        <v>13000000</v>
      </c>
      <c r="BF408" s="591">
        <v>0</v>
      </c>
      <c r="BG408" s="591">
        <v>0</v>
      </c>
      <c r="BH408" s="591">
        <v>0</v>
      </c>
      <c r="BI408" s="591">
        <v>0</v>
      </c>
      <c r="BJ408" s="591">
        <v>25000000</v>
      </c>
      <c r="BK408" s="669">
        <v>50000000</v>
      </c>
      <c r="BL408" s="589">
        <v>50000000</v>
      </c>
      <c r="BM408" s="589">
        <v>0</v>
      </c>
      <c r="BN408" s="589">
        <v>0</v>
      </c>
      <c r="BO408" s="589">
        <v>0</v>
      </c>
      <c r="BP408" s="589">
        <v>0</v>
      </c>
      <c r="BQ408" s="589">
        <v>0</v>
      </c>
      <c r="BR408" s="589">
        <v>0</v>
      </c>
      <c r="BS408" s="589">
        <v>0</v>
      </c>
      <c r="BT408" s="589">
        <v>13952115</v>
      </c>
      <c r="BU408" s="589" t="s">
        <v>2110</v>
      </c>
      <c r="BV408" s="588">
        <f t="shared" si="333"/>
        <v>9.9000000000000005E-2</v>
      </c>
      <c r="BW408" s="588">
        <v>0.6</v>
      </c>
      <c r="BX408" s="623">
        <f t="shared" si="357"/>
        <v>0.6</v>
      </c>
      <c r="BY408" s="639">
        <v>0.2</v>
      </c>
      <c r="BZ408" s="679">
        <v>0.5</v>
      </c>
      <c r="CA408" s="1020">
        <v>0.55000001192092896</v>
      </c>
      <c r="CB408" s="557">
        <f t="shared" si="358"/>
        <v>0.55000001192092896</v>
      </c>
      <c r="CC408" s="557">
        <f t="shared" si="359"/>
        <v>91.666668653488159</v>
      </c>
      <c r="CD408" s="622">
        <f t="shared" si="334"/>
        <v>91.666668653488159</v>
      </c>
      <c r="CE408" s="621">
        <f t="shared" si="335"/>
        <v>9.0750001966953278E-2</v>
      </c>
      <c r="CF408" s="605">
        <f t="shared" si="336"/>
        <v>91.666668653488159</v>
      </c>
      <c r="CG408" s="621">
        <f t="shared" si="337"/>
        <v>9.0750001966953278E-2</v>
      </c>
      <c r="CH408" s="553">
        <f t="shared" si="338"/>
        <v>1.6500000000000001E-2</v>
      </c>
      <c r="CI408" s="680">
        <v>0.1</v>
      </c>
      <c r="CJ408" s="551">
        <f t="shared" si="360"/>
        <v>0.1</v>
      </c>
      <c r="CK408" s="874">
        <v>0</v>
      </c>
      <c r="CL408" s="533">
        <f t="shared" si="320"/>
        <v>0.1</v>
      </c>
      <c r="CM408" s="619">
        <f t="shared" si="361"/>
        <v>0</v>
      </c>
      <c r="CN408" s="619">
        <f t="shared" si="362"/>
        <v>0</v>
      </c>
      <c r="CO408" s="549">
        <f t="shared" si="339"/>
        <v>0</v>
      </c>
      <c r="CP408" s="619">
        <f t="shared" si="340"/>
        <v>0</v>
      </c>
      <c r="CQ408" s="619">
        <f t="shared" si="341"/>
        <v>0</v>
      </c>
      <c r="CR408" s="546">
        <v>55000000</v>
      </c>
      <c r="CS408" s="546">
        <v>30000000</v>
      </c>
      <c r="CT408" s="546">
        <v>0</v>
      </c>
      <c r="CU408" s="546">
        <v>0</v>
      </c>
      <c r="CV408" s="546">
        <v>0</v>
      </c>
      <c r="CW408" s="546">
        <v>0</v>
      </c>
      <c r="CX408" s="546">
        <v>0</v>
      </c>
      <c r="CY408" s="546">
        <v>25000000</v>
      </c>
      <c r="CZ408" s="618">
        <v>0</v>
      </c>
      <c r="DA408" s="618">
        <v>0</v>
      </c>
      <c r="DB408" s="618">
        <v>0</v>
      </c>
      <c r="DC408" s="618">
        <v>0</v>
      </c>
      <c r="DD408" s="618">
        <v>0</v>
      </c>
      <c r="DE408" s="618">
        <v>0</v>
      </c>
      <c r="DF408" s="618">
        <v>0</v>
      </c>
      <c r="DG408" s="618">
        <v>0</v>
      </c>
      <c r="DH408" s="618">
        <v>0</v>
      </c>
      <c r="DI408" s="618">
        <v>0</v>
      </c>
      <c r="DJ408" s="618">
        <v>0</v>
      </c>
      <c r="DK408" s="1034">
        <f t="shared" si="363"/>
        <v>0.90000001192092893</v>
      </c>
      <c r="DL408" s="543">
        <f t="shared" si="342"/>
        <v>0.16500000000000004</v>
      </c>
      <c r="DM408" s="542">
        <f t="shared" si="343"/>
        <v>90.000001192092896</v>
      </c>
      <c r="DN408" s="594">
        <f t="shared" si="344"/>
        <v>90.000001192092896</v>
      </c>
      <c r="DO408" s="540">
        <f t="shared" si="345"/>
        <v>0.14850000196695329</v>
      </c>
      <c r="DP408" s="597">
        <f t="shared" si="349"/>
        <v>0.14850000196695329</v>
      </c>
      <c r="DQ408" s="538">
        <f t="shared" si="346"/>
        <v>0.14850000196695329</v>
      </c>
      <c r="DR408" s="617">
        <f t="shared" si="347"/>
        <v>0.99999999999999989</v>
      </c>
      <c r="DS408" s="616">
        <f t="shared" si="348"/>
        <v>0</v>
      </c>
      <c r="DT408" s="259">
        <v>468</v>
      </c>
      <c r="DU408" s="260" t="s">
        <v>260</v>
      </c>
      <c r="DV408" s="259"/>
      <c r="DW408" s="260" t="s">
        <v>242</v>
      </c>
      <c r="DX408" s="259"/>
      <c r="DY408" s="259"/>
      <c r="DZ408" s="259"/>
      <c r="EA408" s="987"/>
      <c r="EB408" s="1041" t="s">
        <v>2711</v>
      </c>
      <c r="EC408" s="802">
        <v>55000000</v>
      </c>
      <c r="EE408" s="1047"/>
    </row>
    <row r="409" spans="4:135" s="534" customFormat="1" ht="63.75" hidden="1" x14ac:dyDescent="0.3">
      <c r="D409" s="783">
        <v>406</v>
      </c>
      <c r="E409" s="799">
        <v>475</v>
      </c>
      <c r="F409" s="739" t="s">
        <v>202</v>
      </c>
      <c r="G409" s="739" t="s">
        <v>23</v>
      </c>
      <c r="H409" s="739" t="s">
        <v>153</v>
      </c>
      <c r="I409" s="676" t="s">
        <v>1138</v>
      </c>
      <c r="J409" s="573" t="s">
        <v>1151</v>
      </c>
      <c r="K409" s="573" t="s">
        <v>1152</v>
      </c>
      <c r="L409" s="675" t="s">
        <v>2109</v>
      </c>
      <c r="M409" s="571" t="s">
        <v>2017</v>
      </c>
      <c r="N409" s="575">
        <v>0</v>
      </c>
      <c r="O409" s="570">
        <f t="shared" si="350"/>
        <v>4</v>
      </c>
      <c r="P409" s="663">
        <v>4</v>
      </c>
      <c r="Q409" s="628">
        <v>0.25</v>
      </c>
      <c r="R409" s="580">
        <f t="shared" si="326"/>
        <v>6.25E-2</v>
      </c>
      <c r="S409" s="657">
        <v>1</v>
      </c>
      <c r="T409" s="575">
        <f t="shared" si="351"/>
        <v>0.25</v>
      </c>
      <c r="U409" s="996">
        <v>1</v>
      </c>
      <c r="V409" s="626">
        <f t="shared" si="352"/>
        <v>1</v>
      </c>
      <c r="W409" s="594">
        <f t="shared" si="353"/>
        <v>100</v>
      </c>
      <c r="X409" s="594">
        <f t="shared" si="327"/>
        <v>100</v>
      </c>
      <c r="Y409" s="594">
        <f t="shared" si="364"/>
        <v>6.25E-2</v>
      </c>
      <c r="Z409" s="594">
        <f t="shared" si="328"/>
        <v>100</v>
      </c>
      <c r="AA409" s="653">
        <v>180000000</v>
      </c>
      <c r="AB409" s="653">
        <v>180000000</v>
      </c>
      <c r="AC409" s="653">
        <v>0</v>
      </c>
      <c r="AD409" s="653">
        <v>0</v>
      </c>
      <c r="AE409" s="653">
        <v>0</v>
      </c>
      <c r="AF409" s="653">
        <v>0</v>
      </c>
      <c r="AG409" s="653">
        <v>0</v>
      </c>
      <c r="AH409" s="653">
        <v>0</v>
      </c>
      <c r="AI409" s="653">
        <v>87000000</v>
      </c>
      <c r="AJ409" s="653">
        <v>47000000</v>
      </c>
      <c r="AK409" s="653">
        <v>0</v>
      </c>
      <c r="AL409" s="653">
        <v>40000000</v>
      </c>
      <c r="AM409" s="653">
        <v>0</v>
      </c>
      <c r="AN409" s="653">
        <v>0</v>
      </c>
      <c r="AO409" s="653">
        <v>0</v>
      </c>
      <c r="AP409" s="653">
        <v>0</v>
      </c>
      <c r="AQ409" s="653">
        <v>0</v>
      </c>
      <c r="AR409" s="653">
        <v>0</v>
      </c>
      <c r="AS409" s="653">
        <v>0</v>
      </c>
      <c r="AT409" s="570">
        <f t="shared" si="329"/>
        <v>6.25E-2</v>
      </c>
      <c r="AU409" s="571">
        <v>1</v>
      </c>
      <c r="AV409" s="625">
        <f t="shared" si="354"/>
        <v>0.25</v>
      </c>
      <c r="AW409" s="1003">
        <v>1</v>
      </c>
      <c r="AX409" s="604">
        <f t="shared" si="355"/>
        <v>1</v>
      </c>
      <c r="AY409" s="604">
        <f t="shared" si="356"/>
        <v>100</v>
      </c>
      <c r="AZ409" s="604">
        <f t="shared" si="330"/>
        <v>100</v>
      </c>
      <c r="BA409" s="592">
        <f t="shared" si="331"/>
        <v>6.25E-2</v>
      </c>
      <c r="BB409" s="592">
        <f t="shared" si="332"/>
        <v>100</v>
      </c>
      <c r="BC409" s="591">
        <v>89000000</v>
      </c>
      <c r="BD409" s="591">
        <v>0</v>
      </c>
      <c r="BE409" s="591">
        <v>39000000</v>
      </c>
      <c r="BF409" s="591">
        <v>0</v>
      </c>
      <c r="BG409" s="591">
        <v>0</v>
      </c>
      <c r="BH409" s="591">
        <v>0</v>
      </c>
      <c r="BI409" s="591">
        <v>0</v>
      </c>
      <c r="BJ409" s="591">
        <v>50000000</v>
      </c>
      <c r="BK409" s="669">
        <v>357500000</v>
      </c>
      <c r="BL409" s="589">
        <v>357500000</v>
      </c>
      <c r="BM409" s="589">
        <v>0</v>
      </c>
      <c r="BN409" s="589">
        <v>0</v>
      </c>
      <c r="BO409" s="589">
        <v>0</v>
      </c>
      <c r="BP409" s="589">
        <v>0</v>
      </c>
      <c r="BQ409" s="589">
        <v>0</v>
      </c>
      <c r="BR409" s="589">
        <v>0</v>
      </c>
      <c r="BS409" s="589">
        <v>0</v>
      </c>
      <c r="BT409" s="589">
        <v>143468158</v>
      </c>
      <c r="BU409" s="589" t="s">
        <v>2108</v>
      </c>
      <c r="BV409" s="588">
        <f t="shared" si="333"/>
        <v>6.25E-2</v>
      </c>
      <c r="BW409" s="588">
        <v>1</v>
      </c>
      <c r="BX409" s="623">
        <f t="shared" si="357"/>
        <v>0.25</v>
      </c>
      <c r="BY409" s="639">
        <v>0.2</v>
      </c>
      <c r="BZ409" s="679">
        <v>0.5</v>
      </c>
      <c r="CA409" s="1020">
        <v>1</v>
      </c>
      <c r="CB409" s="557">
        <f t="shared" si="358"/>
        <v>1</v>
      </c>
      <c r="CC409" s="557">
        <f t="shared" si="359"/>
        <v>100</v>
      </c>
      <c r="CD409" s="622">
        <f t="shared" si="334"/>
        <v>100</v>
      </c>
      <c r="CE409" s="621">
        <f t="shared" si="335"/>
        <v>6.25E-2</v>
      </c>
      <c r="CF409" s="605">
        <f t="shared" si="336"/>
        <v>100</v>
      </c>
      <c r="CG409" s="621">
        <f t="shared" si="337"/>
        <v>6.25E-2</v>
      </c>
      <c r="CH409" s="553">
        <f t="shared" si="338"/>
        <v>6.25E-2</v>
      </c>
      <c r="CI409" s="552">
        <v>1</v>
      </c>
      <c r="CJ409" s="551">
        <f t="shared" si="360"/>
        <v>0.25</v>
      </c>
      <c r="CK409" s="874">
        <v>0.30000001192092896</v>
      </c>
      <c r="CL409" s="533">
        <f t="shared" si="320"/>
        <v>0.69999998807907104</v>
      </c>
      <c r="CM409" s="619">
        <f t="shared" si="361"/>
        <v>0.30000001192092896</v>
      </c>
      <c r="CN409" s="619">
        <f t="shared" si="362"/>
        <v>30.000001192092896</v>
      </c>
      <c r="CO409" s="549">
        <f t="shared" si="339"/>
        <v>30.000001192092896</v>
      </c>
      <c r="CP409" s="619">
        <f t="shared" si="340"/>
        <v>1.875000074505806E-2</v>
      </c>
      <c r="CQ409" s="619">
        <f t="shared" si="341"/>
        <v>1.875000074505806E-2</v>
      </c>
      <c r="CR409" s="546">
        <v>140000000</v>
      </c>
      <c r="CS409" s="546">
        <v>90000000</v>
      </c>
      <c r="CT409" s="546">
        <v>0</v>
      </c>
      <c r="CU409" s="546">
        <v>0</v>
      </c>
      <c r="CV409" s="546">
        <v>0</v>
      </c>
      <c r="CW409" s="546">
        <v>0</v>
      </c>
      <c r="CX409" s="546">
        <v>0</v>
      </c>
      <c r="CY409" s="546">
        <v>50000000</v>
      </c>
      <c r="CZ409" s="618">
        <v>0</v>
      </c>
      <c r="DA409" s="618">
        <v>0</v>
      </c>
      <c r="DB409" s="618">
        <v>0</v>
      </c>
      <c r="DC409" s="618">
        <v>0</v>
      </c>
      <c r="DD409" s="618">
        <v>0</v>
      </c>
      <c r="DE409" s="618">
        <v>0</v>
      </c>
      <c r="DF409" s="618">
        <v>0</v>
      </c>
      <c r="DG409" s="618">
        <v>0</v>
      </c>
      <c r="DH409" s="618">
        <v>0</v>
      </c>
      <c r="DI409" s="618">
        <v>0</v>
      </c>
      <c r="DJ409" s="618">
        <v>0</v>
      </c>
      <c r="DK409" s="1034">
        <f t="shared" si="363"/>
        <v>3.300000011920929</v>
      </c>
      <c r="DL409" s="543">
        <f t="shared" si="342"/>
        <v>0.25</v>
      </c>
      <c r="DM409" s="542">
        <f t="shared" si="343"/>
        <v>82.500000298023224</v>
      </c>
      <c r="DN409" s="594">
        <f t="shared" si="344"/>
        <v>82.500000298023224</v>
      </c>
      <c r="DO409" s="540">
        <f t="shared" si="345"/>
        <v>0.20625000074505806</v>
      </c>
      <c r="DP409" s="597">
        <f t="shared" si="349"/>
        <v>0.20625000074505806</v>
      </c>
      <c r="DQ409" s="538">
        <f t="shared" si="346"/>
        <v>0.20625000074505806</v>
      </c>
      <c r="DR409" s="617">
        <f t="shared" si="347"/>
        <v>1</v>
      </c>
      <c r="DS409" s="616">
        <f t="shared" si="348"/>
        <v>0</v>
      </c>
      <c r="DT409" s="259">
        <v>468</v>
      </c>
      <c r="DU409" s="260" t="s">
        <v>260</v>
      </c>
      <c r="DV409" s="259"/>
      <c r="DW409" s="260" t="s">
        <v>242</v>
      </c>
      <c r="DX409" s="259"/>
      <c r="DY409" s="259"/>
      <c r="DZ409" s="259"/>
      <c r="EA409" s="987"/>
      <c r="EB409" s="1041" t="s">
        <v>2712</v>
      </c>
      <c r="EC409" s="802">
        <v>140000000</v>
      </c>
      <c r="EE409" s="1047"/>
    </row>
    <row r="410" spans="4:135" s="534" customFormat="1" ht="76.5" hidden="1" x14ac:dyDescent="0.3">
      <c r="D410" s="783">
        <v>407</v>
      </c>
      <c r="E410" s="799">
        <v>476</v>
      </c>
      <c r="F410" s="739" t="s">
        <v>202</v>
      </c>
      <c r="G410" s="739" t="s">
        <v>10</v>
      </c>
      <c r="H410" s="739" t="s">
        <v>153</v>
      </c>
      <c r="I410" s="676" t="s">
        <v>1138</v>
      </c>
      <c r="J410" s="573" t="s">
        <v>1153</v>
      </c>
      <c r="K410" s="573" t="s">
        <v>1154</v>
      </c>
      <c r="L410" s="677" t="s">
        <v>2019</v>
      </c>
      <c r="M410" s="571" t="s">
        <v>2017</v>
      </c>
      <c r="N410" s="575">
        <v>0</v>
      </c>
      <c r="O410" s="570">
        <f t="shared" si="350"/>
        <v>2</v>
      </c>
      <c r="P410" s="663">
        <v>2</v>
      </c>
      <c r="Q410" s="628">
        <v>0.25</v>
      </c>
      <c r="R410" s="580">
        <f t="shared" si="326"/>
        <v>0</v>
      </c>
      <c r="S410" s="657">
        <v>0</v>
      </c>
      <c r="T410" s="575">
        <f t="shared" si="351"/>
        <v>0</v>
      </c>
      <c r="U410" s="996">
        <v>0</v>
      </c>
      <c r="V410" s="626">
        <f t="shared" si="352"/>
        <v>0</v>
      </c>
      <c r="W410" s="594">
        <f t="shared" si="353"/>
        <v>0</v>
      </c>
      <c r="X410" s="594">
        <f t="shared" si="327"/>
        <v>0</v>
      </c>
      <c r="Y410" s="594">
        <f t="shared" si="364"/>
        <v>0</v>
      </c>
      <c r="Z410" s="594">
        <f t="shared" si="328"/>
        <v>0</v>
      </c>
      <c r="AA410" s="653">
        <v>1935000000</v>
      </c>
      <c r="AB410" s="653">
        <v>1935000000</v>
      </c>
      <c r="AC410" s="653">
        <v>0</v>
      </c>
      <c r="AD410" s="653">
        <v>0</v>
      </c>
      <c r="AE410" s="653">
        <v>0</v>
      </c>
      <c r="AF410" s="653">
        <v>0</v>
      </c>
      <c r="AG410" s="653">
        <v>0</v>
      </c>
      <c r="AH410" s="653">
        <v>0</v>
      </c>
      <c r="AI410" s="653">
        <v>1935000000</v>
      </c>
      <c r="AJ410" s="653">
        <v>1935000000</v>
      </c>
      <c r="AK410" s="653">
        <v>0</v>
      </c>
      <c r="AL410" s="653">
        <v>0</v>
      </c>
      <c r="AM410" s="653">
        <v>0</v>
      </c>
      <c r="AN410" s="653">
        <v>0</v>
      </c>
      <c r="AO410" s="653">
        <v>0</v>
      </c>
      <c r="AP410" s="653">
        <v>0</v>
      </c>
      <c r="AQ410" s="653">
        <v>0</v>
      </c>
      <c r="AR410" s="653">
        <v>0</v>
      </c>
      <c r="AS410" s="653">
        <v>0</v>
      </c>
      <c r="AT410" s="570">
        <f t="shared" si="329"/>
        <v>0.125</v>
      </c>
      <c r="AU410" s="571">
        <v>1</v>
      </c>
      <c r="AV410" s="625">
        <f t="shared" si="354"/>
        <v>0.5</v>
      </c>
      <c r="AW410" s="1003">
        <v>1</v>
      </c>
      <c r="AX410" s="604">
        <f t="shared" si="355"/>
        <v>1</v>
      </c>
      <c r="AY410" s="604">
        <f t="shared" si="356"/>
        <v>100</v>
      </c>
      <c r="AZ410" s="604">
        <f t="shared" si="330"/>
        <v>100</v>
      </c>
      <c r="BA410" s="592">
        <f t="shared" si="331"/>
        <v>0.125</v>
      </c>
      <c r="BB410" s="592">
        <f t="shared" si="332"/>
        <v>100</v>
      </c>
      <c r="BC410" s="591">
        <v>2541000000</v>
      </c>
      <c r="BD410" s="591">
        <v>1956000000</v>
      </c>
      <c r="BE410" s="591">
        <v>585000000</v>
      </c>
      <c r="BF410" s="591">
        <v>0</v>
      </c>
      <c r="BG410" s="591">
        <v>0</v>
      </c>
      <c r="BH410" s="591">
        <v>0</v>
      </c>
      <c r="BI410" s="591">
        <v>0</v>
      </c>
      <c r="BJ410" s="591">
        <v>0</v>
      </c>
      <c r="BK410" s="669">
        <v>1243266324</v>
      </c>
      <c r="BL410" s="589">
        <v>1243266324</v>
      </c>
      <c r="BM410" s="589">
        <v>0</v>
      </c>
      <c r="BN410" s="589">
        <v>0</v>
      </c>
      <c r="BO410" s="589">
        <v>0</v>
      </c>
      <c r="BP410" s="589">
        <v>0</v>
      </c>
      <c r="BQ410" s="589">
        <v>0</v>
      </c>
      <c r="BR410" s="589">
        <v>0</v>
      </c>
      <c r="BS410" s="589">
        <v>0</v>
      </c>
      <c r="BT410" s="589">
        <v>0</v>
      </c>
      <c r="BU410" s="589">
        <v>0</v>
      </c>
      <c r="BV410" s="588">
        <f t="shared" si="333"/>
        <v>0.125</v>
      </c>
      <c r="BW410" s="588">
        <v>1</v>
      </c>
      <c r="BX410" s="623">
        <f t="shared" si="357"/>
        <v>0.5</v>
      </c>
      <c r="BY410" s="607">
        <v>26</v>
      </c>
      <c r="BZ410" s="629">
        <v>1</v>
      </c>
      <c r="CA410" s="1017">
        <v>2</v>
      </c>
      <c r="CB410" s="557">
        <f t="shared" si="358"/>
        <v>2</v>
      </c>
      <c r="CC410" s="557">
        <f t="shared" si="359"/>
        <v>200</v>
      </c>
      <c r="CD410" s="622">
        <f t="shared" si="334"/>
        <v>100</v>
      </c>
      <c r="CE410" s="621">
        <f t="shared" si="335"/>
        <v>0.125</v>
      </c>
      <c r="CF410" s="605">
        <f t="shared" si="336"/>
        <v>100</v>
      </c>
      <c r="CG410" s="621">
        <f t="shared" si="337"/>
        <v>0.25</v>
      </c>
      <c r="CH410" s="553">
        <f t="shared" si="338"/>
        <v>0</v>
      </c>
      <c r="CI410" s="552">
        <v>0</v>
      </c>
      <c r="CJ410" s="551">
        <f t="shared" si="360"/>
        <v>0</v>
      </c>
      <c r="CK410" s="874">
        <v>0</v>
      </c>
      <c r="CL410" s="533">
        <f t="shared" si="320"/>
        <v>0</v>
      </c>
      <c r="CM410" s="619">
        <f t="shared" si="361"/>
        <v>0</v>
      </c>
      <c r="CN410" s="619">
        <f t="shared" si="362"/>
        <v>0</v>
      </c>
      <c r="CO410" s="549">
        <f t="shared" si="339"/>
        <v>0</v>
      </c>
      <c r="CP410" s="619">
        <f t="shared" si="340"/>
        <v>0</v>
      </c>
      <c r="CQ410" s="619">
        <f t="shared" si="341"/>
        <v>0</v>
      </c>
      <c r="CR410" s="546">
        <v>3409000000</v>
      </c>
      <c r="CS410" s="546">
        <v>1350000000</v>
      </c>
      <c r="CT410" s="546">
        <v>2059000000</v>
      </c>
      <c r="CU410" s="546">
        <v>0</v>
      </c>
      <c r="CV410" s="546">
        <v>0</v>
      </c>
      <c r="CW410" s="546">
        <v>0</v>
      </c>
      <c r="CX410" s="546">
        <v>0</v>
      </c>
      <c r="CY410" s="546">
        <v>0</v>
      </c>
      <c r="CZ410" s="618">
        <v>0</v>
      </c>
      <c r="DA410" s="618">
        <v>0</v>
      </c>
      <c r="DB410" s="618">
        <v>0</v>
      </c>
      <c r="DC410" s="618">
        <v>0</v>
      </c>
      <c r="DD410" s="618">
        <v>0</v>
      </c>
      <c r="DE410" s="618">
        <v>0</v>
      </c>
      <c r="DF410" s="618">
        <v>0</v>
      </c>
      <c r="DG410" s="618">
        <v>0</v>
      </c>
      <c r="DH410" s="618">
        <v>0</v>
      </c>
      <c r="DI410" s="618">
        <v>0</v>
      </c>
      <c r="DJ410" s="618">
        <v>0</v>
      </c>
      <c r="DK410" s="1034">
        <f t="shared" si="363"/>
        <v>3</v>
      </c>
      <c r="DL410" s="543">
        <f t="shared" si="342"/>
        <v>0.25</v>
      </c>
      <c r="DM410" s="542">
        <f t="shared" si="343"/>
        <v>150</v>
      </c>
      <c r="DN410" s="594">
        <f t="shared" si="344"/>
        <v>100</v>
      </c>
      <c r="DO410" s="540">
        <f t="shared" si="345"/>
        <v>0.25</v>
      </c>
      <c r="DP410" s="597">
        <f t="shared" si="349"/>
        <v>0.25</v>
      </c>
      <c r="DQ410" s="538">
        <f t="shared" si="346"/>
        <v>0.25</v>
      </c>
      <c r="DR410" s="617">
        <f t="shared" si="347"/>
        <v>1</v>
      </c>
      <c r="DS410" s="616">
        <f t="shared" si="348"/>
        <v>0</v>
      </c>
      <c r="DT410" s="259">
        <v>468</v>
      </c>
      <c r="DU410" s="260" t="s">
        <v>260</v>
      </c>
      <c r="DV410" s="259"/>
      <c r="DW410" s="260" t="s">
        <v>242</v>
      </c>
      <c r="DX410" s="259"/>
      <c r="DY410" s="259"/>
      <c r="DZ410" s="259"/>
      <c r="EA410" s="987"/>
      <c r="EB410" s="1041" t="s">
        <v>2713</v>
      </c>
      <c r="EC410" s="802">
        <v>3409000000</v>
      </c>
      <c r="EE410" s="1047"/>
    </row>
    <row r="411" spans="4:135" s="534" customFormat="1" ht="63.75" hidden="1" x14ac:dyDescent="0.3">
      <c r="D411" s="783">
        <v>408</v>
      </c>
      <c r="E411" s="799">
        <v>477</v>
      </c>
      <c r="F411" s="739" t="s">
        <v>202</v>
      </c>
      <c r="G411" s="739" t="s">
        <v>23</v>
      </c>
      <c r="H411" s="739" t="s">
        <v>153</v>
      </c>
      <c r="I411" s="676" t="s">
        <v>1138</v>
      </c>
      <c r="J411" s="573" t="s">
        <v>1155</v>
      </c>
      <c r="K411" s="573" t="s">
        <v>1156</v>
      </c>
      <c r="L411" s="677" t="s">
        <v>2107</v>
      </c>
      <c r="M411" s="571" t="s">
        <v>2017</v>
      </c>
      <c r="N411" s="575">
        <v>0</v>
      </c>
      <c r="O411" s="570">
        <f t="shared" si="350"/>
        <v>3</v>
      </c>
      <c r="P411" s="663">
        <v>3</v>
      </c>
      <c r="Q411" s="628">
        <v>0.25</v>
      </c>
      <c r="R411" s="580">
        <f t="shared" si="326"/>
        <v>0</v>
      </c>
      <c r="S411" s="657">
        <v>0</v>
      </c>
      <c r="T411" s="575">
        <f t="shared" si="351"/>
        <v>0</v>
      </c>
      <c r="U411" s="996">
        <v>0</v>
      </c>
      <c r="V411" s="626">
        <f t="shared" si="352"/>
        <v>0</v>
      </c>
      <c r="W411" s="594">
        <f t="shared" si="353"/>
        <v>0</v>
      </c>
      <c r="X411" s="594">
        <f t="shared" si="327"/>
        <v>0</v>
      </c>
      <c r="Y411" s="594">
        <f t="shared" si="364"/>
        <v>0</v>
      </c>
      <c r="Z411" s="594">
        <f t="shared" si="328"/>
        <v>0</v>
      </c>
      <c r="AA411" s="653">
        <v>0</v>
      </c>
      <c r="AB411" s="653">
        <v>0</v>
      </c>
      <c r="AC411" s="653">
        <v>0</v>
      </c>
      <c r="AD411" s="653">
        <v>0</v>
      </c>
      <c r="AE411" s="653">
        <v>0</v>
      </c>
      <c r="AF411" s="653">
        <v>0</v>
      </c>
      <c r="AG411" s="653">
        <v>0</v>
      </c>
      <c r="AH411" s="653">
        <v>0</v>
      </c>
      <c r="AI411" s="653">
        <v>0</v>
      </c>
      <c r="AJ411" s="653">
        <v>0</v>
      </c>
      <c r="AK411" s="653">
        <v>0</v>
      </c>
      <c r="AL411" s="653">
        <v>0</v>
      </c>
      <c r="AM411" s="653">
        <v>0</v>
      </c>
      <c r="AN411" s="653">
        <v>0</v>
      </c>
      <c r="AO411" s="653">
        <v>0</v>
      </c>
      <c r="AP411" s="653">
        <v>0</v>
      </c>
      <c r="AQ411" s="653">
        <v>0</v>
      </c>
      <c r="AR411" s="653">
        <v>0</v>
      </c>
      <c r="AS411" s="653">
        <v>0</v>
      </c>
      <c r="AT411" s="570">
        <f t="shared" si="329"/>
        <v>8.3333333333333329E-2</v>
      </c>
      <c r="AU411" s="571">
        <v>1</v>
      </c>
      <c r="AV411" s="625">
        <f t="shared" si="354"/>
        <v>0.33333333333333331</v>
      </c>
      <c r="AW411" s="1003">
        <v>1</v>
      </c>
      <c r="AX411" s="604">
        <f t="shared" si="355"/>
        <v>1</v>
      </c>
      <c r="AY411" s="604">
        <f t="shared" si="356"/>
        <v>100</v>
      </c>
      <c r="AZ411" s="604">
        <f t="shared" si="330"/>
        <v>100</v>
      </c>
      <c r="BA411" s="592">
        <f t="shared" si="331"/>
        <v>8.3333333333333315E-2</v>
      </c>
      <c r="BB411" s="592">
        <f t="shared" si="332"/>
        <v>100</v>
      </c>
      <c r="BC411" s="591">
        <v>76000000</v>
      </c>
      <c r="BD411" s="591">
        <v>0</v>
      </c>
      <c r="BE411" s="591">
        <v>26000000</v>
      </c>
      <c r="BF411" s="591">
        <v>0</v>
      </c>
      <c r="BG411" s="591">
        <v>0</v>
      </c>
      <c r="BH411" s="591">
        <v>0</v>
      </c>
      <c r="BI411" s="591">
        <v>0</v>
      </c>
      <c r="BJ411" s="591">
        <v>50000000</v>
      </c>
      <c r="BK411" s="669">
        <v>100000000</v>
      </c>
      <c r="BL411" s="589">
        <v>100000000</v>
      </c>
      <c r="BM411" s="589">
        <v>0</v>
      </c>
      <c r="BN411" s="589">
        <v>0</v>
      </c>
      <c r="BO411" s="589">
        <v>0</v>
      </c>
      <c r="BP411" s="589">
        <v>0</v>
      </c>
      <c r="BQ411" s="589">
        <v>0</v>
      </c>
      <c r="BR411" s="589">
        <v>0</v>
      </c>
      <c r="BS411" s="589">
        <v>0</v>
      </c>
      <c r="BT411" s="589">
        <v>0</v>
      </c>
      <c r="BU411" s="589">
        <v>0</v>
      </c>
      <c r="BV411" s="588">
        <f t="shared" si="333"/>
        <v>8.3333333333333329E-2</v>
      </c>
      <c r="BW411" s="588">
        <v>1</v>
      </c>
      <c r="BX411" s="623">
        <f t="shared" si="357"/>
        <v>0.33333333333333331</v>
      </c>
      <c r="BY411" s="607">
        <v>0.15000000596046448</v>
      </c>
      <c r="BZ411" s="679">
        <v>0.34999999403953552</v>
      </c>
      <c r="CA411" s="1020">
        <v>1</v>
      </c>
      <c r="CB411" s="557">
        <f t="shared" si="358"/>
        <v>1</v>
      </c>
      <c r="CC411" s="557">
        <f t="shared" si="359"/>
        <v>100</v>
      </c>
      <c r="CD411" s="622">
        <f t="shared" si="334"/>
        <v>100</v>
      </c>
      <c r="CE411" s="621">
        <f t="shared" si="335"/>
        <v>8.3333333333333315E-2</v>
      </c>
      <c r="CF411" s="605">
        <f t="shared" si="336"/>
        <v>100</v>
      </c>
      <c r="CG411" s="621">
        <f t="shared" si="337"/>
        <v>8.3333333333333315E-2</v>
      </c>
      <c r="CH411" s="553">
        <f t="shared" si="338"/>
        <v>8.3333333333333329E-2</v>
      </c>
      <c r="CI411" s="552">
        <v>1</v>
      </c>
      <c r="CJ411" s="551">
        <f t="shared" si="360"/>
        <v>0.33333333333333331</v>
      </c>
      <c r="CK411" s="874">
        <v>0</v>
      </c>
      <c r="CL411" s="533">
        <f t="shared" si="320"/>
        <v>1</v>
      </c>
      <c r="CM411" s="619">
        <f t="shared" si="361"/>
        <v>0</v>
      </c>
      <c r="CN411" s="619">
        <f t="shared" si="362"/>
        <v>0</v>
      </c>
      <c r="CO411" s="549">
        <f t="shared" si="339"/>
        <v>0</v>
      </c>
      <c r="CP411" s="619">
        <f t="shared" si="340"/>
        <v>0</v>
      </c>
      <c r="CQ411" s="619">
        <f t="shared" si="341"/>
        <v>0</v>
      </c>
      <c r="CR411" s="546">
        <v>110000000</v>
      </c>
      <c r="CS411" s="546">
        <v>60000000</v>
      </c>
      <c r="CT411" s="546">
        <v>0</v>
      </c>
      <c r="CU411" s="546">
        <v>0</v>
      </c>
      <c r="CV411" s="546">
        <v>0</v>
      </c>
      <c r="CW411" s="546">
        <v>0</v>
      </c>
      <c r="CX411" s="546">
        <v>0</v>
      </c>
      <c r="CY411" s="546">
        <v>50000000</v>
      </c>
      <c r="CZ411" s="618">
        <v>0</v>
      </c>
      <c r="DA411" s="618">
        <v>0</v>
      </c>
      <c r="DB411" s="618">
        <v>0</v>
      </c>
      <c r="DC411" s="618">
        <v>0</v>
      </c>
      <c r="DD411" s="618">
        <v>0</v>
      </c>
      <c r="DE411" s="618">
        <v>0</v>
      </c>
      <c r="DF411" s="618">
        <v>0</v>
      </c>
      <c r="DG411" s="618">
        <v>0</v>
      </c>
      <c r="DH411" s="618">
        <v>0</v>
      </c>
      <c r="DI411" s="618">
        <v>0</v>
      </c>
      <c r="DJ411" s="618">
        <v>0</v>
      </c>
      <c r="DK411" s="1034">
        <f t="shared" si="363"/>
        <v>2</v>
      </c>
      <c r="DL411" s="543">
        <f t="shared" si="342"/>
        <v>0.25</v>
      </c>
      <c r="DM411" s="542">
        <f t="shared" si="343"/>
        <v>66.666666666666671</v>
      </c>
      <c r="DN411" s="594">
        <f t="shared" si="344"/>
        <v>66.666666666666671</v>
      </c>
      <c r="DO411" s="540">
        <f t="shared" si="345"/>
        <v>0.16666666666666669</v>
      </c>
      <c r="DP411" s="597">
        <f t="shared" si="349"/>
        <v>0.16666666666666669</v>
      </c>
      <c r="DQ411" s="538">
        <f t="shared" si="346"/>
        <v>0.16666666666666669</v>
      </c>
      <c r="DR411" s="617">
        <f t="shared" si="347"/>
        <v>1</v>
      </c>
      <c r="DS411" s="616">
        <f t="shared" si="348"/>
        <v>0</v>
      </c>
      <c r="DT411" s="259">
        <v>468</v>
      </c>
      <c r="DU411" s="260" t="s">
        <v>260</v>
      </c>
      <c r="DV411" s="259"/>
      <c r="DW411" s="260" t="s">
        <v>242</v>
      </c>
      <c r="DX411" s="259"/>
      <c r="DY411" s="259"/>
      <c r="DZ411" s="259"/>
      <c r="EA411" s="987"/>
      <c r="EB411" s="1041" t="s">
        <v>2714</v>
      </c>
      <c r="EC411" s="802">
        <v>110000000</v>
      </c>
      <c r="EE411" s="1047"/>
    </row>
    <row r="412" spans="4:135" s="534" customFormat="1" ht="76.5" hidden="1" x14ac:dyDescent="0.3">
      <c r="D412" s="783">
        <v>409</v>
      </c>
      <c r="E412" s="799">
        <v>478</v>
      </c>
      <c r="F412" s="739" t="s">
        <v>202</v>
      </c>
      <c r="G412" s="739" t="s">
        <v>23</v>
      </c>
      <c r="H412" s="739" t="s">
        <v>153</v>
      </c>
      <c r="I412" s="676" t="s">
        <v>1157</v>
      </c>
      <c r="J412" s="573" t="s">
        <v>1158</v>
      </c>
      <c r="K412" s="573" t="s">
        <v>1159</v>
      </c>
      <c r="L412" s="677" t="s">
        <v>2038</v>
      </c>
      <c r="M412" s="571" t="s">
        <v>2017</v>
      </c>
      <c r="N412" s="575">
        <v>0</v>
      </c>
      <c r="O412" s="570">
        <f t="shared" si="350"/>
        <v>2</v>
      </c>
      <c r="P412" s="663">
        <v>2</v>
      </c>
      <c r="Q412" s="628">
        <v>0.25</v>
      </c>
      <c r="R412" s="580">
        <f t="shared" si="326"/>
        <v>6.25E-2</v>
      </c>
      <c r="S412" s="657">
        <v>0.5</v>
      </c>
      <c r="T412" s="575">
        <f t="shared" si="351"/>
        <v>0.25</v>
      </c>
      <c r="U412" s="996">
        <v>0.25</v>
      </c>
      <c r="V412" s="626">
        <f t="shared" si="352"/>
        <v>0.25</v>
      </c>
      <c r="W412" s="594">
        <f t="shared" si="353"/>
        <v>50</v>
      </c>
      <c r="X412" s="594">
        <f t="shared" si="327"/>
        <v>50</v>
      </c>
      <c r="Y412" s="594">
        <f t="shared" si="364"/>
        <v>3.125E-2</v>
      </c>
      <c r="Z412" s="594">
        <f t="shared" si="328"/>
        <v>50</v>
      </c>
      <c r="AA412" s="653">
        <v>35000000</v>
      </c>
      <c r="AB412" s="653">
        <v>35000000</v>
      </c>
      <c r="AC412" s="653">
        <v>0</v>
      </c>
      <c r="AD412" s="653">
        <v>0</v>
      </c>
      <c r="AE412" s="653">
        <v>0</v>
      </c>
      <c r="AF412" s="653">
        <v>0</v>
      </c>
      <c r="AG412" s="653">
        <v>0</v>
      </c>
      <c r="AH412" s="653">
        <v>0</v>
      </c>
      <c r="AI412" s="653">
        <v>50000000</v>
      </c>
      <c r="AJ412" s="653">
        <v>50000000</v>
      </c>
      <c r="AK412" s="653">
        <v>0</v>
      </c>
      <c r="AL412" s="653">
        <v>0</v>
      </c>
      <c r="AM412" s="653">
        <v>0</v>
      </c>
      <c r="AN412" s="653">
        <v>0</v>
      </c>
      <c r="AO412" s="653">
        <v>0</v>
      </c>
      <c r="AP412" s="653">
        <v>0</v>
      </c>
      <c r="AQ412" s="653">
        <v>0</v>
      </c>
      <c r="AR412" s="653">
        <v>0</v>
      </c>
      <c r="AS412" s="653">
        <v>0</v>
      </c>
      <c r="AT412" s="570">
        <f t="shared" si="329"/>
        <v>6.25E-2</v>
      </c>
      <c r="AU412" s="571">
        <v>0.5</v>
      </c>
      <c r="AV412" s="625">
        <f t="shared" si="354"/>
        <v>0.25</v>
      </c>
      <c r="AW412" s="1003">
        <v>0.5</v>
      </c>
      <c r="AX412" s="604">
        <f t="shared" si="355"/>
        <v>0.5</v>
      </c>
      <c r="AY412" s="604">
        <f t="shared" si="356"/>
        <v>100</v>
      </c>
      <c r="AZ412" s="604">
        <f t="shared" si="330"/>
        <v>100</v>
      </c>
      <c r="BA412" s="592">
        <f t="shared" si="331"/>
        <v>6.25E-2</v>
      </c>
      <c r="BB412" s="592">
        <f t="shared" si="332"/>
        <v>100</v>
      </c>
      <c r="BC412" s="591">
        <v>500000000</v>
      </c>
      <c r="BD412" s="591">
        <v>0</v>
      </c>
      <c r="BE412" s="591">
        <v>0</v>
      </c>
      <c r="BF412" s="591">
        <v>0</v>
      </c>
      <c r="BG412" s="591">
        <v>0</v>
      </c>
      <c r="BH412" s="591">
        <v>0</v>
      </c>
      <c r="BI412" s="591">
        <v>0</v>
      </c>
      <c r="BJ412" s="591">
        <v>500000000</v>
      </c>
      <c r="BK412" s="669">
        <v>49000000</v>
      </c>
      <c r="BL412" s="589">
        <v>49000000</v>
      </c>
      <c r="BM412" s="589">
        <v>0</v>
      </c>
      <c r="BN412" s="589">
        <v>0</v>
      </c>
      <c r="BO412" s="589">
        <v>0</v>
      </c>
      <c r="BP412" s="589">
        <v>0</v>
      </c>
      <c r="BQ412" s="589">
        <v>0</v>
      </c>
      <c r="BR412" s="589">
        <v>0</v>
      </c>
      <c r="BS412" s="589">
        <v>0</v>
      </c>
      <c r="BT412" s="589">
        <v>51000000</v>
      </c>
      <c r="BU412" s="589" t="s">
        <v>2106</v>
      </c>
      <c r="BV412" s="588">
        <f t="shared" si="333"/>
        <v>0.125</v>
      </c>
      <c r="BW412" s="588">
        <v>1</v>
      </c>
      <c r="BX412" s="623">
        <f t="shared" si="357"/>
        <v>0.5</v>
      </c>
      <c r="BY412" s="607">
        <v>0.55000001192092896</v>
      </c>
      <c r="BZ412" s="679">
        <v>0.55000001192092896</v>
      </c>
      <c r="CA412" s="1020">
        <v>0.55000000000000004</v>
      </c>
      <c r="CB412" s="557">
        <f t="shared" si="358"/>
        <v>0.55000000000000004</v>
      </c>
      <c r="CC412" s="557">
        <f t="shared" si="359"/>
        <v>55.000000000000007</v>
      </c>
      <c r="CD412" s="622">
        <f t="shared" si="334"/>
        <v>55.000000000000007</v>
      </c>
      <c r="CE412" s="621">
        <f t="shared" si="335"/>
        <v>6.8750000000000006E-2</v>
      </c>
      <c r="CF412" s="605">
        <f t="shared" si="336"/>
        <v>55.000000000000007</v>
      </c>
      <c r="CG412" s="621">
        <f t="shared" si="337"/>
        <v>6.8750000000000006E-2</v>
      </c>
      <c r="CH412" s="553">
        <f t="shared" si="338"/>
        <v>0</v>
      </c>
      <c r="CI412" s="552">
        <v>0</v>
      </c>
      <c r="CJ412" s="551">
        <f t="shared" si="360"/>
        <v>0</v>
      </c>
      <c r="CK412" s="875">
        <v>0</v>
      </c>
      <c r="CL412" s="533">
        <f t="shared" si="320"/>
        <v>0</v>
      </c>
      <c r="CM412" s="619">
        <f t="shared" si="361"/>
        <v>0</v>
      </c>
      <c r="CN412" s="619">
        <f t="shared" si="362"/>
        <v>0</v>
      </c>
      <c r="CO412" s="549">
        <f t="shared" si="339"/>
        <v>0</v>
      </c>
      <c r="CP412" s="619">
        <f t="shared" si="340"/>
        <v>0</v>
      </c>
      <c r="CQ412" s="619">
        <f t="shared" si="341"/>
        <v>0</v>
      </c>
      <c r="CR412" s="546">
        <v>500000000</v>
      </c>
      <c r="CS412" s="546">
        <v>0</v>
      </c>
      <c r="CT412" s="546">
        <v>0</v>
      </c>
      <c r="CU412" s="546">
        <v>0</v>
      </c>
      <c r="CV412" s="546">
        <v>0</v>
      </c>
      <c r="CW412" s="546">
        <v>0</v>
      </c>
      <c r="CX412" s="546">
        <v>0</v>
      </c>
      <c r="CY412" s="546">
        <v>500000000</v>
      </c>
      <c r="CZ412" s="618">
        <v>0</v>
      </c>
      <c r="DA412" s="618">
        <v>0</v>
      </c>
      <c r="DB412" s="618">
        <v>0</v>
      </c>
      <c r="DC412" s="618">
        <v>0</v>
      </c>
      <c r="DD412" s="618">
        <v>0</v>
      </c>
      <c r="DE412" s="618">
        <v>0</v>
      </c>
      <c r="DF412" s="618">
        <v>0</v>
      </c>
      <c r="DG412" s="618">
        <v>0</v>
      </c>
      <c r="DH412" s="618">
        <v>0</v>
      </c>
      <c r="DI412" s="618">
        <v>0</v>
      </c>
      <c r="DJ412" s="618">
        <v>0</v>
      </c>
      <c r="DK412" s="1034">
        <f t="shared" si="363"/>
        <v>1.3</v>
      </c>
      <c r="DL412" s="543">
        <f t="shared" si="342"/>
        <v>0.25</v>
      </c>
      <c r="DM412" s="542">
        <f t="shared" si="343"/>
        <v>65</v>
      </c>
      <c r="DN412" s="594">
        <f t="shared" si="344"/>
        <v>65</v>
      </c>
      <c r="DO412" s="540">
        <f t="shared" si="345"/>
        <v>0.16250000000000001</v>
      </c>
      <c r="DP412" s="597">
        <f t="shared" si="349"/>
        <v>0.16250000000000001</v>
      </c>
      <c r="DQ412" s="538">
        <f t="shared" si="346"/>
        <v>0.16250000000000001</v>
      </c>
      <c r="DR412" s="617">
        <f t="shared" si="347"/>
        <v>1</v>
      </c>
      <c r="DS412" s="616">
        <f t="shared" si="348"/>
        <v>0</v>
      </c>
      <c r="DT412" s="259">
        <v>468</v>
      </c>
      <c r="DU412" s="260" t="s">
        <v>260</v>
      </c>
      <c r="DV412" s="259"/>
      <c r="DW412" s="260" t="s">
        <v>242</v>
      </c>
      <c r="DX412" s="259"/>
      <c r="DY412" s="259"/>
      <c r="DZ412" s="259"/>
      <c r="EA412" s="987"/>
      <c r="EB412" s="1041" t="s">
        <v>2715</v>
      </c>
      <c r="EC412" s="802">
        <v>500000000</v>
      </c>
      <c r="EE412" s="1047"/>
    </row>
    <row r="413" spans="4:135" s="534" customFormat="1" ht="63.75" hidden="1" x14ac:dyDescent="0.3">
      <c r="D413" s="783">
        <v>410</v>
      </c>
      <c r="E413" s="799">
        <v>479</v>
      </c>
      <c r="F413" s="739" t="s">
        <v>202</v>
      </c>
      <c r="G413" s="739" t="s">
        <v>23</v>
      </c>
      <c r="H413" s="739" t="s">
        <v>153</v>
      </c>
      <c r="I413" s="676" t="s">
        <v>1157</v>
      </c>
      <c r="J413" s="573" t="s">
        <v>1160</v>
      </c>
      <c r="K413" s="573" t="s">
        <v>1161</v>
      </c>
      <c r="L413" s="677" t="s">
        <v>1</v>
      </c>
      <c r="M413" s="571" t="s">
        <v>2017</v>
      </c>
      <c r="N413" s="575">
        <v>0</v>
      </c>
      <c r="O413" s="570">
        <f t="shared" si="350"/>
        <v>1</v>
      </c>
      <c r="P413" s="663">
        <v>1</v>
      </c>
      <c r="Q413" s="628">
        <v>0.16500000000000001</v>
      </c>
      <c r="R413" s="580">
        <f t="shared" si="326"/>
        <v>0</v>
      </c>
      <c r="S413" s="657">
        <v>0</v>
      </c>
      <c r="T413" s="575">
        <f t="shared" si="351"/>
        <v>0</v>
      </c>
      <c r="U413" s="996">
        <v>0</v>
      </c>
      <c r="V413" s="626">
        <f t="shared" si="352"/>
        <v>0</v>
      </c>
      <c r="W413" s="594">
        <f t="shared" si="353"/>
        <v>0</v>
      </c>
      <c r="X413" s="594">
        <f t="shared" si="327"/>
        <v>0</v>
      </c>
      <c r="Y413" s="594">
        <f t="shared" si="364"/>
        <v>0</v>
      </c>
      <c r="Z413" s="594">
        <f t="shared" si="328"/>
        <v>0</v>
      </c>
      <c r="AA413" s="653">
        <v>0</v>
      </c>
      <c r="AB413" s="653">
        <v>0</v>
      </c>
      <c r="AC413" s="653">
        <v>0</v>
      </c>
      <c r="AD413" s="653">
        <v>0</v>
      </c>
      <c r="AE413" s="653">
        <v>0</v>
      </c>
      <c r="AF413" s="653">
        <v>0</v>
      </c>
      <c r="AG413" s="653">
        <v>0</v>
      </c>
      <c r="AH413" s="653">
        <v>0</v>
      </c>
      <c r="AI413" s="653">
        <v>0</v>
      </c>
      <c r="AJ413" s="653">
        <v>0</v>
      </c>
      <c r="AK413" s="653">
        <v>0</v>
      </c>
      <c r="AL413" s="653">
        <v>0</v>
      </c>
      <c r="AM413" s="653">
        <v>0</v>
      </c>
      <c r="AN413" s="653">
        <v>0</v>
      </c>
      <c r="AO413" s="653">
        <v>0</v>
      </c>
      <c r="AP413" s="653">
        <v>0</v>
      </c>
      <c r="AQ413" s="653">
        <v>0</v>
      </c>
      <c r="AR413" s="653">
        <v>0</v>
      </c>
      <c r="AS413" s="653">
        <v>0</v>
      </c>
      <c r="AT413" s="570">
        <f t="shared" si="329"/>
        <v>0.13200000000000001</v>
      </c>
      <c r="AU413" s="571">
        <v>0.8</v>
      </c>
      <c r="AV413" s="625">
        <f t="shared" si="354"/>
        <v>0.8</v>
      </c>
      <c r="AW413" s="1003">
        <v>0.3</v>
      </c>
      <c r="AX413" s="604">
        <f t="shared" si="355"/>
        <v>0.3</v>
      </c>
      <c r="AY413" s="604">
        <f t="shared" si="356"/>
        <v>37.5</v>
      </c>
      <c r="AZ413" s="604">
        <f t="shared" si="330"/>
        <v>37.5</v>
      </c>
      <c r="BA413" s="592">
        <f t="shared" si="331"/>
        <v>4.9500000000000002E-2</v>
      </c>
      <c r="BB413" s="592">
        <f t="shared" si="332"/>
        <v>37.5</v>
      </c>
      <c r="BC413" s="591">
        <v>113000000</v>
      </c>
      <c r="BD413" s="591">
        <v>0</v>
      </c>
      <c r="BE413" s="591">
        <v>13000000</v>
      </c>
      <c r="BF413" s="591">
        <v>0</v>
      </c>
      <c r="BG413" s="591">
        <v>0</v>
      </c>
      <c r="BH413" s="591">
        <v>0</v>
      </c>
      <c r="BI413" s="591">
        <v>0</v>
      </c>
      <c r="BJ413" s="591">
        <v>100000000</v>
      </c>
      <c r="BK413" s="669">
        <v>6670704000</v>
      </c>
      <c r="BL413" s="589">
        <v>500000000</v>
      </c>
      <c r="BM413" s="589">
        <v>0</v>
      </c>
      <c r="BN413" s="589">
        <v>0</v>
      </c>
      <c r="BO413" s="589">
        <v>0</v>
      </c>
      <c r="BP413" s="589">
        <v>6170704000</v>
      </c>
      <c r="BQ413" s="589">
        <v>0</v>
      </c>
      <c r="BR413" s="589">
        <v>0</v>
      </c>
      <c r="BS413" s="589">
        <v>0</v>
      </c>
      <c r="BT413" s="589">
        <v>600000000</v>
      </c>
      <c r="BU413" s="589" t="s">
        <v>2105</v>
      </c>
      <c r="BV413" s="588">
        <f t="shared" si="333"/>
        <v>1.6500000000000001E-2</v>
      </c>
      <c r="BW413" s="588">
        <v>0.1</v>
      </c>
      <c r="BX413" s="623">
        <f t="shared" si="357"/>
        <v>0.1</v>
      </c>
      <c r="BY413" s="607">
        <v>0.40000000596046448</v>
      </c>
      <c r="BZ413" s="679">
        <v>0.6</v>
      </c>
      <c r="CA413" s="1020">
        <v>0.7</v>
      </c>
      <c r="CB413" s="557">
        <f t="shared" si="358"/>
        <v>0.7</v>
      </c>
      <c r="CC413" s="557">
        <f t="shared" si="359"/>
        <v>700</v>
      </c>
      <c r="CD413" s="622">
        <f t="shared" si="334"/>
        <v>100</v>
      </c>
      <c r="CE413" s="621">
        <f t="shared" si="335"/>
        <v>1.6500000000000001E-2</v>
      </c>
      <c r="CF413" s="605">
        <f t="shared" si="336"/>
        <v>100</v>
      </c>
      <c r="CG413" s="621">
        <f t="shared" si="337"/>
        <v>0.11550000000000001</v>
      </c>
      <c r="CH413" s="553">
        <f t="shared" si="338"/>
        <v>1.6500000000000001E-2</v>
      </c>
      <c r="CI413" s="552">
        <v>0.1</v>
      </c>
      <c r="CJ413" s="551">
        <f t="shared" si="360"/>
        <v>0.1</v>
      </c>
      <c r="CK413" s="874">
        <v>0</v>
      </c>
      <c r="CL413" s="533">
        <f t="shared" si="320"/>
        <v>0.1</v>
      </c>
      <c r="CM413" s="619">
        <f t="shared" si="361"/>
        <v>0</v>
      </c>
      <c r="CN413" s="619">
        <f t="shared" si="362"/>
        <v>0</v>
      </c>
      <c r="CO413" s="549">
        <f t="shared" si="339"/>
        <v>0</v>
      </c>
      <c r="CP413" s="619">
        <f t="shared" si="340"/>
        <v>0</v>
      </c>
      <c r="CQ413" s="619">
        <f t="shared" si="341"/>
        <v>0</v>
      </c>
      <c r="CR413" s="546">
        <v>130000000</v>
      </c>
      <c r="CS413" s="546">
        <v>30000000</v>
      </c>
      <c r="CT413" s="546">
        <v>0</v>
      </c>
      <c r="CU413" s="546">
        <v>0</v>
      </c>
      <c r="CV413" s="546">
        <v>0</v>
      </c>
      <c r="CW413" s="546">
        <v>0</v>
      </c>
      <c r="CX413" s="546">
        <v>0</v>
      </c>
      <c r="CY413" s="546">
        <v>100000000</v>
      </c>
      <c r="CZ413" s="618">
        <v>0</v>
      </c>
      <c r="DA413" s="618">
        <v>0</v>
      </c>
      <c r="DB413" s="618">
        <v>0</v>
      </c>
      <c r="DC413" s="618">
        <v>0</v>
      </c>
      <c r="DD413" s="618">
        <v>0</v>
      </c>
      <c r="DE413" s="618">
        <v>0</v>
      </c>
      <c r="DF413" s="618">
        <v>0</v>
      </c>
      <c r="DG413" s="618">
        <v>0</v>
      </c>
      <c r="DH413" s="618">
        <v>0</v>
      </c>
      <c r="DI413" s="618">
        <v>0</v>
      </c>
      <c r="DJ413" s="618">
        <v>0</v>
      </c>
      <c r="DK413" s="1034">
        <f t="shared" si="363"/>
        <v>1</v>
      </c>
      <c r="DL413" s="543">
        <f t="shared" si="342"/>
        <v>0.16500000000000004</v>
      </c>
      <c r="DM413" s="542">
        <f t="shared" si="343"/>
        <v>100</v>
      </c>
      <c r="DN413" s="594">
        <f t="shared" si="344"/>
        <v>100</v>
      </c>
      <c r="DO413" s="540">
        <f t="shared" si="345"/>
        <v>0.16500000000000001</v>
      </c>
      <c r="DP413" s="597">
        <f t="shared" si="349"/>
        <v>0.16500000000000001</v>
      </c>
      <c r="DQ413" s="538">
        <f t="shared" si="346"/>
        <v>0.16500000000000001</v>
      </c>
      <c r="DR413" s="617">
        <f t="shared" si="347"/>
        <v>1</v>
      </c>
      <c r="DS413" s="616">
        <f t="shared" si="348"/>
        <v>0</v>
      </c>
      <c r="DT413" s="259">
        <v>468</v>
      </c>
      <c r="DU413" s="260" t="s">
        <v>260</v>
      </c>
      <c r="DV413" s="259"/>
      <c r="DW413" s="260" t="s">
        <v>242</v>
      </c>
      <c r="DX413" s="259"/>
      <c r="DY413" s="259"/>
      <c r="DZ413" s="259"/>
      <c r="EA413" s="987"/>
      <c r="EB413" s="1041" t="s">
        <v>2716</v>
      </c>
      <c r="EC413" s="802">
        <v>130000000</v>
      </c>
      <c r="EE413" s="1047"/>
    </row>
    <row r="414" spans="4:135" s="534" customFormat="1" ht="48" hidden="1" x14ac:dyDescent="0.3">
      <c r="D414" s="783">
        <v>411</v>
      </c>
      <c r="E414" s="799">
        <v>480</v>
      </c>
      <c r="F414" s="739" t="s">
        <v>202</v>
      </c>
      <c r="G414" s="739" t="s">
        <v>23</v>
      </c>
      <c r="H414" s="739" t="s">
        <v>153</v>
      </c>
      <c r="I414" s="676" t="s">
        <v>1157</v>
      </c>
      <c r="J414" s="573" t="s">
        <v>1162</v>
      </c>
      <c r="K414" s="573" t="s">
        <v>1163</v>
      </c>
      <c r="L414" s="677" t="s">
        <v>2057</v>
      </c>
      <c r="M414" s="571" t="s">
        <v>2017</v>
      </c>
      <c r="N414" s="575">
        <v>1</v>
      </c>
      <c r="O414" s="570">
        <f t="shared" si="350"/>
        <v>5</v>
      </c>
      <c r="P414" s="663">
        <v>4</v>
      </c>
      <c r="Q414" s="628">
        <v>0.16500000000000001</v>
      </c>
      <c r="R414" s="580">
        <f t="shared" si="326"/>
        <v>4.1250000000000002E-2</v>
      </c>
      <c r="S414" s="657">
        <v>1</v>
      </c>
      <c r="T414" s="642">
        <f t="shared" si="351"/>
        <v>0.25</v>
      </c>
      <c r="U414" s="996">
        <v>0.5</v>
      </c>
      <c r="V414" s="626">
        <f t="shared" si="352"/>
        <v>0.5</v>
      </c>
      <c r="W414" s="594">
        <f t="shared" si="353"/>
        <v>50</v>
      </c>
      <c r="X414" s="594">
        <f t="shared" si="327"/>
        <v>50</v>
      </c>
      <c r="Y414" s="594">
        <f t="shared" si="364"/>
        <v>2.0625000000000001E-2</v>
      </c>
      <c r="Z414" s="594">
        <f t="shared" si="328"/>
        <v>50</v>
      </c>
      <c r="AA414" s="653">
        <v>15000000</v>
      </c>
      <c r="AB414" s="653">
        <v>15000000</v>
      </c>
      <c r="AC414" s="653">
        <v>0</v>
      </c>
      <c r="AD414" s="653">
        <v>0</v>
      </c>
      <c r="AE414" s="653">
        <v>0</v>
      </c>
      <c r="AF414" s="653">
        <v>0</v>
      </c>
      <c r="AG414" s="653">
        <v>0</v>
      </c>
      <c r="AH414" s="653">
        <v>0</v>
      </c>
      <c r="AI414" s="653">
        <v>0</v>
      </c>
      <c r="AJ414" s="653">
        <v>0</v>
      </c>
      <c r="AK414" s="653">
        <v>0</v>
      </c>
      <c r="AL414" s="653">
        <v>0</v>
      </c>
      <c r="AM414" s="653">
        <v>0</v>
      </c>
      <c r="AN414" s="653">
        <v>0</v>
      </c>
      <c r="AO414" s="653">
        <v>0</v>
      </c>
      <c r="AP414" s="653">
        <v>0</v>
      </c>
      <c r="AQ414" s="653">
        <v>0</v>
      </c>
      <c r="AR414" s="653">
        <v>0</v>
      </c>
      <c r="AS414" s="653">
        <v>0</v>
      </c>
      <c r="AT414" s="570">
        <f t="shared" si="329"/>
        <v>8.2500000000000004E-2</v>
      </c>
      <c r="AU414" s="571">
        <v>2</v>
      </c>
      <c r="AV414" s="625">
        <f t="shared" si="354"/>
        <v>0.5</v>
      </c>
      <c r="AW414" s="1003">
        <v>0.3</v>
      </c>
      <c r="AX414" s="604">
        <f t="shared" si="355"/>
        <v>0.3</v>
      </c>
      <c r="AY414" s="604">
        <f t="shared" si="356"/>
        <v>15</v>
      </c>
      <c r="AZ414" s="604">
        <f t="shared" si="330"/>
        <v>15</v>
      </c>
      <c r="BA414" s="592">
        <f t="shared" si="331"/>
        <v>1.2375000000000001E-2</v>
      </c>
      <c r="BB414" s="592">
        <f t="shared" si="332"/>
        <v>15</v>
      </c>
      <c r="BC414" s="591">
        <v>63000000</v>
      </c>
      <c r="BD414" s="591">
        <v>0</v>
      </c>
      <c r="BE414" s="591">
        <v>13000000</v>
      </c>
      <c r="BF414" s="591">
        <v>0</v>
      </c>
      <c r="BG414" s="591">
        <v>0</v>
      </c>
      <c r="BH414" s="591">
        <v>0</v>
      </c>
      <c r="BI414" s="591">
        <v>0</v>
      </c>
      <c r="BJ414" s="591">
        <v>50000000</v>
      </c>
      <c r="BK414" s="669">
        <v>100000000</v>
      </c>
      <c r="BL414" s="589">
        <v>100000000</v>
      </c>
      <c r="BM414" s="589">
        <v>0</v>
      </c>
      <c r="BN414" s="589">
        <v>0</v>
      </c>
      <c r="BO414" s="589">
        <v>0</v>
      </c>
      <c r="BP414" s="589">
        <v>0</v>
      </c>
      <c r="BQ414" s="589">
        <v>0</v>
      </c>
      <c r="BR414" s="589">
        <v>0</v>
      </c>
      <c r="BS414" s="589">
        <v>0</v>
      </c>
      <c r="BT414" s="589">
        <v>0</v>
      </c>
      <c r="BU414" s="589">
        <v>0</v>
      </c>
      <c r="BV414" s="588">
        <f t="shared" si="333"/>
        <v>3.3000000000000002E-2</v>
      </c>
      <c r="BW414" s="588">
        <v>0.8</v>
      </c>
      <c r="BX414" s="623">
        <f t="shared" si="357"/>
        <v>0.2</v>
      </c>
      <c r="BY414" s="639">
        <v>0.3</v>
      </c>
      <c r="BZ414" s="679">
        <v>0.60000002384185791</v>
      </c>
      <c r="CA414" s="1020">
        <v>2.2000000000000002</v>
      </c>
      <c r="CB414" s="557">
        <f t="shared" si="358"/>
        <v>2.2000000000000002</v>
      </c>
      <c r="CC414" s="557">
        <f t="shared" si="359"/>
        <v>275</v>
      </c>
      <c r="CD414" s="622">
        <f t="shared" si="334"/>
        <v>100</v>
      </c>
      <c r="CE414" s="621">
        <f t="shared" si="335"/>
        <v>3.3000000000000002E-2</v>
      </c>
      <c r="CF414" s="605">
        <f t="shared" si="336"/>
        <v>100</v>
      </c>
      <c r="CG414" s="621">
        <f t="shared" si="337"/>
        <v>9.0750000000000011E-2</v>
      </c>
      <c r="CH414" s="553">
        <f t="shared" si="338"/>
        <v>8.2500000000000004E-3</v>
      </c>
      <c r="CI414" s="680">
        <v>0.2</v>
      </c>
      <c r="CJ414" s="551">
        <f t="shared" si="360"/>
        <v>0.05</v>
      </c>
      <c r="CK414" s="874">
        <v>2</v>
      </c>
      <c r="CL414" s="533">
        <f t="shared" si="320"/>
        <v>-1.8</v>
      </c>
      <c r="CM414" s="619">
        <f t="shared" si="361"/>
        <v>2</v>
      </c>
      <c r="CN414" s="619">
        <f t="shared" si="362"/>
        <v>1000</v>
      </c>
      <c r="CO414" s="549">
        <f t="shared" si="339"/>
        <v>100</v>
      </c>
      <c r="CP414" s="619">
        <f t="shared" si="340"/>
        <v>8.2500000000000004E-3</v>
      </c>
      <c r="CQ414" s="619">
        <f t="shared" si="341"/>
        <v>8.2500000000000004E-2</v>
      </c>
      <c r="CR414" s="546">
        <v>80000000</v>
      </c>
      <c r="CS414" s="546">
        <v>30000000</v>
      </c>
      <c r="CT414" s="546">
        <v>0</v>
      </c>
      <c r="CU414" s="546">
        <v>0</v>
      </c>
      <c r="CV414" s="546">
        <v>0</v>
      </c>
      <c r="CW414" s="546">
        <v>0</v>
      </c>
      <c r="CX414" s="546">
        <v>0</v>
      </c>
      <c r="CY414" s="546">
        <v>50000000</v>
      </c>
      <c r="CZ414" s="618">
        <v>0</v>
      </c>
      <c r="DA414" s="618">
        <v>0</v>
      </c>
      <c r="DB414" s="618">
        <v>0</v>
      </c>
      <c r="DC414" s="618">
        <v>0</v>
      </c>
      <c r="DD414" s="618">
        <v>0</v>
      </c>
      <c r="DE414" s="618">
        <v>0</v>
      </c>
      <c r="DF414" s="618">
        <v>0</v>
      </c>
      <c r="DG414" s="618">
        <v>0</v>
      </c>
      <c r="DH414" s="618">
        <v>0</v>
      </c>
      <c r="DI414" s="618">
        <v>0</v>
      </c>
      <c r="DJ414" s="618">
        <v>0</v>
      </c>
      <c r="DK414" s="1034">
        <f t="shared" si="363"/>
        <v>5</v>
      </c>
      <c r="DL414" s="543">
        <f t="shared" si="342"/>
        <v>0.16500000000000001</v>
      </c>
      <c r="DM414" s="542">
        <f t="shared" si="343"/>
        <v>125</v>
      </c>
      <c r="DN414" s="594">
        <f t="shared" si="344"/>
        <v>100</v>
      </c>
      <c r="DO414" s="540">
        <f t="shared" si="345"/>
        <v>0.16500000000000001</v>
      </c>
      <c r="DP414" s="597">
        <f t="shared" si="349"/>
        <v>0.16500000000000001</v>
      </c>
      <c r="DQ414" s="538">
        <f t="shared" si="346"/>
        <v>0.16500000000000001</v>
      </c>
      <c r="DR414" s="617">
        <f t="shared" si="347"/>
        <v>1</v>
      </c>
      <c r="DS414" s="616">
        <f t="shared" si="348"/>
        <v>0</v>
      </c>
      <c r="DT414" s="259">
        <v>468</v>
      </c>
      <c r="DU414" s="260" t="s">
        <v>260</v>
      </c>
      <c r="DV414" s="259"/>
      <c r="DW414" s="260" t="s">
        <v>242</v>
      </c>
      <c r="DX414" s="259"/>
      <c r="DY414" s="259"/>
      <c r="DZ414" s="259"/>
      <c r="EA414" s="987"/>
      <c r="EB414" s="1041" t="s">
        <v>2717</v>
      </c>
      <c r="EC414" s="802">
        <v>80000000</v>
      </c>
      <c r="EE414" s="1047"/>
    </row>
    <row r="415" spans="4:135" s="534" customFormat="1" ht="76.5" hidden="1" x14ac:dyDescent="0.3">
      <c r="D415" s="783">
        <v>412</v>
      </c>
      <c r="E415" s="799">
        <v>481</v>
      </c>
      <c r="F415" s="739" t="s">
        <v>202</v>
      </c>
      <c r="G415" s="739" t="s">
        <v>23</v>
      </c>
      <c r="H415" s="739" t="s">
        <v>153</v>
      </c>
      <c r="I415" s="676" t="s">
        <v>1164</v>
      </c>
      <c r="J415" s="573" t="s">
        <v>1165</v>
      </c>
      <c r="K415" s="573" t="s">
        <v>1166</v>
      </c>
      <c r="L415" s="677" t="s">
        <v>1635</v>
      </c>
      <c r="M415" s="571" t="s">
        <v>2017</v>
      </c>
      <c r="N415" s="575">
        <v>0</v>
      </c>
      <c r="O415" s="570">
        <f t="shared" si="350"/>
        <v>1</v>
      </c>
      <c r="P415" s="663">
        <v>1</v>
      </c>
      <c r="Q415" s="628">
        <v>0.25</v>
      </c>
      <c r="R415" s="580">
        <f t="shared" si="326"/>
        <v>6.25E-2</v>
      </c>
      <c r="S415" s="657">
        <v>0.25</v>
      </c>
      <c r="T415" s="575">
        <f t="shared" si="351"/>
        <v>0.25</v>
      </c>
      <c r="U415" s="996">
        <v>0.25</v>
      </c>
      <c r="V415" s="626">
        <f t="shared" si="352"/>
        <v>0.25</v>
      </c>
      <c r="W415" s="594">
        <f t="shared" si="353"/>
        <v>100</v>
      </c>
      <c r="X415" s="594">
        <f t="shared" si="327"/>
        <v>100</v>
      </c>
      <c r="Y415" s="594">
        <f t="shared" si="364"/>
        <v>6.25E-2</v>
      </c>
      <c r="Z415" s="594">
        <f t="shared" si="328"/>
        <v>100</v>
      </c>
      <c r="AA415" s="653">
        <v>0</v>
      </c>
      <c r="AB415" s="653">
        <v>0</v>
      </c>
      <c r="AC415" s="653">
        <v>0</v>
      </c>
      <c r="AD415" s="653">
        <v>0</v>
      </c>
      <c r="AE415" s="653">
        <v>0</v>
      </c>
      <c r="AF415" s="653">
        <v>0</v>
      </c>
      <c r="AG415" s="653">
        <v>0</v>
      </c>
      <c r="AH415" s="653">
        <v>0</v>
      </c>
      <c r="AI415" s="653">
        <v>0</v>
      </c>
      <c r="AJ415" s="653">
        <v>0</v>
      </c>
      <c r="AK415" s="653">
        <v>0</v>
      </c>
      <c r="AL415" s="653">
        <v>0</v>
      </c>
      <c r="AM415" s="653">
        <v>0</v>
      </c>
      <c r="AN415" s="653">
        <v>0</v>
      </c>
      <c r="AO415" s="653">
        <v>0</v>
      </c>
      <c r="AP415" s="653">
        <v>0</v>
      </c>
      <c r="AQ415" s="653">
        <v>0</v>
      </c>
      <c r="AR415" s="653">
        <v>0</v>
      </c>
      <c r="AS415" s="653">
        <v>0</v>
      </c>
      <c r="AT415" s="570">
        <f t="shared" si="329"/>
        <v>0.13750000000000001</v>
      </c>
      <c r="AU415" s="571">
        <v>0.55000000000000004</v>
      </c>
      <c r="AV415" s="625">
        <f t="shared" si="354"/>
        <v>0.55000000000000004</v>
      </c>
      <c r="AW415" s="1003">
        <v>0.55000000000000004</v>
      </c>
      <c r="AX415" s="604">
        <f t="shared" si="355"/>
        <v>0.55000000000000004</v>
      </c>
      <c r="AY415" s="604">
        <f t="shared" si="356"/>
        <v>100</v>
      </c>
      <c r="AZ415" s="604">
        <f t="shared" si="330"/>
        <v>100</v>
      </c>
      <c r="BA415" s="592">
        <f t="shared" si="331"/>
        <v>0.13750000000000001</v>
      </c>
      <c r="BB415" s="592">
        <f t="shared" si="332"/>
        <v>100</v>
      </c>
      <c r="BC415" s="591">
        <v>4359000000</v>
      </c>
      <c r="BD415" s="591">
        <v>0</v>
      </c>
      <c r="BE415" s="591">
        <v>39000000</v>
      </c>
      <c r="BF415" s="591">
        <v>0</v>
      </c>
      <c r="BG415" s="591">
        <v>0</v>
      </c>
      <c r="BH415" s="591">
        <v>0</v>
      </c>
      <c r="BI415" s="591">
        <v>0</v>
      </c>
      <c r="BJ415" s="591">
        <v>4320000000</v>
      </c>
      <c r="BK415" s="669">
        <v>17169536582</v>
      </c>
      <c r="BL415" s="589">
        <v>6368400</v>
      </c>
      <c r="BM415" s="589">
        <v>0</v>
      </c>
      <c r="BN415" s="589">
        <v>0</v>
      </c>
      <c r="BO415" s="589">
        <v>0</v>
      </c>
      <c r="BP415" s="589">
        <v>17163168182</v>
      </c>
      <c r="BQ415" s="589">
        <v>0</v>
      </c>
      <c r="BR415" s="589">
        <v>0</v>
      </c>
      <c r="BS415" s="589">
        <v>0</v>
      </c>
      <c r="BT415" s="589">
        <v>6655000000</v>
      </c>
      <c r="BU415" s="589" t="s">
        <v>2104</v>
      </c>
      <c r="BV415" s="588">
        <f t="shared" si="333"/>
        <v>0.05</v>
      </c>
      <c r="BW415" s="588">
        <v>0.2</v>
      </c>
      <c r="BX415" s="623">
        <f t="shared" si="357"/>
        <v>0.2</v>
      </c>
      <c r="BY415" s="639">
        <v>0.1</v>
      </c>
      <c r="BZ415" s="679">
        <v>0.2</v>
      </c>
      <c r="CA415" s="1020">
        <v>0.1</v>
      </c>
      <c r="CB415" s="557">
        <f t="shared" si="358"/>
        <v>0.1</v>
      </c>
      <c r="CC415" s="557">
        <f t="shared" si="359"/>
        <v>50</v>
      </c>
      <c r="CD415" s="622">
        <f t="shared" si="334"/>
        <v>50</v>
      </c>
      <c r="CE415" s="621">
        <f t="shared" si="335"/>
        <v>2.5000000000000001E-2</v>
      </c>
      <c r="CF415" s="605">
        <f t="shared" si="336"/>
        <v>50</v>
      </c>
      <c r="CG415" s="621">
        <f t="shared" si="337"/>
        <v>2.5000000000000001E-2</v>
      </c>
      <c r="CH415" s="553">
        <f t="shared" si="338"/>
        <v>0</v>
      </c>
      <c r="CI415" s="552">
        <v>0</v>
      </c>
      <c r="CJ415" s="551">
        <f t="shared" si="360"/>
        <v>0</v>
      </c>
      <c r="CK415" s="874">
        <v>0.10000000149011612</v>
      </c>
      <c r="CL415" s="533">
        <f t="shared" si="320"/>
        <v>-0.10000000149011612</v>
      </c>
      <c r="CM415" s="619">
        <f t="shared" si="361"/>
        <v>0.10000000149011612</v>
      </c>
      <c r="CN415" s="619">
        <f t="shared" si="362"/>
        <v>0</v>
      </c>
      <c r="CO415" s="549">
        <f t="shared" si="339"/>
        <v>0</v>
      </c>
      <c r="CP415" s="619">
        <f t="shared" si="340"/>
        <v>0</v>
      </c>
      <c r="CQ415" s="619">
        <f t="shared" si="341"/>
        <v>0</v>
      </c>
      <c r="CR415" s="546">
        <v>4410000000</v>
      </c>
      <c r="CS415" s="546">
        <v>90000000</v>
      </c>
      <c r="CT415" s="546">
        <v>0</v>
      </c>
      <c r="CU415" s="546">
        <v>0</v>
      </c>
      <c r="CV415" s="546">
        <v>0</v>
      </c>
      <c r="CW415" s="546">
        <v>0</v>
      </c>
      <c r="CX415" s="546">
        <v>0</v>
      </c>
      <c r="CY415" s="546">
        <v>4320000000</v>
      </c>
      <c r="CZ415" s="618">
        <v>0</v>
      </c>
      <c r="DA415" s="618">
        <v>0</v>
      </c>
      <c r="DB415" s="618">
        <v>0</v>
      </c>
      <c r="DC415" s="618">
        <v>0</v>
      </c>
      <c r="DD415" s="618">
        <v>0</v>
      </c>
      <c r="DE415" s="618">
        <v>0</v>
      </c>
      <c r="DF415" s="618">
        <v>0</v>
      </c>
      <c r="DG415" s="618">
        <v>0</v>
      </c>
      <c r="DH415" s="618">
        <v>0</v>
      </c>
      <c r="DI415" s="618">
        <v>0</v>
      </c>
      <c r="DJ415" s="618">
        <v>0</v>
      </c>
      <c r="DK415" s="1034">
        <f t="shared" si="363"/>
        <v>1.000000001490116</v>
      </c>
      <c r="DL415" s="543">
        <f t="shared" si="342"/>
        <v>0.25</v>
      </c>
      <c r="DM415" s="542">
        <f t="shared" si="343"/>
        <v>100.0000001490116</v>
      </c>
      <c r="DN415" s="594">
        <f t="shared" si="344"/>
        <v>100</v>
      </c>
      <c r="DO415" s="540">
        <f t="shared" si="345"/>
        <v>0.25</v>
      </c>
      <c r="DP415" s="597">
        <f t="shared" si="349"/>
        <v>0.25</v>
      </c>
      <c r="DQ415" s="538">
        <f t="shared" si="346"/>
        <v>0.25</v>
      </c>
      <c r="DR415" s="617">
        <f t="shared" si="347"/>
        <v>1</v>
      </c>
      <c r="DS415" s="616">
        <f t="shared" si="348"/>
        <v>-1.3877787807814457E-17</v>
      </c>
      <c r="DT415" s="259">
        <v>468</v>
      </c>
      <c r="DU415" s="260" t="s">
        <v>260</v>
      </c>
      <c r="DV415" s="259"/>
      <c r="DW415" s="260" t="s">
        <v>242</v>
      </c>
      <c r="DX415" s="259"/>
      <c r="DY415" s="259"/>
      <c r="DZ415" s="259"/>
      <c r="EA415" s="987"/>
      <c r="EB415" s="1041" t="s">
        <v>2718</v>
      </c>
      <c r="EC415" s="802">
        <v>4410000000</v>
      </c>
      <c r="EE415" s="1047"/>
    </row>
    <row r="416" spans="4:135" s="534" customFormat="1" ht="102" hidden="1" x14ac:dyDescent="0.3">
      <c r="D416" s="783">
        <v>413</v>
      </c>
      <c r="E416" s="799">
        <v>482</v>
      </c>
      <c r="F416" s="739" t="s">
        <v>202</v>
      </c>
      <c r="G416" s="739" t="s">
        <v>23</v>
      </c>
      <c r="H416" s="739" t="s">
        <v>153</v>
      </c>
      <c r="I416" s="676" t="s">
        <v>1164</v>
      </c>
      <c r="J416" s="573" t="s">
        <v>1167</v>
      </c>
      <c r="K416" s="573" t="s">
        <v>1168</v>
      </c>
      <c r="L416" s="677" t="s">
        <v>2019</v>
      </c>
      <c r="M416" s="571" t="s">
        <v>2017</v>
      </c>
      <c r="N416" s="575">
        <v>0</v>
      </c>
      <c r="O416" s="570">
        <f t="shared" si="350"/>
        <v>2</v>
      </c>
      <c r="P416" s="663">
        <v>2</v>
      </c>
      <c r="Q416" s="628">
        <v>0.16500000000000001</v>
      </c>
      <c r="R416" s="580">
        <f t="shared" si="326"/>
        <v>0</v>
      </c>
      <c r="S416" s="657">
        <v>0</v>
      </c>
      <c r="T416" s="575">
        <f t="shared" si="351"/>
        <v>0</v>
      </c>
      <c r="U416" s="996">
        <v>0</v>
      </c>
      <c r="V416" s="626">
        <f t="shared" si="352"/>
        <v>0</v>
      </c>
      <c r="W416" s="594">
        <f t="shared" si="353"/>
        <v>0</v>
      </c>
      <c r="X416" s="594">
        <f t="shared" si="327"/>
        <v>0</v>
      </c>
      <c r="Y416" s="594">
        <f t="shared" si="364"/>
        <v>0</v>
      </c>
      <c r="Z416" s="594">
        <f t="shared" si="328"/>
        <v>0</v>
      </c>
      <c r="AA416" s="653">
        <v>0</v>
      </c>
      <c r="AB416" s="653">
        <v>0</v>
      </c>
      <c r="AC416" s="653">
        <v>0</v>
      </c>
      <c r="AD416" s="653">
        <v>0</v>
      </c>
      <c r="AE416" s="653">
        <v>0</v>
      </c>
      <c r="AF416" s="653">
        <v>0</v>
      </c>
      <c r="AG416" s="653">
        <v>0</v>
      </c>
      <c r="AH416" s="653">
        <v>0</v>
      </c>
      <c r="AI416" s="653">
        <v>0</v>
      </c>
      <c r="AJ416" s="653">
        <v>0</v>
      </c>
      <c r="AK416" s="653">
        <v>0</v>
      </c>
      <c r="AL416" s="653">
        <v>0</v>
      </c>
      <c r="AM416" s="653">
        <v>0</v>
      </c>
      <c r="AN416" s="653">
        <v>0</v>
      </c>
      <c r="AO416" s="653">
        <v>0</v>
      </c>
      <c r="AP416" s="653">
        <v>0</v>
      </c>
      <c r="AQ416" s="653">
        <v>0</v>
      </c>
      <c r="AR416" s="653">
        <v>0</v>
      </c>
      <c r="AS416" s="653">
        <v>0</v>
      </c>
      <c r="AT416" s="570">
        <f t="shared" si="329"/>
        <v>8.2500000000000004E-2</v>
      </c>
      <c r="AU416" s="571">
        <v>1</v>
      </c>
      <c r="AV416" s="625">
        <f t="shared" si="354"/>
        <v>0.5</v>
      </c>
      <c r="AW416" s="1003">
        <v>3</v>
      </c>
      <c r="AX416" s="604">
        <f t="shared" si="355"/>
        <v>3</v>
      </c>
      <c r="AY416" s="604">
        <f t="shared" si="356"/>
        <v>300</v>
      </c>
      <c r="AZ416" s="604">
        <f t="shared" si="330"/>
        <v>100</v>
      </c>
      <c r="BA416" s="592">
        <f t="shared" si="331"/>
        <v>8.2500000000000004E-2</v>
      </c>
      <c r="BB416" s="592">
        <f t="shared" si="332"/>
        <v>100</v>
      </c>
      <c r="BC416" s="591">
        <v>500000000</v>
      </c>
      <c r="BD416" s="591">
        <v>0</v>
      </c>
      <c r="BE416" s="591">
        <v>0</v>
      </c>
      <c r="BF416" s="591">
        <v>0</v>
      </c>
      <c r="BG416" s="591">
        <v>0</v>
      </c>
      <c r="BH416" s="591">
        <v>0</v>
      </c>
      <c r="BI416" s="591">
        <v>0</v>
      </c>
      <c r="BJ416" s="591">
        <v>500000000</v>
      </c>
      <c r="BK416" s="669">
        <v>2875000000</v>
      </c>
      <c r="BL416" s="589">
        <v>40000000</v>
      </c>
      <c r="BM416" s="589">
        <v>0</v>
      </c>
      <c r="BN416" s="589">
        <v>0</v>
      </c>
      <c r="BO416" s="589">
        <v>0</v>
      </c>
      <c r="BP416" s="589">
        <v>2835000000</v>
      </c>
      <c r="BQ416" s="589">
        <v>0</v>
      </c>
      <c r="BR416" s="589">
        <v>0</v>
      </c>
      <c r="BS416" s="589">
        <v>0</v>
      </c>
      <c r="BT416" s="589">
        <v>3210794147</v>
      </c>
      <c r="BU416" s="589" t="s">
        <v>2103</v>
      </c>
      <c r="BV416" s="588">
        <f t="shared" si="333"/>
        <v>8.2500000000000004E-2</v>
      </c>
      <c r="BW416" s="588">
        <v>1</v>
      </c>
      <c r="BX416" s="623">
        <f t="shared" si="357"/>
        <v>0.5</v>
      </c>
      <c r="BY416" s="639">
        <v>1</v>
      </c>
      <c r="BZ416" s="638">
        <v>1</v>
      </c>
      <c r="CA416" s="1018">
        <v>2</v>
      </c>
      <c r="CB416" s="557">
        <f t="shared" si="358"/>
        <v>2</v>
      </c>
      <c r="CC416" s="557">
        <f t="shared" si="359"/>
        <v>200</v>
      </c>
      <c r="CD416" s="622">
        <f t="shared" si="334"/>
        <v>100</v>
      </c>
      <c r="CE416" s="621">
        <f t="shared" si="335"/>
        <v>8.2500000000000004E-2</v>
      </c>
      <c r="CF416" s="605">
        <f t="shared" si="336"/>
        <v>100</v>
      </c>
      <c r="CG416" s="621">
        <f t="shared" si="337"/>
        <v>0.16500000000000001</v>
      </c>
      <c r="CH416" s="553">
        <f t="shared" si="338"/>
        <v>0</v>
      </c>
      <c r="CI416" s="552">
        <v>0</v>
      </c>
      <c r="CJ416" s="551">
        <f t="shared" si="360"/>
        <v>0</v>
      </c>
      <c r="CK416" s="871">
        <v>0</v>
      </c>
      <c r="CL416" s="533">
        <f t="shared" si="320"/>
        <v>0</v>
      </c>
      <c r="CM416" s="619">
        <f t="shared" si="361"/>
        <v>0</v>
      </c>
      <c r="CN416" s="619">
        <f t="shared" si="362"/>
        <v>0</v>
      </c>
      <c r="CO416" s="549">
        <f t="shared" si="339"/>
        <v>0</v>
      </c>
      <c r="CP416" s="619">
        <f t="shared" si="340"/>
        <v>0</v>
      </c>
      <c r="CQ416" s="619">
        <f t="shared" si="341"/>
        <v>0</v>
      </c>
      <c r="CR416" s="546">
        <v>500000000</v>
      </c>
      <c r="CS416" s="546">
        <v>0</v>
      </c>
      <c r="CT416" s="546">
        <v>0</v>
      </c>
      <c r="CU416" s="546">
        <v>0</v>
      </c>
      <c r="CV416" s="546">
        <v>0</v>
      </c>
      <c r="CW416" s="546">
        <v>0</v>
      </c>
      <c r="CX416" s="546">
        <v>0</v>
      </c>
      <c r="CY416" s="546">
        <v>500000000</v>
      </c>
      <c r="CZ416" s="618">
        <v>0</v>
      </c>
      <c r="DA416" s="618">
        <v>0</v>
      </c>
      <c r="DB416" s="618">
        <v>0</v>
      </c>
      <c r="DC416" s="618">
        <v>0</v>
      </c>
      <c r="DD416" s="618">
        <v>0</v>
      </c>
      <c r="DE416" s="618">
        <v>0</v>
      </c>
      <c r="DF416" s="618">
        <v>0</v>
      </c>
      <c r="DG416" s="618">
        <v>0</v>
      </c>
      <c r="DH416" s="618">
        <v>0</v>
      </c>
      <c r="DI416" s="618">
        <v>0</v>
      </c>
      <c r="DJ416" s="618">
        <v>0</v>
      </c>
      <c r="DK416" s="1034">
        <f t="shared" si="363"/>
        <v>5</v>
      </c>
      <c r="DL416" s="543">
        <f t="shared" si="342"/>
        <v>0.16500000000000001</v>
      </c>
      <c r="DM416" s="542">
        <f t="shared" si="343"/>
        <v>250</v>
      </c>
      <c r="DN416" s="594">
        <f t="shared" si="344"/>
        <v>100</v>
      </c>
      <c r="DO416" s="540">
        <f t="shared" si="345"/>
        <v>0.16500000000000001</v>
      </c>
      <c r="DP416" s="597">
        <f t="shared" si="349"/>
        <v>0.16500000000000001</v>
      </c>
      <c r="DQ416" s="538">
        <f t="shared" si="346"/>
        <v>0.16500000000000001</v>
      </c>
      <c r="DR416" s="617">
        <f t="shared" si="347"/>
        <v>1</v>
      </c>
      <c r="DS416" s="616">
        <f t="shared" si="348"/>
        <v>0</v>
      </c>
      <c r="DT416" s="259">
        <v>468</v>
      </c>
      <c r="DU416" s="260" t="s">
        <v>260</v>
      </c>
      <c r="DV416" s="259"/>
      <c r="DW416" s="260" t="s">
        <v>242</v>
      </c>
      <c r="DX416" s="259"/>
      <c r="DY416" s="259"/>
      <c r="DZ416" s="259"/>
      <c r="EA416" s="987"/>
      <c r="EB416" s="1041" t="s">
        <v>2719</v>
      </c>
      <c r="EC416" s="802">
        <v>500000000</v>
      </c>
      <c r="EE416" s="1047"/>
    </row>
    <row r="417" spans="4:135" s="534" customFormat="1" ht="51" hidden="1" x14ac:dyDescent="0.3">
      <c r="D417" s="783">
        <v>414</v>
      </c>
      <c r="E417" s="799">
        <v>483</v>
      </c>
      <c r="F417" s="739" t="s">
        <v>202</v>
      </c>
      <c r="G417" s="739" t="s">
        <v>23</v>
      </c>
      <c r="H417" s="739" t="s">
        <v>153</v>
      </c>
      <c r="I417" s="676" t="s">
        <v>1169</v>
      </c>
      <c r="J417" s="573" t="s">
        <v>1170</v>
      </c>
      <c r="K417" s="573" t="s">
        <v>1171</v>
      </c>
      <c r="L417" s="677" t="s">
        <v>1</v>
      </c>
      <c r="M417" s="571" t="s">
        <v>2017</v>
      </c>
      <c r="N417" s="575">
        <v>0</v>
      </c>
      <c r="O417" s="570">
        <f t="shared" si="350"/>
        <v>3</v>
      </c>
      <c r="P417" s="663">
        <v>3</v>
      </c>
      <c r="Q417" s="628">
        <v>0.25</v>
      </c>
      <c r="R417" s="580">
        <f t="shared" si="326"/>
        <v>0</v>
      </c>
      <c r="S417" s="657">
        <v>0</v>
      </c>
      <c r="T417" s="575">
        <f t="shared" si="351"/>
        <v>0</v>
      </c>
      <c r="U417" s="996">
        <v>0</v>
      </c>
      <c r="V417" s="626">
        <f t="shared" si="352"/>
        <v>0</v>
      </c>
      <c r="W417" s="594">
        <f t="shared" si="353"/>
        <v>0</v>
      </c>
      <c r="X417" s="594">
        <f t="shared" si="327"/>
        <v>0</v>
      </c>
      <c r="Y417" s="594">
        <f t="shared" si="364"/>
        <v>0</v>
      </c>
      <c r="Z417" s="594">
        <f t="shared" si="328"/>
        <v>0</v>
      </c>
      <c r="AA417" s="653">
        <v>0</v>
      </c>
      <c r="AB417" s="653">
        <v>0</v>
      </c>
      <c r="AC417" s="653">
        <v>0</v>
      </c>
      <c r="AD417" s="653">
        <v>0</v>
      </c>
      <c r="AE417" s="653">
        <v>0</v>
      </c>
      <c r="AF417" s="653">
        <v>0</v>
      </c>
      <c r="AG417" s="653">
        <v>0</v>
      </c>
      <c r="AH417" s="653">
        <v>0</v>
      </c>
      <c r="AI417" s="653">
        <v>0</v>
      </c>
      <c r="AJ417" s="653">
        <v>0</v>
      </c>
      <c r="AK417" s="653">
        <v>0</v>
      </c>
      <c r="AL417" s="653">
        <v>0</v>
      </c>
      <c r="AM417" s="653">
        <v>0</v>
      </c>
      <c r="AN417" s="653">
        <v>0</v>
      </c>
      <c r="AO417" s="653">
        <v>0</v>
      </c>
      <c r="AP417" s="653">
        <v>0</v>
      </c>
      <c r="AQ417" s="653">
        <v>0</v>
      </c>
      <c r="AR417" s="653">
        <v>0</v>
      </c>
      <c r="AS417" s="653">
        <v>0</v>
      </c>
      <c r="AT417" s="570">
        <f t="shared" si="329"/>
        <v>8.3333333333333329E-2</v>
      </c>
      <c r="AU417" s="571">
        <v>1</v>
      </c>
      <c r="AV417" s="625">
        <f t="shared" si="354"/>
        <v>0.33333333333333331</v>
      </c>
      <c r="AW417" s="1003">
        <v>1</v>
      </c>
      <c r="AX417" s="604">
        <f t="shared" si="355"/>
        <v>1</v>
      </c>
      <c r="AY417" s="604">
        <f t="shared" si="356"/>
        <v>100</v>
      </c>
      <c r="AZ417" s="604">
        <f t="shared" si="330"/>
        <v>100</v>
      </c>
      <c r="BA417" s="592">
        <f t="shared" si="331"/>
        <v>8.3333333333333315E-2</v>
      </c>
      <c r="BB417" s="592">
        <f t="shared" si="332"/>
        <v>100</v>
      </c>
      <c r="BC417" s="591">
        <v>250000000</v>
      </c>
      <c r="BD417" s="591">
        <v>0</v>
      </c>
      <c r="BE417" s="591">
        <v>0</v>
      </c>
      <c r="BF417" s="591">
        <v>0</v>
      </c>
      <c r="BG417" s="591">
        <v>0</v>
      </c>
      <c r="BH417" s="591">
        <v>0</v>
      </c>
      <c r="BI417" s="591">
        <v>0</v>
      </c>
      <c r="BJ417" s="591">
        <v>250000000</v>
      </c>
      <c r="BK417" s="669">
        <v>135000000</v>
      </c>
      <c r="BL417" s="589">
        <v>135000000</v>
      </c>
      <c r="BM417" s="589">
        <v>0</v>
      </c>
      <c r="BN417" s="589">
        <v>0</v>
      </c>
      <c r="BO417" s="589">
        <v>0</v>
      </c>
      <c r="BP417" s="589">
        <v>0</v>
      </c>
      <c r="BQ417" s="589">
        <v>0</v>
      </c>
      <c r="BR417" s="589">
        <v>0</v>
      </c>
      <c r="BS417" s="589">
        <v>0</v>
      </c>
      <c r="BT417" s="589">
        <v>35000000</v>
      </c>
      <c r="BU417" s="589" t="s">
        <v>2102</v>
      </c>
      <c r="BV417" s="588">
        <f t="shared" si="333"/>
        <v>8.3333333333333329E-2</v>
      </c>
      <c r="BW417" s="588">
        <v>1</v>
      </c>
      <c r="BX417" s="623">
        <f t="shared" si="357"/>
        <v>0.33333333333333331</v>
      </c>
      <c r="BY417" s="640">
        <v>1</v>
      </c>
      <c r="BZ417" s="656">
        <v>0.40000000596046448</v>
      </c>
      <c r="CA417" s="1019">
        <v>1</v>
      </c>
      <c r="CB417" s="557">
        <f t="shared" si="358"/>
        <v>1</v>
      </c>
      <c r="CC417" s="557">
        <f t="shared" si="359"/>
        <v>100</v>
      </c>
      <c r="CD417" s="622">
        <f t="shared" si="334"/>
        <v>100</v>
      </c>
      <c r="CE417" s="621">
        <f t="shared" si="335"/>
        <v>8.3333333333333315E-2</v>
      </c>
      <c r="CF417" s="605">
        <f t="shared" si="336"/>
        <v>100</v>
      </c>
      <c r="CG417" s="621">
        <f t="shared" si="337"/>
        <v>8.3333333333333315E-2</v>
      </c>
      <c r="CH417" s="553">
        <f t="shared" si="338"/>
        <v>8.3333333333333329E-2</v>
      </c>
      <c r="CI417" s="552">
        <v>1</v>
      </c>
      <c r="CJ417" s="551">
        <f t="shared" si="360"/>
        <v>0.33333333333333331</v>
      </c>
      <c r="CK417" s="874">
        <v>0.20000000298023224</v>
      </c>
      <c r="CL417" s="533">
        <f t="shared" si="320"/>
        <v>0.79999999701976776</v>
      </c>
      <c r="CM417" s="619">
        <f t="shared" si="361"/>
        <v>0.20000000298023224</v>
      </c>
      <c r="CN417" s="619">
        <f t="shared" si="362"/>
        <v>20.000000298023224</v>
      </c>
      <c r="CO417" s="549">
        <f t="shared" si="339"/>
        <v>20.000000298023224</v>
      </c>
      <c r="CP417" s="619">
        <f t="shared" si="340"/>
        <v>1.6666666915019352E-2</v>
      </c>
      <c r="CQ417" s="619">
        <f t="shared" si="341"/>
        <v>1.6666666915019352E-2</v>
      </c>
      <c r="CR417" s="546">
        <v>250000000</v>
      </c>
      <c r="CS417" s="546">
        <v>0</v>
      </c>
      <c r="CT417" s="546">
        <v>0</v>
      </c>
      <c r="CU417" s="546">
        <v>0</v>
      </c>
      <c r="CV417" s="546">
        <v>0</v>
      </c>
      <c r="CW417" s="546">
        <v>0</v>
      </c>
      <c r="CX417" s="546">
        <v>0</v>
      </c>
      <c r="CY417" s="546">
        <v>250000000</v>
      </c>
      <c r="CZ417" s="618">
        <v>0</v>
      </c>
      <c r="DA417" s="618">
        <v>0</v>
      </c>
      <c r="DB417" s="618">
        <v>0</v>
      </c>
      <c r="DC417" s="618">
        <v>0</v>
      </c>
      <c r="DD417" s="618">
        <v>0</v>
      </c>
      <c r="DE417" s="618">
        <v>0</v>
      </c>
      <c r="DF417" s="618">
        <v>0</v>
      </c>
      <c r="DG417" s="618">
        <v>0</v>
      </c>
      <c r="DH417" s="618">
        <v>0</v>
      </c>
      <c r="DI417" s="618">
        <v>0</v>
      </c>
      <c r="DJ417" s="618">
        <v>0</v>
      </c>
      <c r="DK417" s="1034">
        <f t="shared" si="363"/>
        <v>2.2000000029802322</v>
      </c>
      <c r="DL417" s="543">
        <f t="shared" si="342"/>
        <v>0.25</v>
      </c>
      <c r="DM417" s="542">
        <f t="shared" si="343"/>
        <v>73.333333432674408</v>
      </c>
      <c r="DN417" s="594">
        <f t="shared" si="344"/>
        <v>73.333333432674408</v>
      </c>
      <c r="DO417" s="540">
        <f t="shared" si="345"/>
        <v>0.18333333358168602</v>
      </c>
      <c r="DP417" s="597">
        <f t="shared" si="349"/>
        <v>0.18333333358168602</v>
      </c>
      <c r="DQ417" s="538">
        <f t="shared" si="346"/>
        <v>0.18333333358168602</v>
      </c>
      <c r="DR417" s="617">
        <f t="shared" si="347"/>
        <v>1</v>
      </c>
      <c r="DS417" s="616">
        <f t="shared" si="348"/>
        <v>0</v>
      </c>
      <c r="DT417" s="259">
        <v>468</v>
      </c>
      <c r="DU417" s="260" t="s">
        <v>260</v>
      </c>
      <c r="DV417" s="259"/>
      <c r="DW417" s="260" t="s">
        <v>242</v>
      </c>
      <c r="DX417" s="259"/>
      <c r="DY417" s="259"/>
      <c r="DZ417" s="259"/>
      <c r="EA417" s="987"/>
      <c r="EB417" s="1041" t="s">
        <v>2720</v>
      </c>
      <c r="EC417" s="802">
        <v>250000000</v>
      </c>
      <c r="EE417" s="1047"/>
    </row>
    <row r="418" spans="4:135" s="534" customFormat="1" ht="63.75" hidden="1" x14ac:dyDescent="0.3">
      <c r="D418" s="783">
        <v>415</v>
      </c>
      <c r="E418" s="799">
        <v>484</v>
      </c>
      <c r="F418" s="739" t="s">
        <v>202</v>
      </c>
      <c r="G418" s="739" t="s">
        <v>23</v>
      </c>
      <c r="H418" s="739" t="s">
        <v>153</v>
      </c>
      <c r="I418" s="676" t="s">
        <v>1169</v>
      </c>
      <c r="J418" s="573" t="s">
        <v>1172</v>
      </c>
      <c r="K418" s="573" t="s">
        <v>1173</v>
      </c>
      <c r="L418" s="677" t="s">
        <v>1</v>
      </c>
      <c r="M418" s="571" t="s">
        <v>2017</v>
      </c>
      <c r="N418" s="575">
        <v>0</v>
      </c>
      <c r="O418" s="570">
        <f t="shared" si="350"/>
        <v>1</v>
      </c>
      <c r="P418" s="663">
        <v>1</v>
      </c>
      <c r="Q418" s="628">
        <v>0.25</v>
      </c>
      <c r="R418" s="580">
        <f t="shared" si="326"/>
        <v>0</v>
      </c>
      <c r="S418" s="657">
        <v>0</v>
      </c>
      <c r="T418" s="575">
        <f t="shared" si="351"/>
        <v>0</v>
      </c>
      <c r="U418" s="996">
        <v>0</v>
      </c>
      <c r="V418" s="626">
        <f t="shared" si="352"/>
        <v>0</v>
      </c>
      <c r="W418" s="594">
        <f t="shared" si="353"/>
        <v>0</v>
      </c>
      <c r="X418" s="594">
        <f t="shared" si="327"/>
        <v>0</v>
      </c>
      <c r="Y418" s="594">
        <f t="shared" si="364"/>
        <v>0</v>
      </c>
      <c r="Z418" s="594">
        <f t="shared" si="328"/>
        <v>0</v>
      </c>
      <c r="AA418" s="653">
        <v>0</v>
      </c>
      <c r="AB418" s="653">
        <v>0</v>
      </c>
      <c r="AC418" s="653">
        <v>0</v>
      </c>
      <c r="AD418" s="653">
        <v>0</v>
      </c>
      <c r="AE418" s="653">
        <v>0</v>
      </c>
      <c r="AF418" s="653">
        <v>0</v>
      </c>
      <c r="AG418" s="653">
        <v>0</v>
      </c>
      <c r="AH418" s="653">
        <v>0</v>
      </c>
      <c r="AI418" s="653">
        <v>0</v>
      </c>
      <c r="AJ418" s="653">
        <v>0</v>
      </c>
      <c r="AK418" s="653">
        <v>0</v>
      </c>
      <c r="AL418" s="653">
        <v>0</v>
      </c>
      <c r="AM418" s="653">
        <v>0</v>
      </c>
      <c r="AN418" s="653">
        <v>0</v>
      </c>
      <c r="AO418" s="653">
        <v>0</v>
      </c>
      <c r="AP418" s="653">
        <v>0</v>
      </c>
      <c r="AQ418" s="653">
        <v>0</v>
      </c>
      <c r="AR418" s="653">
        <v>0</v>
      </c>
      <c r="AS418" s="653">
        <v>0</v>
      </c>
      <c r="AT418" s="570">
        <f t="shared" si="329"/>
        <v>0.2</v>
      </c>
      <c r="AU418" s="571">
        <v>0.8</v>
      </c>
      <c r="AV418" s="625">
        <f t="shared" si="354"/>
        <v>0.8</v>
      </c>
      <c r="AW418" s="1003">
        <v>0.8</v>
      </c>
      <c r="AX418" s="604">
        <f t="shared" si="355"/>
        <v>0.8</v>
      </c>
      <c r="AY418" s="604">
        <f t="shared" si="356"/>
        <v>100</v>
      </c>
      <c r="AZ418" s="604">
        <f t="shared" si="330"/>
        <v>100</v>
      </c>
      <c r="BA418" s="592">
        <f t="shared" si="331"/>
        <v>0.2</v>
      </c>
      <c r="BB418" s="592">
        <f t="shared" si="332"/>
        <v>100</v>
      </c>
      <c r="BC418" s="591">
        <v>151000000</v>
      </c>
      <c r="BD418" s="591">
        <v>0</v>
      </c>
      <c r="BE418" s="591">
        <v>26000000</v>
      </c>
      <c r="BF418" s="591">
        <v>0</v>
      </c>
      <c r="BG418" s="591">
        <v>0</v>
      </c>
      <c r="BH418" s="591">
        <v>0</v>
      </c>
      <c r="BI418" s="591">
        <v>0</v>
      </c>
      <c r="BJ418" s="591">
        <v>125000000</v>
      </c>
      <c r="BK418" s="669">
        <v>29250000</v>
      </c>
      <c r="BL418" s="589">
        <v>29250000</v>
      </c>
      <c r="BM418" s="589">
        <v>0</v>
      </c>
      <c r="BN418" s="589">
        <v>0</v>
      </c>
      <c r="BO418" s="589">
        <v>0</v>
      </c>
      <c r="BP418" s="589">
        <v>0</v>
      </c>
      <c r="BQ418" s="589">
        <v>0</v>
      </c>
      <c r="BR418" s="589">
        <v>0</v>
      </c>
      <c r="BS418" s="589">
        <v>0</v>
      </c>
      <c r="BT418" s="589">
        <v>0</v>
      </c>
      <c r="BU418" s="589">
        <v>0</v>
      </c>
      <c r="BV418" s="588">
        <f t="shared" si="333"/>
        <v>2.5000000000000001E-2</v>
      </c>
      <c r="BW418" s="588">
        <v>0.1</v>
      </c>
      <c r="BX418" s="623">
        <f t="shared" si="357"/>
        <v>0.1</v>
      </c>
      <c r="BY418" s="607">
        <v>2.9999999329447746E-2</v>
      </c>
      <c r="BZ418" s="629">
        <v>3.9999999105930328E-2</v>
      </c>
      <c r="CA418" s="1017">
        <v>0.10000000149011612</v>
      </c>
      <c r="CB418" s="557">
        <f t="shared" si="358"/>
        <v>0.10000000149011612</v>
      </c>
      <c r="CC418" s="557">
        <f t="shared" si="359"/>
        <v>100.00000149011612</v>
      </c>
      <c r="CD418" s="622">
        <f t="shared" si="334"/>
        <v>100</v>
      </c>
      <c r="CE418" s="621">
        <f t="shared" si="335"/>
        <v>2.5000000000000001E-2</v>
      </c>
      <c r="CF418" s="605">
        <f t="shared" si="336"/>
        <v>100</v>
      </c>
      <c r="CG418" s="621">
        <f t="shared" si="337"/>
        <v>2.500000037252903E-2</v>
      </c>
      <c r="CH418" s="553">
        <f t="shared" si="338"/>
        <v>2.5000000000000001E-2</v>
      </c>
      <c r="CI418" s="552">
        <v>0.1</v>
      </c>
      <c r="CJ418" s="551">
        <f t="shared" si="360"/>
        <v>0.1</v>
      </c>
      <c r="CK418" s="875">
        <v>0</v>
      </c>
      <c r="CL418" s="533">
        <f t="shared" si="320"/>
        <v>0.1</v>
      </c>
      <c r="CM418" s="619">
        <f t="shared" si="361"/>
        <v>0</v>
      </c>
      <c r="CN418" s="619">
        <f t="shared" si="362"/>
        <v>0</v>
      </c>
      <c r="CO418" s="549">
        <f t="shared" si="339"/>
        <v>0</v>
      </c>
      <c r="CP418" s="619">
        <f t="shared" si="340"/>
        <v>0</v>
      </c>
      <c r="CQ418" s="619">
        <f t="shared" si="341"/>
        <v>0</v>
      </c>
      <c r="CR418" s="546">
        <v>185000000</v>
      </c>
      <c r="CS418" s="546">
        <v>60000000</v>
      </c>
      <c r="CT418" s="546">
        <v>0</v>
      </c>
      <c r="CU418" s="546">
        <v>0</v>
      </c>
      <c r="CV418" s="546">
        <v>0</v>
      </c>
      <c r="CW418" s="546">
        <v>0</v>
      </c>
      <c r="CX418" s="546">
        <v>0</v>
      </c>
      <c r="CY418" s="546">
        <v>125000000</v>
      </c>
      <c r="CZ418" s="618">
        <v>0</v>
      </c>
      <c r="DA418" s="618">
        <v>0</v>
      </c>
      <c r="DB418" s="618">
        <v>0</v>
      </c>
      <c r="DC418" s="618">
        <v>0</v>
      </c>
      <c r="DD418" s="618">
        <v>0</v>
      </c>
      <c r="DE418" s="618">
        <v>0</v>
      </c>
      <c r="DF418" s="618">
        <v>0</v>
      </c>
      <c r="DG418" s="618">
        <v>0</v>
      </c>
      <c r="DH418" s="618">
        <v>0</v>
      </c>
      <c r="DI418" s="618">
        <v>0</v>
      </c>
      <c r="DJ418" s="618">
        <v>0</v>
      </c>
      <c r="DK418" s="1034">
        <f t="shared" si="363"/>
        <v>0.90000000149011616</v>
      </c>
      <c r="DL418" s="543">
        <f t="shared" si="342"/>
        <v>0.25</v>
      </c>
      <c r="DM418" s="542">
        <f t="shared" si="343"/>
        <v>90.000000149011612</v>
      </c>
      <c r="DN418" s="594">
        <f t="shared" si="344"/>
        <v>90.000000149011612</v>
      </c>
      <c r="DO418" s="540">
        <f t="shared" si="345"/>
        <v>0.22500000037252904</v>
      </c>
      <c r="DP418" s="597">
        <f t="shared" si="349"/>
        <v>0.22500000037252904</v>
      </c>
      <c r="DQ418" s="538">
        <f t="shared" si="346"/>
        <v>0.22500000037252904</v>
      </c>
      <c r="DR418" s="617">
        <f t="shared" si="347"/>
        <v>1</v>
      </c>
      <c r="DS418" s="616">
        <f t="shared" si="348"/>
        <v>0</v>
      </c>
      <c r="DT418" s="259">
        <v>468</v>
      </c>
      <c r="DU418" s="260" t="s">
        <v>260</v>
      </c>
      <c r="DV418" s="259"/>
      <c r="DW418" s="260" t="s">
        <v>242</v>
      </c>
      <c r="DX418" s="259"/>
      <c r="DY418" s="259"/>
      <c r="DZ418" s="259"/>
      <c r="EA418" s="987"/>
      <c r="EB418" s="1041" t="s">
        <v>2721</v>
      </c>
      <c r="EC418" s="802">
        <v>185000000</v>
      </c>
      <c r="EE418" s="1047"/>
    </row>
    <row r="419" spans="4:135" s="534" customFormat="1" ht="63.75" hidden="1" x14ac:dyDescent="0.3">
      <c r="D419" s="783">
        <v>416</v>
      </c>
      <c r="E419" s="799">
        <v>485</v>
      </c>
      <c r="F419" s="739" t="s">
        <v>202</v>
      </c>
      <c r="G419" s="739" t="s">
        <v>23</v>
      </c>
      <c r="H419" s="739" t="s">
        <v>153</v>
      </c>
      <c r="I419" s="676" t="s">
        <v>1169</v>
      </c>
      <c r="J419" s="573" t="s">
        <v>1174</v>
      </c>
      <c r="K419" s="573" t="s">
        <v>1175</v>
      </c>
      <c r="L419" s="677" t="s">
        <v>2101</v>
      </c>
      <c r="M419" s="571" t="s">
        <v>2017</v>
      </c>
      <c r="N419" s="575">
        <v>0</v>
      </c>
      <c r="O419" s="570">
        <f t="shared" si="350"/>
        <v>2</v>
      </c>
      <c r="P419" s="663">
        <v>2</v>
      </c>
      <c r="Q419" s="628">
        <v>0.25</v>
      </c>
      <c r="R419" s="580">
        <f t="shared" si="326"/>
        <v>0</v>
      </c>
      <c r="S419" s="657">
        <v>0</v>
      </c>
      <c r="T419" s="575">
        <f t="shared" si="351"/>
        <v>0</v>
      </c>
      <c r="U419" s="996">
        <v>0</v>
      </c>
      <c r="V419" s="626">
        <f t="shared" si="352"/>
        <v>0</v>
      </c>
      <c r="W419" s="594">
        <f t="shared" si="353"/>
        <v>0</v>
      </c>
      <c r="X419" s="594">
        <f t="shared" si="327"/>
        <v>0</v>
      </c>
      <c r="Y419" s="594">
        <f t="shared" si="364"/>
        <v>0</v>
      </c>
      <c r="Z419" s="594">
        <f t="shared" si="328"/>
        <v>0</v>
      </c>
      <c r="AA419" s="653">
        <v>0</v>
      </c>
      <c r="AB419" s="653">
        <v>0</v>
      </c>
      <c r="AC419" s="653">
        <v>0</v>
      </c>
      <c r="AD419" s="653">
        <v>0</v>
      </c>
      <c r="AE419" s="653">
        <v>0</v>
      </c>
      <c r="AF419" s="653">
        <v>0</v>
      </c>
      <c r="AG419" s="653">
        <v>0</v>
      </c>
      <c r="AH419" s="653">
        <v>0</v>
      </c>
      <c r="AI419" s="653">
        <v>0</v>
      </c>
      <c r="AJ419" s="653">
        <v>0</v>
      </c>
      <c r="AK419" s="653">
        <v>0</v>
      </c>
      <c r="AL419" s="653">
        <v>0</v>
      </c>
      <c r="AM419" s="653">
        <v>0</v>
      </c>
      <c r="AN419" s="653">
        <v>0</v>
      </c>
      <c r="AO419" s="653">
        <v>0</v>
      </c>
      <c r="AP419" s="653">
        <v>0</v>
      </c>
      <c r="AQ419" s="653">
        <v>0</v>
      </c>
      <c r="AR419" s="653">
        <v>0</v>
      </c>
      <c r="AS419" s="653">
        <v>0</v>
      </c>
      <c r="AT419" s="570">
        <f t="shared" si="329"/>
        <v>0</v>
      </c>
      <c r="AU419" s="571">
        <v>0</v>
      </c>
      <c r="AV419" s="625">
        <f t="shared" si="354"/>
        <v>0</v>
      </c>
      <c r="AW419" s="1003">
        <v>1</v>
      </c>
      <c r="AX419" s="604">
        <f t="shared" si="355"/>
        <v>1</v>
      </c>
      <c r="AY419" s="604">
        <f t="shared" si="356"/>
        <v>0</v>
      </c>
      <c r="AZ419" s="604">
        <f t="shared" si="330"/>
        <v>0</v>
      </c>
      <c r="BA419" s="592">
        <f t="shared" si="331"/>
        <v>0</v>
      </c>
      <c r="BB419" s="592">
        <f t="shared" si="332"/>
        <v>100</v>
      </c>
      <c r="BC419" s="591">
        <v>651000000</v>
      </c>
      <c r="BD419" s="591">
        <v>0</v>
      </c>
      <c r="BE419" s="591">
        <v>26000000</v>
      </c>
      <c r="BF419" s="591">
        <v>0</v>
      </c>
      <c r="BG419" s="591">
        <v>0</v>
      </c>
      <c r="BH419" s="591">
        <v>0</v>
      </c>
      <c r="BI419" s="591">
        <v>0</v>
      </c>
      <c r="BJ419" s="591">
        <v>625000000</v>
      </c>
      <c r="BK419" s="669">
        <v>86000000</v>
      </c>
      <c r="BL419" s="589">
        <v>86000000</v>
      </c>
      <c r="BM419" s="589">
        <v>0</v>
      </c>
      <c r="BN419" s="589">
        <v>0</v>
      </c>
      <c r="BO419" s="589">
        <v>0</v>
      </c>
      <c r="BP419" s="589">
        <v>0</v>
      </c>
      <c r="BQ419" s="589">
        <v>0</v>
      </c>
      <c r="BR419" s="589">
        <v>0</v>
      </c>
      <c r="BS419" s="589">
        <v>0</v>
      </c>
      <c r="BT419" s="589">
        <v>16000000</v>
      </c>
      <c r="BU419" s="589" t="s">
        <v>2100</v>
      </c>
      <c r="BV419" s="588">
        <f t="shared" si="333"/>
        <v>0.125</v>
      </c>
      <c r="BW419" s="588">
        <v>1</v>
      </c>
      <c r="BX419" s="623">
        <f t="shared" si="357"/>
        <v>0.5</v>
      </c>
      <c r="BY419" s="639">
        <v>1</v>
      </c>
      <c r="BZ419" s="638">
        <v>1</v>
      </c>
      <c r="CA419" s="1018">
        <v>1</v>
      </c>
      <c r="CB419" s="557">
        <f t="shared" si="358"/>
        <v>1</v>
      </c>
      <c r="CC419" s="557">
        <f t="shared" si="359"/>
        <v>100</v>
      </c>
      <c r="CD419" s="622">
        <f t="shared" si="334"/>
        <v>100</v>
      </c>
      <c r="CE419" s="621">
        <f t="shared" si="335"/>
        <v>0.125</v>
      </c>
      <c r="CF419" s="605">
        <f t="shared" si="336"/>
        <v>100</v>
      </c>
      <c r="CG419" s="621">
        <f t="shared" si="337"/>
        <v>0.125</v>
      </c>
      <c r="CH419" s="553">
        <f t="shared" si="338"/>
        <v>0.125</v>
      </c>
      <c r="CI419" s="552">
        <v>1</v>
      </c>
      <c r="CJ419" s="551">
        <f t="shared" si="360"/>
        <v>0.5</v>
      </c>
      <c r="CK419" s="871">
        <v>0</v>
      </c>
      <c r="CL419" s="533">
        <f t="shared" si="320"/>
        <v>1</v>
      </c>
      <c r="CM419" s="619">
        <f t="shared" si="361"/>
        <v>0</v>
      </c>
      <c r="CN419" s="619">
        <f t="shared" si="362"/>
        <v>0</v>
      </c>
      <c r="CO419" s="549">
        <f t="shared" si="339"/>
        <v>0</v>
      </c>
      <c r="CP419" s="619">
        <f t="shared" si="340"/>
        <v>0</v>
      </c>
      <c r="CQ419" s="619">
        <f t="shared" si="341"/>
        <v>0</v>
      </c>
      <c r="CR419" s="546">
        <v>685000000</v>
      </c>
      <c r="CS419" s="546">
        <v>60000000</v>
      </c>
      <c r="CT419" s="546">
        <v>0</v>
      </c>
      <c r="CU419" s="546">
        <v>0</v>
      </c>
      <c r="CV419" s="546">
        <v>0</v>
      </c>
      <c r="CW419" s="546">
        <v>0</v>
      </c>
      <c r="CX419" s="546">
        <v>0</v>
      </c>
      <c r="CY419" s="546">
        <v>625000000</v>
      </c>
      <c r="CZ419" s="618">
        <v>0</v>
      </c>
      <c r="DA419" s="618">
        <v>0</v>
      </c>
      <c r="DB419" s="618">
        <v>0</v>
      </c>
      <c r="DC419" s="618">
        <v>0</v>
      </c>
      <c r="DD419" s="618">
        <v>0</v>
      </c>
      <c r="DE419" s="618">
        <v>0</v>
      </c>
      <c r="DF419" s="618">
        <v>0</v>
      </c>
      <c r="DG419" s="618">
        <v>0</v>
      </c>
      <c r="DH419" s="618">
        <v>0</v>
      </c>
      <c r="DI419" s="618">
        <v>0</v>
      </c>
      <c r="DJ419" s="618">
        <v>0</v>
      </c>
      <c r="DK419" s="1034">
        <f t="shared" si="363"/>
        <v>2</v>
      </c>
      <c r="DL419" s="543">
        <f t="shared" si="342"/>
        <v>0.25</v>
      </c>
      <c r="DM419" s="542">
        <f t="shared" si="343"/>
        <v>100</v>
      </c>
      <c r="DN419" s="594">
        <f t="shared" si="344"/>
        <v>100</v>
      </c>
      <c r="DO419" s="540">
        <f t="shared" si="345"/>
        <v>0.25</v>
      </c>
      <c r="DP419" s="597">
        <f t="shared" si="349"/>
        <v>0.25</v>
      </c>
      <c r="DQ419" s="538">
        <f t="shared" si="346"/>
        <v>0.25</v>
      </c>
      <c r="DR419" s="617">
        <f t="shared" si="347"/>
        <v>1</v>
      </c>
      <c r="DS419" s="616">
        <f t="shared" si="348"/>
        <v>0</v>
      </c>
      <c r="DT419" s="259">
        <v>468</v>
      </c>
      <c r="DU419" s="260" t="s">
        <v>260</v>
      </c>
      <c r="DV419" s="259"/>
      <c r="DW419" s="260" t="s">
        <v>242</v>
      </c>
      <c r="DX419" s="259"/>
      <c r="DY419" s="259"/>
      <c r="DZ419" s="259"/>
      <c r="EA419" s="987"/>
      <c r="EB419" s="1041" t="s">
        <v>2722</v>
      </c>
      <c r="EC419" s="802">
        <v>685000000</v>
      </c>
      <c r="EE419" s="1047"/>
    </row>
    <row r="420" spans="4:135" s="534" customFormat="1" ht="51" hidden="1" x14ac:dyDescent="0.3">
      <c r="D420" s="783">
        <v>417</v>
      </c>
      <c r="E420" s="799">
        <v>487</v>
      </c>
      <c r="F420" s="739" t="s">
        <v>202</v>
      </c>
      <c r="G420" s="739" t="s">
        <v>239</v>
      </c>
      <c r="H420" s="739" t="s">
        <v>154</v>
      </c>
      <c r="I420" s="676" t="s">
        <v>1176</v>
      </c>
      <c r="J420" s="573" t="s">
        <v>1177</v>
      </c>
      <c r="K420" s="573" t="s">
        <v>1178</v>
      </c>
      <c r="L420" s="677" t="s">
        <v>1682</v>
      </c>
      <c r="M420" s="571" t="s">
        <v>2017</v>
      </c>
      <c r="N420" s="575">
        <v>0</v>
      </c>
      <c r="O420" s="570">
        <f t="shared" si="350"/>
        <v>40</v>
      </c>
      <c r="P420" s="663">
        <v>40</v>
      </c>
      <c r="Q420" s="628">
        <v>0.16500000000000001</v>
      </c>
      <c r="R420" s="580">
        <f t="shared" si="326"/>
        <v>0</v>
      </c>
      <c r="S420" s="657">
        <v>0</v>
      </c>
      <c r="T420" s="575">
        <f t="shared" si="351"/>
        <v>0</v>
      </c>
      <c r="U420" s="996">
        <v>0</v>
      </c>
      <c r="V420" s="626">
        <f t="shared" si="352"/>
        <v>0</v>
      </c>
      <c r="W420" s="594">
        <f t="shared" si="353"/>
        <v>0</v>
      </c>
      <c r="X420" s="594">
        <f t="shared" si="327"/>
        <v>0</v>
      </c>
      <c r="Y420" s="594">
        <f t="shared" si="364"/>
        <v>0</v>
      </c>
      <c r="Z420" s="594">
        <f t="shared" si="328"/>
        <v>0</v>
      </c>
      <c r="AA420" s="653">
        <v>0</v>
      </c>
      <c r="AB420" s="653">
        <v>0</v>
      </c>
      <c r="AC420" s="653">
        <v>0</v>
      </c>
      <c r="AD420" s="653">
        <v>0</v>
      </c>
      <c r="AE420" s="653">
        <v>0</v>
      </c>
      <c r="AF420" s="653">
        <v>0</v>
      </c>
      <c r="AG420" s="653">
        <v>0</v>
      </c>
      <c r="AH420" s="653">
        <v>0</v>
      </c>
      <c r="AI420" s="653">
        <v>0</v>
      </c>
      <c r="AJ420" s="653">
        <v>0</v>
      </c>
      <c r="AK420" s="653">
        <v>0</v>
      </c>
      <c r="AL420" s="653">
        <v>0</v>
      </c>
      <c r="AM420" s="653">
        <v>0</v>
      </c>
      <c r="AN420" s="653">
        <v>0</v>
      </c>
      <c r="AO420" s="653">
        <v>0</v>
      </c>
      <c r="AP420" s="653">
        <v>0</v>
      </c>
      <c r="AQ420" s="653">
        <v>0</v>
      </c>
      <c r="AR420" s="653">
        <v>0</v>
      </c>
      <c r="AS420" s="653">
        <v>0</v>
      </c>
      <c r="AT420" s="570">
        <f t="shared" si="329"/>
        <v>4.1250000000000002E-2</v>
      </c>
      <c r="AU420" s="571">
        <v>10</v>
      </c>
      <c r="AV420" s="625">
        <f t="shared" si="354"/>
        <v>0.25</v>
      </c>
      <c r="AW420" s="1003">
        <v>0</v>
      </c>
      <c r="AX420" s="604">
        <f t="shared" si="355"/>
        <v>0</v>
      </c>
      <c r="AY420" s="604">
        <f t="shared" si="356"/>
        <v>0</v>
      </c>
      <c r="AZ420" s="604">
        <f t="shared" si="330"/>
        <v>0</v>
      </c>
      <c r="BA420" s="592">
        <f t="shared" si="331"/>
        <v>0</v>
      </c>
      <c r="BB420" s="592">
        <f t="shared" si="332"/>
        <v>0</v>
      </c>
      <c r="BC420" s="591">
        <v>20000000</v>
      </c>
      <c r="BD420" s="591">
        <v>0</v>
      </c>
      <c r="BE420" s="591">
        <v>10000000</v>
      </c>
      <c r="BF420" s="591">
        <v>0</v>
      </c>
      <c r="BG420" s="591">
        <v>0</v>
      </c>
      <c r="BH420" s="591">
        <v>0</v>
      </c>
      <c r="BI420" s="591">
        <v>0</v>
      </c>
      <c r="BJ420" s="591">
        <v>10000000</v>
      </c>
      <c r="BK420" s="669">
        <v>0</v>
      </c>
      <c r="BL420" s="589">
        <v>0</v>
      </c>
      <c r="BM420" s="589">
        <v>0</v>
      </c>
      <c r="BN420" s="589">
        <v>0</v>
      </c>
      <c r="BO420" s="589">
        <v>0</v>
      </c>
      <c r="BP420" s="589">
        <v>0</v>
      </c>
      <c r="BQ420" s="589">
        <v>0</v>
      </c>
      <c r="BR420" s="589">
        <v>0</v>
      </c>
      <c r="BS420" s="589">
        <v>0</v>
      </c>
      <c r="BT420" s="589">
        <v>0</v>
      </c>
      <c r="BU420" s="589">
        <v>0</v>
      </c>
      <c r="BV420" s="588">
        <f t="shared" si="333"/>
        <v>6.1874999999999999E-2</v>
      </c>
      <c r="BW420" s="588">
        <v>15</v>
      </c>
      <c r="BX420" s="623">
        <f t="shared" si="357"/>
        <v>0.375</v>
      </c>
      <c r="BY420" s="639">
        <v>0</v>
      </c>
      <c r="BZ420" s="638">
        <v>0</v>
      </c>
      <c r="CA420" s="1018">
        <v>0</v>
      </c>
      <c r="CB420" s="557">
        <f t="shared" si="358"/>
        <v>0</v>
      </c>
      <c r="CC420" s="557">
        <f t="shared" si="359"/>
        <v>0</v>
      </c>
      <c r="CD420" s="622">
        <f t="shared" si="334"/>
        <v>0</v>
      </c>
      <c r="CE420" s="621">
        <f t="shared" si="335"/>
        <v>0</v>
      </c>
      <c r="CF420" s="605">
        <f t="shared" si="336"/>
        <v>0</v>
      </c>
      <c r="CG420" s="621">
        <f t="shared" si="337"/>
        <v>0</v>
      </c>
      <c r="CH420" s="553">
        <f t="shared" si="338"/>
        <v>6.1874999999999999E-2</v>
      </c>
      <c r="CI420" s="552">
        <v>15</v>
      </c>
      <c r="CJ420" s="551">
        <f t="shared" si="360"/>
        <v>0.375</v>
      </c>
      <c r="CK420" s="874">
        <v>0</v>
      </c>
      <c r="CL420" s="533">
        <f t="shared" si="320"/>
        <v>15</v>
      </c>
      <c r="CM420" s="619">
        <f t="shared" si="361"/>
        <v>0</v>
      </c>
      <c r="CN420" s="619">
        <f t="shared" si="362"/>
        <v>0</v>
      </c>
      <c r="CO420" s="549">
        <f t="shared" si="339"/>
        <v>0</v>
      </c>
      <c r="CP420" s="619">
        <f t="shared" si="340"/>
        <v>0</v>
      </c>
      <c r="CQ420" s="619">
        <f t="shared" si="341"/>
        <v>0</v>
      </c>
      <c r="CR420" s="546">
        <v>25000000</v>
      </c>
      <c r="CS420" s="546">
        <v>10000000</v>
      </c>
      <c r="CT420" s="546">
        <v>0</v>
      </c>
      <c r="CU420" s="546">
        <v>0</v>
      </c>
      <c r="CV420" s="546">
        <v>0</v>
      </c>
      <c r="CW420" s="546">
        <v>0</v>
      </c>
      <c r="CX420" s="546">
        <v>0</v>
      </c>
      <c r="CY420" s="546">
        <v>15000000</v>
      </c>
      <c r="CZ420" s="618">
        <v>0</v>
      </c>
      <c r="DA420" s="618">
        <v>0</v>
      </c>
      <c r="DB420" s="618">
        <v>0</v>
      </c>
      <c r="DC420" s="618">
        <v>0</v>
      </c>
      <c r="DD420" s="618">
        <v>0</v>
      </c>
      <c r="DE420" s="618">
        <v>0</v>
      </c>
      <c r="DF420" s="618">
        <v>0</v>
      </c>
      <c r="DG420" s="618">
        <v>0</v>
      </c>
      <c r="DH420" s="618">
        <v>0</v>
      </c>
      <c r="DI420" s="618">
        <v>0</v>
      </c>
      <c r="DJ420" s="618">
        <v>0</v>
      </c>
      <c r="DK420" s="1034">
        <f t="shared" si="363"/>
        <v>0</v>
      </c>
      <c r="DL420" s="543">
        <f t="shared" si="342"/>
        <v>0.16499999999999998</v>
      </c>
      <c r="DM420" s="542">
        <f t="shared" si="343"/>
        <v>0</v>
      </c>
      <c r="DN420" s="594">
        <f t="shared" si="344"/>
        <v>0</v>
      </c>
      <c r="DO420" s="540">
        <f t="shared" si="345"/>
        <v>0</v>
      </c>
      <c r="DP420" s="597">
        <f t="shared" si="349"/>
        <v>0</v>
      </c>
      <c r="DQ420" s="538">
        <f t="shared" si="346"/>
        <v>0</v>
      </c>
      <c r="DR420" s="617">
        <f t="shared" si="347"/>
        <v>1</v>
      </c>
      <c r="DS420" s="616">
        <f t="shared" si="348"/>
        <v>0</v>
      </c>
      <c r="DT420" s="259">
        <v>486</v>
      </c>
      <c r="DU420" s="260" t="s">
        <v>259</v>
      </c>
      <c r="DV420" s="259"/>
      <c r="DW420" s="260" t="s">
        <v>242</v>
      </c>
      <c r="DX420" s="259"/>
      <c r="DY420" s="259"/>
      <c r="DZ420" s="259"/>
      <c r="EA420" s="987"/>
      <c r="EB420" s="1041" t="s">
        <v>2723</v>
      </c>
      <c r="EC420" s="802">
        <v>30000000</v>
      </c>
      <c r="EE420" s="1047"/>
    </row>
    <row r="421" spans="4:135" s="534" customFormat="1" ht="51" hidden="1" x14ac:dyDescent="0.3">
      <c r="D421" s="783">
        <v>418</v>
      </c>
      <c r="E421" s="799">
        <v>488</v>
      </c>
      <c r="F421" s="739" t="s">
        <v>202</v>
      </c>
      <c r="G421" s="739" t="s">
        <v>239</v>
      </c>
      <c r="H421" s="739" t="s">
        <v>154</v>
      </c>
      <c r="I421" s="676" t="s">
        <v>1176</v>
      </c>
      <c r="J421" s="573" t="s">
        <v>1179</v>
      </c>
      <c r="K421" s="573" t="s">
        <v>1180</v>
      </c>
      <c r="L421" s="677" t="s">
        <v>1682</v>
      </c>
      <c r="M421" s="575" t="s">
        <v>2017</v>
      </c>
      <c r="N421" s="575">
        <v>2000</v>
      </c>
      <c r="O421" s="570">
        <f t="shared" si="350"/>
        <v>3500</v>
      </c>
      <c r="P421" s="663">
        <v>1500</v>
      </c>
      <c r="Q421" s="628">
        <v>0.16500000000000001</v>
      </c>
      <c r="R421" s="580">
        <f t="shared" si="326"/>
        <v>0</v>
      </c>
      <c r="S421" s="657">
        <v>0</v>
      </c>
      <c r="T421" s="575">
        <f t="shared" si="351"/>
        <v>0</v>
      </c>
      <c r="U421" s="996">
        <v>0</v>
      </c>
      <c r="V421" s="626">
        <f t="shared" si="352"/>
        <v>0</v>
      </c>
      <c r="W421" s="594">
        <f t="shared" si="353"/>
        <v>0</v>
      </c>
      <c r="X421" s="594">
        <f t="shared" si="327"/>
        <v>0</v>
      </c>
      <c r="Y421" s="594">
        <f t="shared" si="364"/>
        <v>0</v>
      </c>
      <c r="Z421" s="594">
        <f t="shared" si="328"/>
        <v>0</v>
      </c>
      <c r="AA421" s="653">
        <v>0</v>
      </c>
      <c r="AB421" s="653">
        <v>0</v>
      </c>
      <c r="AC421" s="653">
        <v>0</v>
      </c>
      <c r="AD421" s="653">
        <v>0</v>
      </c>
      <c r="AE421" s="653">
        <v>0</v>
      </c>
      <c r="AF421" s="653">
        <v>0</v>
      </c>
      <c r="AG421" s="653">
        <v>0</v>
      </c>
      <c r="AH421" s="653">
        <v>0</v>
      </c>
      <c r="AI421" s="653">
        <v>0</v>
      </c>
      <c r="AJ421" s="653">
        <v>0</v>
      </c>
      <c r="AK421" s="653">
        <v>0</v>
      </c>
      <c r="AL421" s="653">
        <v>0</v>
      </c>
      <c r="AM421" s="653">
        <v>0</v>
      </c>
      <c r="AN421" s="653">
        <v>0</v>
      </c>
      <c r="AO421" s="653">
        <v>0</v>
      </c>
      <c r="AP421" s="653">
        <v>0</v>
      </c>
      <c r="AQ421" s="653">
        <v>0</v>
      </c>
      <c r="AR421" s="653">
        <v>0</v>
      </c>
      <c r="AS421" s="653">
        <v>0</v>
      </c>
      <c r="AT421" s="570">
        <f t="shared" si="329"/>
        <v>3.3000000000000002E-2</v>
      </c>
      <c r="AU421" s="571">
        <v>300</v>
      </c>
      <c r="AV421" s="625">
        <f t="shared" si="354"/>
        <v>0.2</v>
      </c>
      <c r="AW421" s="1003">
        <v>502</v>
      </c>
      <c r="AX421" s="604">
        <f t="shared" si="355"/>
        <v>502</v>
      </c>
      <c r="AY421" s="604">
        <f t="shared" si="356"/>
        <v>167.33333333333334</v>
      </c>
      <c r="AZ421" s="604">
        <f t="shared" si="330"/>
        <v>100</v>
      </c>
      <c r="BA421" s="592">
        <f t="shared" si="331"/>
        <v>3.3000000000000002E-2</v>
      </c>
      <c r="BB421" s="592">
        <f t="shared" si="332"/>
        <v>100</v>
      </c>
      <c r="BC421" s="591">
        <v>189000000</v>
      </c>
      <c r="BD421" s="591">
        <v>0</v>
      </c>
      <c r="BE421" s="591">
        <v>114000000</v>
      </c>
      <c r="BF421" s="591">
        <v>0</v>
      </c>
      <c r="BG421" s="591">
        <v>0</v>
      </c>
      <c r="BH421" s="591">
        <v>0</v>
      </c>
      <c r="BI421" s="591">
        <v>0</v>
      </c>
      <c r="BJ421" s="591">
        <v>75000000</v>
      </c>
      <c r="BK421" s="669">
        <v>0</v>
      </c>
      <c r="BL421" s="589">
        <v>0</v>
      </c>
      <c r="BM421" s="589">
        <v>0</v>
      </c>
      <c r="BN421" s="589">
        <v>0</v>
      </c>
      <c r="BO421" s="589">
        <v>0</v>
      </c>
      <c r="BP421" s="589">
        <v>0</v>
      </c>
      <c r="BQ421" s="589">
        <v>0</v>
      </c>
      <c r="BR421" s="589">
        <v>0</v>
      </c>
      <c r="BS421" s="589">
        <v>0</v>
      </c>
      <c r="BT421" s="589">
        <v>0</v>
      </c>
      <c r="BU421" s="589">
        <v>0</v>
      </c>
      <c r="BV421" s="588">
        <f t="shared" si="333"/>
        <v>6.6000000000000003E-2</v>
      </c>
      <c r="BW421" s="588">
        <v>600</v>
      </c>
      <c r="BX421" s="623">
        <f t="shared" si="357"/>
        <v>0.4</v>
      </c>
      <c r="BY421" s="607">
        <v>1</v>
      </c>
      <c r="BZ421" s="629">
        <v>0</v>
      </c>
      <c r="CA421" s="1017">
        <v>446</v>
      </c>
      <c r="CB421" s="557">
        <f t="shared" si="358"/>
        <v>446</v>
      </c>
      <c r="CC421" s="557">
        <f t="shared" si="359"/>
        <v>74.333333333333329</v>
      </c>
      <c r="CD421" s="622">
        <f t="shared" si="334"/>
        <v>74.333333333333329</v>
      </c>
      <c r="CE421" s="621">
        <f t="shared" si="335"/>
        <v>4.9059999999999999E-2</v>
      </c>
      <c r="CF421" s="605">
        <f t="shared" si="336"/>
        <v>74.333333333333329</v>
      </c>
      <c r="CG421" s="621">
        <f t="shared" si="337"/>
        <v>4.9059999999999999E-2</v>
      </c>
      <c r="CH421" s="553">
        <f t="shared" si="338"/>
        <v>6.6000000000000003E-2</v>
      </c>
      <c r="CI421" s="552">
        <v>600</v>
      </c>
      <c r="CJ421" s="551">
        <f t="shared" si="360"/>
        <v>0.4</v>
      </c>
      <c r="CK421" s="874">
        <v>0</v>
      </c>
      <c r="CL421" s="533">
        <f t="shared" si="320"/>
        <v>600</v>
      </c>
      <c r="CM421" s="619">
        <f t="shared" si="361"/>
        <v>0</v>
      </c>
      <c r="CN421" s="619">
        <f t="shared" si="362"/>
        <v>0</v>
      </c>
      <c r="CO421" s="549">
        <f t="shared" si="339"/>
        <v>0</v>
      </c>
      <c r="CP421" s="619">
        <f t="shared" si="340"/>
        <v>0</v>
      </c>
      <c r="CQ421" s="619">
        <f t="shared" si="341"/>
        <v>0</v>
      </c>
      <c r="CR421" s="546">
        <v>275000000</v>
      </c>
      <c r="CS421" s="546">
        <v>200000000</v>
      </c>
      <c r="CT421" s="546">
        <v>0</v>
      </c>
      <c r="CU421" s="546">
        <v>0</v>
      </c>
      <c r="CV421" s="546">
        <v>0</v>
      </c>
      <c r="CW421" s="546">
        <v>0</v>
      </c>
      <c r="CX421" s="546">
        <v>0</v>
      </c>
      <c r="CY421" s="546">
        <v>75000000</v>
      </c>
      <c r="CZ421" s="618">
        <v>0</v>
      </c>
      <c r="DA421" s="618">
        <v>0</v>
      </c>
      <c r="DB421" s="618">
        <v>0</v>
      </c>
      <c r="DC421" s="618">
        <v>0</v>
      </c>
      <c r="DD421" s="618">
        <v>0</v>
      </c>
      <c r="DE421" s="618">
        <v>0</v>
      </c>
      <c r="DF421" s="618">
        <v>0</v>
      </c>
      <c r="DG421" s="618">
        <v>0</v>
      </c>
      <c r="DH421" s="618">
        <v>0</v>
      </c>
      <c r="DI421" s="618">
        <v>0</v>
      </c>
      <c r="DJ421" s="618">
        <v>0</v>
      </c>
      <c r="DK421" s="1034">
        <f t="shared" si="363"/>
        <v>948</v>
      </c>
      <c r="DL421" s="543">
        <f t="shared" si="342"/>
        <v>0.16500000000000001</v>
      </c>
      <c r="DM421" s="542">
        <f t="shared" si="343"/>
        <v>63.2</v>
      </c>
      <c r="DN421" s="594">
        <f t="shared" si="344"/>
        <v>63.2</v>
      </c>
      <c r="DO421" s="540">
        <f t="shared" si="345"/>
        <v>0.10428000000000001</v>
      </c>
      <c r="DP421" s="597">
        <f t="shared" si="349"/>
        <v>0.10428000000000001</v>
      </c>
      <c r="DQ421" s="538">
        <f t="shared" si="346"/>
        <v>0.10428000000000001</v>
      </c>
      <c r="DR421" s="617">
        <f t="shared" si="347"/>
        <v>1</v>
      </c>
      <c r="DS421" s="616">
        <f t="shared" si="348"/>
        <v>0</v>
      </c>
      <c r="DT421" s="259">
        <v>486</v>
      </c>
      <c r="DU421" s="260" t="s">
        <v>259</v>
      </c>
      <c r="DV421" s="259"/>
      <c r="DW421" s="260" t="s">
        <v>242</v>
      </c>
      <c r="DX421" s="259"/>
      <c r="DY421" s="259"/>
      <c r="DZ421" s="259"/>
      <c r="EA421" s="987"/>
      <c r="EB421" s="1041" t="s">
        <v>2724</v>
      </c>
      <c r="EC421" s="802">
        <v>275000000</v>
      </c>
      <c r="EE421" s="1047"/>
    </row>
    <row r="422" spans="4:135" s="534" customFormat="1" ht="76.5" hidden="1" x14ac:dyDescent="0.3">
      <c r="D422" s="783">
        <v>419</v>
      </c>
      <c r="E422" s="799">
        <v>489</v>
      </c>
      <c r="F422" s="739" t="s">
        <v>202</v>
      </c>
      <c r="G422" s="739" t="s">
        <v>239</v>
      </c>
      <c r="H422" s="739" t="s">
        <v>154</v>
      </c>
      <c r="I422" s="676" t="s">
        <v>1176</v>
      </c>
      <c r="J422" s="573" t="s">
        <v>1181</v>
      </c>
      <c r="K422" s="573" t="s">
        <v>1182</v>
      </c>
      <c r="L422" s="677" t="s">
        <v>2099</v>
      </c>
      <c r="M422" s="571" t="s">
        <v>2017</v>
      </c>
      <c r="N422" s="575">
        <v>1</v>
      </c>
      <c r="O422" s="570">
        <f t="shared" si="350"/>
        <v>3</v>
      </c>
      <c r="P422" s="663">
        <v>2</v>
      </c>
      <c r="Q422" s="628">
        <v>0.25</v>
      </c>
      <c r="R422" s="580">
        <f t="shared" si="326"/>
        <v>0</v>
      </c>
      <c r="S422" s="657">
        <v>0</v>
      </c>
      <c r="T422" s="575">
        <f t="shared" si="351"/>
        <v>0</v>
      </c>
      <c r="U422" s="996">
        <v>0</v>
      </c>
      <c r="V422" s="626">
        <f t="shared" si="352"/>
        <v>0</v>
      </c>
      <c r="W422" s="594">
        <f t="shared" si="353"/>
        <v>0</v>
      </c>
      <c r="X422" s="594">
        <f t="shared" si="327"/>
        <v>0</v>
      </c>
      <c r="Y422" s="594">
        <f t="shared" si="364"/>
        <v>0</v>
      </c>
      <c r="Z422" s="594">
        <f t="shared" si="328"/>
        <v>0</v>
      </c>
      <c r="AA422" s="653">
        <v>0</v>
      </c>
      <c r="AB422" s="653">
        <v>0</v>
      </c>
      <c r="AC422" s="653">
        <v>0</v>
      </c>
      <c r="AD422" s="653">
        <v>0</v>
      </c>
      <c r="AE422" s="653">
        <v>0</v>
      </c>
      <c r="AF422" s="653">
        <v>0</v>
      </c>
      <c r="AG422" s="653">
        <v>0</v>
      </c>
      <c r="AH422" s="653">
        <v>0</v>
      </c>
      <c r="AI422" s="653">
        <v>0</v>
      </c>
      <c r="AJ422" s="653">
        <v>0</v>
      </c>
      <c r="AK422" s="653">
        <v>0</v>
      </c>
      <c r="AL422" s="653">
        <v>0</v>
      </c>
      <c r="AM422" s="653">
        <v>0</v>
      </c>
      <c r="AN422" s="653">
        <v>0</v>
      </c>
      <c r="AO422" s="653">
        <v>0</v>
      </c>
      <c r="AP422" s="653">
        <v>0</v>
      </c>
      <c r="AQ422" s="653">
        <v>0</v>
      </c>
      <c r="AR422" s="653">
        <v>0</v>
      </c>
      <c r="AS422" s="653">
        <v>0</v>
      </c>
      <c r="AT422" s="570">
        <f t="shared" si="329"/>
        <v>0.125</v>
      </c>
      <c r="AU422" s="571">
        <v>1</v>
      </c>
      <c r="AV422" s="625">
        <f t="shared" si="354"/>
        <v>0.5</v>
      </c>
      <c r="AW422" s="1003">
        <v>1</v>
      </c>
      <c r="AX422" s="604">
        <f t="shared" si="355"/>
        <v>1</v>
      </c>
      <c r="AY422" s="604">
        <f t="shared" si="356"/>
        <v>100</v>
      </c>
      <c r="AZ422" s="604">
        <f t="shared" si="330"/>
        <v>100</v>
      </c>
      <c r="BA422" s="592">
        <f t="shared" si="331"/>
        <v>0.125</v>
      </c>
      <c r="BB422" s="592">
        <f t="shared" si="332"/>
        <v>100</v>
      </c>
      <c r="BC422" s="591">
        <v>30000000</v>
      </c>
      <c r="BD422" s="591">
        <v>0</v>
      </c>
      <c r="BE422" s="591">
        <v>30000000</v>
      </c>
      <c r="BF422" s="591">
        <v>0</v>
      </c>
      <c r="BG422" s="591">
        <v>0</v>
      </c>
      <c r="BH422" s="591">
        <v>0</v>
      </c>
      <c r="BI422" s="591">
        <v>0</v>
      </c>
      <c r="BJ422" s="591">
        <v>0</v>
      </c>
      <c r="BK422" s="669">
        <v>0</v>
      </c>
      <c r="BL422" s="589">
        <v>0</v>
      </c>
      <c r="BM422" s="589">
        <v>0</v>
      </c>
      <c r="BN422" s="589">
        <v>0</v>
      </c>
      <c r="BO422" s="589">
        <v>0</v>
      </c>
      <c r="BP422" s="589">
        <v>0</v>
      </c>
      <c r="BQ422" s="589">
        <v>0</v>
      </c>
      <c r="BR422" s="589">
        <v>0</v>
      </c>
      <c r="BS422" s="589">
        <v>0</v>
      </c>
      <c r="BT422" s="589">
        <v>0</v>
      </c>
      <c r="BU422" s="589">
        <v>0</v>
      </c>
      <c r="BV422" s="588">
        <f t="shared" si="333"/>
        <v>0.125</v>
      </c>
      <c r="BW422" s="588">
        <v>1</v>
      </c>
      <c r="BX422" s="623">
        <f t="shared" si="357"/>
        <v>0.5</v>
      </c>
      <c r="BY422" s="639">
        <v>0</v>
      </c>
      <c r="BZ422" s="638">
        <v>0</v>
      </c>
      <c r="CA422" s="1018">
        <v>1</v>
      </c>
      <c r="CB422" s="557">
        <f t="shared" si="358"/>
        <v>1</v>
      </c>
      <c r="CC422" s="557">
        <f t="shared" si="359"/>
        <v>100</v>
      </c>
      <c r="CD422" s="622">
        <f t="shared" si="334"/>
        <v>100</v>
      </c>
      <c r="CE422" s="621">
        <f t="shared" si="335"/>
        <v>0.125</v>
      </c>
      <c r="CF422" s="605">
        <f t="shared" si="336"/>
        <v>100</v>
      </c>
      <c r="CG422" s="621">
        <f t="shared" si="337"/>
        <v>0.125</v>
      </c>
      <c r="CH422" s="553">
        <f t="shared" si="338"/>
        <v>0</v>
      </c>
      <c r="CI422" s="552">
        <v>0</v>
      </c>
      <c r="CJ422" s="551">
        <f t="shared" si="360"/>
        <v>0</v>
      </c>
      <c r="CK422" s="874">
        <v>0</v>
      </c>
      <c r="CL422" s="533">
        <f t="shared" si="320"/>
        <v>0</v>
      </c>
      <c r="CM422" s="619">
        <f t="shared" si="361"/>
        <v>0</v>
      </c>
      <c r="CN422" s="619">
        <f t="shared" si="362"/>
        <v>0</v>
      </c>
      <c r="CO422" s="549">
        <f t="shared" si="339"/>
        <v>0</v>
      </c>
      <c r="CP422" s="619">
        <f t="shared" si="340"/>
        <v>0</v>
      </c>
      <c r="CQ422" s="619">
        <f t="shared" si="341"/>
        <v>0</v>
      </c>
      <c r="CR422" s="546">
        <v>0</v>
      </c>
      <c r="CS422" s="546">
        <v>0</v>
      </c>
      <c r="CT422" s="546">
        <v>0</v>
      </c>
      <c r="CU422" s="546">
        <v>0</v>
      </c>
      <c r="CV422" s="546">
        <v>0</v>
      </c>
      <c r="CW422" s="546">
        <v>0</v>
      </c>
      <c r="CX422" s="546">
        <v>0</v>
      </c>
      <c r="CY422" s="546">
        <v>0</v>
      </c>
      <c r="CZ422" s="618">
        <v>0</v>
      </c>
      <c r="DA422" s="618">
        <v>0</v>
      </c>
      <c r="DB422" s="618">
        <v>0</v>
      </c>
      <c r="DC422" s="618">
        <v>0</v>
      </c>
      <c r="DD422" s="618">
        <v>0</v>
      </c>
      <c r="DE422" s="618">
        <v>0</v>
      </c>
      <c r="DF422" s="618">
        <v>0</v>
      </c>
      <c r="DG422" s="618">
        <v>0</v>
      </c>
      <c r="DH422" s="618">
        <v>0</v>
      </c>
      <c r="DI422" s="618">
        <v>0</v>
      </c>
      <c r="DJ422" s="618">
        <v>0</v>
      </c>
      <c r="DK422" s="1034">
        <f t="shared" si="363"/>
        <v>2</v>
      </c>
      <c r="DL422" s="543">
        <f t="shared" si="342"/>
        <v>0.25</v>
      </c>
      <c r="DM422" s="542">
        <f t="shared" si="343"/>
        <v>100</v>
      </c>
      <c r="DN422" s="594">
        <f t="shared" si="344"/>
        <v>100</v>
      </c>
      <c r="DO422" s="540">
        <f t="shared" si="345"/>
        <v>0.25</v>
      </c>
      <c r="DP422" s="597">
        <f t="shared" si="349"/>
        <v>0.25</v>
      </c>
      <c r="DQ422" s="538">
        <f t="shared" si="346"/>
        <v>0.25</v>
      </c>
      <c r="DR422" s="617">
        <f t="shared" si="347"/>
        <v>1</v>
      </c>
      <c r="DS422" s="616">
        <f t="shared" si="348"/>
        <v>0</v>
      </c>
      <c r="DT422" s="259">
        <v>486</v>
      </c>
      <c r="DU422" s="260" t="s">
        <v>259</v>
      </c>
      <c r="DV422" s="259"/>
      <c r="DW422" s="260" t="s">
        <v>242</v>
      </c>
      <c r="DX422" s="259"/>
      <c r="DY422" s="259"/>
      <c r="DZ422" s="259"/>
      <c r="EA422" s="987"/>
      <c r="EB422" s="1041" t="s">
        <v>2725</v>
      </c>
      <c r="EC422" s="802">
        <v>30000000</v>
      </c>
      <c r="EE422" s="1047"/>
    </row>
    <row r="423" spans="4:135" s="534" customFormat="1" ht="63.75" hidden="1" x14ac:dyDescent="0.3">
      <c r="D423" s="783">
        <v>420</v>
      </c>
      <c r="E423" s="799">
        <v>490</v>
      </c>
      <c r="F423" s="739" t="s">
        <v>202</v>
      </c>
      <c r="G423" s="739" t="s">
        <v>239</v>
      </c>
      <c r="H423" s="739" t="s">
        <v>154</v>
      </c>
      <c r="I423" s="676" t="s">
        <v>1176</v>
      </c>
      <c r="J423" s="573" t="s">
        <v>1183</v>
      </c>
      <c r="K423" s="573" t="s">
        <v>1184</v>
      </c>
      <c r="L423" s="677" t="s">
        <v>2098</v>
      </c>
      <c r="M423" s="571" t="s">
        <v>2017</v>
      </c>
      <c r="N423" s="575">
        <v>0</v>
      </c>
      <c r="O423" s="570">
        <f t="shared" si="350"/>
        <v>13</v>
      </c>
      <c r="P423" s="663">
        <v>13</v>
      </c>
      <c r="Q423" s="628">
        <v>0.16500000000000001</v>
      </c>
      <c r="R423" s="580">
        <f t="shared" si="326"/>
        <v>6.3461538461538472E-2</v>
      </c>
      <c r="S423" s="657">
        <v>5</v>
      </c>
      <c r="T423" s="575">
        <f t="shared" si="351"/>
        <v>0.38461538461538464</v>
      </c>
      <c r="U423" s="996">
        <v>5</v>
      </c>
      <c r="V423" s="626">
        <f t="shared" si="352"/>
        <v>5</v>
      </c>
      <c r="W423" s="594">
        <f t="shared" si="353"/>
        <v>100</v>
      </c>
      <c r="X423" s="594">
        <f t="shared" si="327"/>
        <v>100</v>
      </c>
      <c r="Y423" s="594">
        <f t="shared" si="364"/>
        <v>6.3461538461538472E-2</v>
      </c>
      <c r="Z423" s="594">
        <f t="shared" si="328"/>
        <v>100</v>
      </c>
      <c r="AA423" s="653">
        <v>60000000</v>
      </c>
      <c r="AB423" s="653">
        <v>60000000</v>
      </c>
      <c r="AC423" s="653">
        <v>0</v>
      </c>
      <c r="AD423" s="653">
        <v>0</v>
      </c>
      <c r="AE423" s="653">
        <v>0</v>
      </c>
      <c r="AF423" s="653">
        <v>0</v>
      </c>
      <c r="AG423" s="653">
        <v>0</v>
      </c>
      <c r="AH423" s="653">
        <v>0</v>
      </c>
      <c r="AI423" s="653">
        <v>135000000</v>
      </c>
      <c r="AJ423" s="653">
        <v>135000000</v>
      </c>
      <c r="AK423" s="653">
        <v>0</v>
      </c>
      <c r="AL423" s="653">
        <v>0</v>
      </c>
      <c r="AM423" s="653">
        <v>0</v>
      </c>
      <c r="AN423" s="653">
        <v>0</v>
      </c>
      <c r="AO423" s="653">
        <v>0</v>
      </c>
      <c r="AP423" s="653">
        <v>0</v>
      </c>
      <c r="AQ423" s="653">
        <v>0</v>
      </c>
      <c r="AR423" s="653">
        <v>140000000</v>
      </c>
      <c r="AS423" s="653" t="s">
        <v>2096</v>
      </c>
      <c r="AT423" s="570">
        <f t="shared" si="329"/>
        <v>2.5384615384615387E-2</v>
      </c>
      <c r="AU423" s="571">
        <v>2</v>
      </c>
      <c r="AV423" s="625">
        <f t="shared" si="354"/>
        <v>0.15384615384615385</v>
      </c>
      <c r="AW423" s="1003">
        <v>4</v>
      </c>
      <c r="AX423" s="604">
        <f t="shared" si="355"/>
        <v>4</v>
      </c>
      <c r="AY423" s="604">
        <f t="shared" si="356"/>
        <v>200</v>
      </c>
      <c r="AZ423" s="604">
        <f t="shared" si="330"/>
        <v>100</v>
      </c>
      <c r="BA423" s="592">
        <f t="shared" si="331"/>
        <v>2.5384615384615387E-2</v>
      </c>
      <c r="BB423" s="592">
        <f t="shared" si="332"/>
        <v>100</v>
      </c>
      <c r="BC423" s="591">
        <v>300000000</v>
      </c>
      <c r="BD423" s="591">
        <v>0</v>
      </c>
      <c r="BE423" s="591">
        <v>50000000</v>
      </c>
      <c r="BF423" s="591">
        <v>0</v>
      </c>
      <c r="BG423" s="591">
        <v>0</v>
      </c>
      <c r="BH423" s="591">
        <v>0</v>
      </c>
      <c r="BI423" s="591">
        <v>0</v>
      </c>
      <c r="BJ423" s="591">
        <v>250000000</v>
      </c>
      <c r="BK423" s="669">
        <v>104724830</v>
      </c>
      <c r="BL423" s="589">
        <v>104724830</v>
      </c>
      <c r="BM423" s="589">
        <v>0</v>
      </c>
      <c r="BN423" s="589">
        <v>0</v>
      </c>
      <c r="BO423" s="589">
        <v>0</v>
      </c>
      <c r="BP423" s="589">
        <v>0</v>
      </c>
      <c r="BQ423" s="589">
        <v>0</v>
      </c>
      <c r="BR423" s="589">
        <v>0</v>
      </c>
      <c r="BS423" s="589">
        <v>0</v>
      </c>
      <c r="BT423" s="589">
        <v>0</v>
      </c>
      <c r="BU423" s="589">
        <v>0</v>
      </c>
      <c r="BV423" s="588">
        <f t="shared" si="333"/>
        <v>7.6153846153846155E-2</v>
      </c>
      <c r="BW423" s="588">
        <v>6</v>
      </c>
      <c r="BX423" s="623">
        <f t="shared" si="357"/>
        <v>0.46153846153846156</v>
      </c>
      <c r="BY423" s="639">
        <v>0</v>
      </c>
      <c r="BZ423" s="638">
        <v>0</v>
      </c>
      <c r="CA423" s="1018">
        <v>6</v>
      </c>
      <c r="CB423" s="557">
        <f t="shared" si="358"/>
        <v>6</v>
      </c>
      <c r="CC423" s="557">
        <f t="shared" si="359"/>
        <v>100</v>
      </c>
      <c r="CD423" s="622">
        <f t="shared" si="334"/>
        <v>100</v>
      </c>
      <c r="CE423" s="621">
        <f t="shared" si="335"/>
        <v>7.6153846153846155E-2</v>
      </c>
      <c r="CF423" s="605">
        <f t="shared" si="336"/>
        <v>100</v>
      </c>
      <c r="CG423" s="621">
        <f t="shared" si="337"/>
        <v>7.6153846153846155E-2</v>
      </c>
      <c r="CH423" s="553">
        <f t="shared" si="338"/>
        <v>0</v>
      </c>
      <c r="CI423" s="552">
        <v>0</v>
      </c>
      <c r="CJ423" s="551">
        <f t="shared" si="360"/>
        <v>0</v>
      </c>
      <c r="CK423" s="874">
        <v>0</v>
      </c>
      <c r="CL423" s="533">
        <f t="shared" si="320"/>
        <v>0</v>
      </c>
      <c r="CM423" s="619">
        <f t="shared" si="361"/>
        <v>0</v>
      </c>
      <c r="CN423" s="619">
        <f t="shared" si="362"/>
        <v>0</v>
      </c>
      <c r="CO423" s="549">
        <f t="shared" si="339"/>
        <v>0</v>
      </c>
      <c r="CP423" s="619">
        <f t="shared" si="340"/>
        <v>0</v>
      </c>
      <c r="CQ423" s="619">
        <f t="shared" si="341"/>
        <v>0</v>
      </c>
      <c r="CR423" s="546">
        <v>0</v>
      </c>
      <c r="CS423" s="546">
        <v>0</v>
      </c>
      <c r="CT423" s="546">
        <v>0</v>
      </c>
      <c r="CU423" s="546">
        <v>0</v>
      </c>
      <c r="CV423" s="546">
        <v>0</v>
      </c>
      <c r="CW423" s="546">
        <v>0</v>
      </c>
      <c r="CX423" s="546">
        <v>0</v>
      </c>
      <c r="CY423" s="546">
        <v>0</v>
      </c>
      <c r="CZ423" s="618">
        <v>0</v>
      </c>
      <c r="DA423" s="618">
        <v>0</v>
      </c>
      <c r="DB423" s="618">
        <v>0</v>
      </c>
      <c r="DC423" s="618">
        <v>0</v>
      </c>
      <c r="DD423" s="618">
        <v>0</v>
      </c>
      <c r="DE423" s="618">
        <v>0</v>
      </c>
      <c r="DF423" s="618">
        <v>0</v>
      </c>
      <c r="DG423" s="618">
        <v>0</v>
      </c>
      <c r="DH423" s="618">
        <v>0</v>
      </c>
      <c r="DI423" s="618">
        <v>0</v>
      </c>
      <c r="DJ423" s="618">
        <v>0</v>
      </c>
      <c r="DK423" s="1034">
        <f t="shared" si="363"/>
        <v>15</v>
      </c>
      <c r="DL423" s="543">
        <f t="shared" si="342"/>
        <v>0.16500000000000001</v>
      </c>
      <c r="DM423" s="542">
        <f t="shared" si="343"/>
        <v>115.38461538461539</v>
      </c>
      <c r="DN423" s="594">
        <f t="shared" si="344"/>
        <v>100</v>
      </c>
      <c r="DO423" s="540">
        <f t="shared" si="345"/>
        <v>0.16500000000000001</v>
      </c>
      <c r="DP423" s="597">
        <f t="shared" si="349"/>
        <v>0.16500000000000001</v>
      </c>
      <c r="DQ423" s="538">
        <f t="shared" si="346"/>
        <v>0.16500000000000001</v>
      </c>
      <c r="DR423" s="617">
        <f t="shared" si="347"/>
        <v>1</v>
      </c>
      <c r="DS423" s="616">
        <f t="shared" si="348"/>
        <v>0</v>
      </c>
      <c r="DT423" s="259">
        <v>486</v>
      </c>
      <c r="DU423" s="260" t="s">
        <v>259</v>
      </c>
      <c r="DV423" s="259"/>
      <c r="DW423" s="260" t="s">
        <v>242</v>
      </c>
      <c r="DX423" s="259"/>
      <c r="DY423" s="259"/>
      <c r="DZ423" s="259"/>
      <c r="EA423" s="987"/>
      <c r="EB423" s="1041" t="s">
        <v>2726</v>
      </c>
      <c r="EC423" s="802">
        <v>450000000</v>
      </c>
      <c r="EE423" s="1047"/>
    </row>
    <row r="424" spans="4:135" s="534" customFormat="1" ht="140.25" hidden="1" x14ac:dyDescent="0.3">
      <c r="D424" s="783">
        <v>421</v>
      </c>
      <c r="E424" s="799">
        <v>491</v>
      </c>
      <c r="F424" s="739" t="s">
        <v>202</v>
      </c>
      <c r="G424" s="739" t="s">
        <v>239</v>
      </c>
      <c r="H424" s="739" t="s">
        <v>154</v>
      </c>
      <c r="I424" s="676" t="s">
        <v>1176</v>
      </c>
      <c r="J424" s="573" t="s">
        <v>1185</v>
      </c>
      <c r="K424" s="573" t="s">
        <v>1186</v>
      </c>
      <c r="L424" s="677" t="s">
        <v>1626</v>
      </c>
      <c r="M424" s="571" t="s">
        <v>2017</v>
      </c>
      <c r="N424" s="575">
        <v>0</v>
      </c>
      <c r="O424" s="570">
        <f t="shared" si="350"/>
        <v>4</v>
      </c>
      <c r="P424" s="663">
        <v>4</v>
      </c>
      <c r="Q424" s="628">
        <v>0.25</v>
      </c>
      <c r="R424" s="580">
        <f t="shared" si="326"/>
        <v>0</v>
      </c>
      <c r="S424" s="657">
        <v>0</v>
      </c>
      <c r="T424" s="575">
        <f t="shared" si="351"/>
        <v>0</v>
      </c>
      <c r="U424" s="996">
        <v>2</v>
      </c>
      <c r="V424" s="626">
        <f t="shared" si="352"/>
        <v>2</v>
      </c>
      <c r="W424" s="594">
        <f t="shared" si="353"/>
        <v>0</v>
      </c>
      <c r="X424" s="594">
        <f t="shared" si="327"/>
        <v>0</v>
      </c>
      <c r="Y424" s="594">
        <f t="shared" si="364"/>
        <v>0</v>
      </c>
      <c r="Z424" s="594">
        <f t="shared" si="328"/>
        <v>100</v>
      </c>
      <c r="AA424" s="653">
        <v>20000000</v>
      </c>
      <c r="AB424" s="653">
        <v>20000000</v>
      </c>
      <c r="AC424" s="653">
        <v>0</v>
      </c>
      <c r="AD424" s="653">
        <v>0</v>
      </c>
      <c r="AE424" s="653">
        <v>0</v>
      </c>
      <c r="AF424" s="653">
        <v>0</v>
      </c>
      <c r="AG424" s="653">
        <v>0</v>
      </c>
      <c r="AH424" s="653">
        <v>0</v>
      </c>
      <c r="AI424" s="653">
        <v>232000000</v>
      </c>
      <c r="AJ424" s="653">
        <v>162000000</v>
      </c>
      <c r="AK424" s="653">
        <v>0</v>
      </c>
      <c r="AL424" s="653">
        <v>0</v>
      </c>
      <c r="AM424" s="653">
        <v>0</v>
      </c>
      <c r="AN424" s="653">
        <v>0</v>
      </c>
      <c r="AO424" s="653">
        <v>0</v>
      </c>
      <c r="AP424" s="653">
        <v>70000000</v>
      </c>
      <c r="AQ424" s="653">
        <v>0</v>
      </c>
      <c r="AR424" s="653">
        <v>1020000000</v>
      </c>
      <c r="AS424" s="653" t="s">
        <v>2097</v>
      </c>
      <c r="AT424" s="570">
        <f t="shared" si="329"/>
        <v>6.25E-2</v>
      </c>
      <c r="AU424" s="571">
        <v>1</v>
      </c>
      <c r="AV424" s="625">
        <f t="shared" si="354"/>
        <v>0.25</v>
      </c>
      <c r="AW424" s="1011">
        <v>1</v>
      </c>
      <c r="AX424" s="604">
        <f t="shared" si="355"/>
        <v>1</v>
      </c>
      <c r="AY424" s="604">
        <f t="shared" si="356"/>
        <v>100</v>
      </c>
      <c r="AZ424" s="604">
        <f t="shared" si="330"/>
        <v>100</v>
      </c>
      <c r="BA424" s="592">
        <f t="shared" si="331"/>
        <v>6.25E-2</v>
      </c>
      <c r="BB424" s="592">
        <f t="shared" si="332"/>
        <v>100</v>
      </c>
      <c r="BC424" s="591">
        <v>1500000000</v>
      </c>
      <c r="BD424" s="591">
        <v>0</v>
      </c>
      <c r="BE424" s="591">
        <v>500000000</v>
      </c>
      <c r="BF424" s="591">
        <v>0</v>
      </c>
      <c r="BG424" s="591">
        <v>0</v>
      </c>
      <c r="BH424" s="591">
        <v>0</v>
      </c>
      <c r="BI424" s="591">
        <v>0</v>
      </c>
      <c r="BJ424" s="591">
        <v>1000000000</v>
      </c>
      <c r="BK424" s="669">
        <v>30750000</v>
      </c>
      <c r="BL424" s="589">
        <v>30750000</v>
      </c>
      <c r="BM424" s="589">
        <v>0</v>
      </c>
      <c r="BN424" s="589">
        <v>0</v>
      </c>
      <c r="BO424" s="589">
        <v>0</v>
      </c>
      <c r="BP424" s="589">
        <v>0</v>
      </c>
      <c r="BQ424" s="589">
        <v>0</v>
      </c>
      <c r="BR424" s="589">
        <v>0</v>
      </c>
      <c r="BS424" s="589">
        <v>0</v>
      </c>
      <c r="BT424" s="589">
        <v>0</v>
      </c>
      <c r="BU424" s="589">
        <v>0</v>
      </c>
      <c r="BV424" s="588">
        <f t="shared" si="333"/>
        <v>0.125</v>
      </c>
      <c r="BW424" s="588">
        <v>2</v>
      </c>
      <c r="BX424" s="623">
        <f t="shared" si="357"/>
        <v>0.5</v>
      </c>
      <c r="BY424" s="607">
        <v>1</v>
      </c>
      <c r="BZ424" s="629">
        <v>0</v>
      </c>
      <c r="CA424" s="1017">
        <v>2</v>
      </c>
      <c r="CB424" s="557">
        <f t="shared" si="358"/>
        <v>2</v>
      </c>
      <c r="CC424" s="557">
        <f t="shared" si="359"/>
        <v>100</v>
      </c>
      <c r="CD424" s="622">
        <f t="shared" si="334"/>
        <v>100</v>
      </c>
      <c r="CE424" s="621">
        <f t="shared" si="335"/>
        <v>0.125</v>
      </c>
      <c r="CF424" s="605">
        <f t="shared" si="336"/>
        <v>100</v>
      </c>
      <c r="CG424" s="621">
        <f t="shared" si="337"/>
        <v>0.125</v>
      </c>
      <c r="CH424" s="553">
        <f t="shared" si="338"/>
        <v>6.25E-2</v>
      </c>
      <c r="CI424" s="552">
        <v>1</v>
      </c>
      <c r="CJ424" s="551">
        <f t="shared" si="360"/>
        <v>0.25</v>
      </c>
      <c r="CK424" s="874">
        <v>0</v>
      </c>
      <c r="CL424" s="533">
        <f t="shared" si="320"/>
        <v>1</v>
      </c>
      <c r="CM424" s="619">
        <f t="shared" si="361"/>
        <v>0</v>
      </c>
      <c r="CN424" s="619">
        <f t="shared" si="362"/>
        <v>0</v>
      </c>
      <c r="CO424" s="549">
        <f t="shared" si="339"/>
        <v>0</v>
      </c>
      <c r="CP424" s="619">
        <f t="shared" si="340"/>
        <v>0</v>
      </c>
      <c r="CQ424" s="619">
        <f t="shared" si="341"/>
        <v>0</v>
      </c>
      <c r="CR424" s="546">
        <v>1700000000</v>
      </c>
      <c r="CS424" s="546">
        <v>700000000</v>
      </c>
      <c r="CT424" s="546">
        <v>0</v>
      </c>
      <c r="CU424" s="546">
        <v>0</v>
      </c>
      <c r="CV424" s="546">
        <v>0</v>
      </c>
      <c r="CW424" s="546">
        <v>0</v>
      </c>
      <c r="CX424" s="546">
        <v>0</v>
      </c>
      <c r="CY424" s="546">
        <v>1000000000</v>
      </c>
      <c r="CZ424" s="618">
        <v>0</v>
      </c>
      <c r="DA424" s="618">
        <v>0</v>
      </c>
      <c r="DB424" s="618">
        <v>0</v>
      </c>
      <c r="DC424" s="618">
        <v>0</v>
      </c>
      <c r="DD424" s="618">
        <v>0</v>
      </c>
      <c r="DE424" s="618">
        <v>0</v>
      </c>
      <c r="DF424" s="618">
        <v>0</v>
      </c>
      <c r="DG424" s="618">
        <v>0</v>
      </c>
      <c r="DH424" s="618">
        <v>0</v>
      </c>
      <c r="DI424" s="618">
        <v>0</v>
      </c>
      <c r="DJ424" s="618">
        <v>0</v>
      </c>
      <c r="DK424" s="1034">
        <f t="shared" si="363"/>
        <v>5</v>
      </c>
      <c r="DL424" s="543">
        <f t="shared" si="342"/>
        <v>0.25</v>
      </c>
      <c r="DM424" s="542">
        <f t="shared" si="343"/>
        <v>125</v>
      </c>
      <c r="DN424" s="594">
        <f t="shared" si="344"/>
        <v>100</v>
      </c>
      <c r="DO424" s="540">
        <f t="shared" si="345"/>
        <v>0.25</v>
      </c>
      <c r="DP424" s="597">
        <f t="shared" si="349"/>
        <v>0.25</v>
      </c>
      <c r="DQ424" s="538">
        <f t="shared" si="346"/>
        <v>0.25</v>
      </c>
      <c r="DR424" s="617">
        <f t="shared" si="347"/>
        <v>1</v>
      </c>
      <c r="DS424" s="616">
        <f t="shared" si="348"/>
        <v>0</v>
      </c>
      <c r="DT424" s="259">
        <v>486</v>
      </c>
      <c r="DU424" s="260" t="s">
        <v>259</v>
      </c>
      <c r="DV424" s="259"/>
      <c r="DW424" s="260" t="s">
        <v>242</v>
      </c>
      <c r="DX424" s="259"/>
      <c r="DY424" s="259"/>
      <c r="DZ424" s="259"/>
      <c r="EA424" s="987"/>
      <c r="EB424" s="1041" t="s">
        <v>2727</v>
      </c>
      <c r="EC424" s="802">
        <v>2800000000</v>
      </c>
      <c r="EE424" s="1047"/>
    </row>
    <row r="425" spans="4:135" s="534" customFormat="1" ht="38.25" hidden="1" x14ac:dyDescent="0.3">
      <c r="D425" s="783">
        <v>422</v>
      </c>
      <c r="E425" s="799">
        <v>492</v>
      </c>
      <c r="F425" s="739" t="s">
        <v>202</v>
      </c>
      <c r="G425" s="739" t="s">
        <v>239</v>
      </c>
      <c r="H425" s="739" t="s">
        <v>154</v>
      </c>
      <c r="I425" s="676" t="s">
        <v>1176</v>
      </c>
      <c r="J425" s="573" t="s">
        <v>1187</v>
      </c>
      <c r="K425" s="573" t="s">
        <v>1188</v>
      </c>
      <c r="L425" s="677" t="s">
        <v>1593</v>
      </c>
      <c r="M425" s="571" t="s">
        <v>2017</v>
      </c>
      <c r="N425" s="575">
        <v>0</v>
      </c>
      <c r="O425" s="570">
        <f t="shared" si="350"/>
        <v>22</v>
      </c>
      <c r="P425" s="663">
        <v>22</v>
      </c>
      <c r="Q425" s="628">
        <v>0.16500000000000001</v>
      </c>
      <c r="R425" s="580">
        <f t="shared" si="326"/>
        <v>0</v>
      </c>
      <c r="S425" s="657">
        <v>0</v>
      </c>
      <c r="T425" s="575">
        <f t="shared" si="351"/>
        <v>0</v>
      </c>
      <c r="U425" s="996">
        <v>14</v>
      </c>
      <c r="V425" s="626">
        <f t="shared" si="352"/>
        <v>14</v>
      </c>
      <c r="W425" s="594">
        <f t="shared" si="353"/>
        <v>0</v>
      </c>
      <c r="X425" s="594">
        <f t="shared" si="327"/>
        <v>0</v>
      </c>
      <c r="Y425" s="594">
        <f t="shared" si="364"/>
        <v>0</v>
      </c>
      <c r="Z425" s="594">
        <f t="shared" si="328"/>
        <v>100</v>
      </c>
      <c r="AA425" s="653">
        <v>0</v>
      </c>
      <c r="AB425" s="653">
        <v>0</v>
      </c>
      <c r="AC425" s="653">
        <v>0</v>
      </c>
      <c r="AD425" s="653">
        <v>0</v>
      </c>
      <c r="AE425" s="653">
        <v>0</v>
      </c>
      <c r="AF425" s="653">
        <v>0</v>
      </c>
      <c r="AG425" s="653">
        <v>0</v>
      </c>
      <c r="AH425" s="653">
        <v>0</v>
      </c>
      <c r="AI425" s="653">
        <v>0</v>
      </c>
      <c r="AJ425" s="653">
        <v>0</v>
      </c>
      <c r="AK425" s="653">
        <v>0</v>
      </c>
      <c r="AL425" s="653">
        <v>0</v>
      </c>
      <c r="AM425" s="653">
        <v>0</v>
      </c>
      <c r="AN425" s="653">
        <v>0</v>
      </c>
      <c r="AO425" s="653">
        <v>0</v>
      </c>
      <c r="AP425" s="653">
        <v>0</v>
      </c>
      <c r="AQ425" s="653">
        <v>0</v>
      </c>
      <c r="AR425" s="653">
        <v>370549000</v>
      </c>
      <c r="AS425" s="653" t="s">
        <v>2096</v>
      </c>
      <c r="AT425" s="570">
        <f t="shared" si="329"/>
        <v>6.0000000000000005E-2</v>
      </c>
      <c r="AU425" s="571">
        <v>8</v>
      </c>
      <c r="AV425" s="625">
        <f t="shared" si="354"/>
        <v>0.36363636363636365</v>
      </c>
      <c r="AW425" s="1003">
        <v>22</v>
      </c>
      <c r="AX425" s="604">
        <f t="shared" si="355"/>
        <v>22</v>
      </c>
      <c r="AY425" s="604">
        <f t="shared" si="356"/>
        <v>275</v>
      </c>
      <c r="AZ425" s="604">
        <f t="shared" si="330"/>
        <v>100</v>
      </c>
      <c r="BA425" s="592">
        <f t="shared" si="331"/>
        <v>6.0000000000000012E-2</v>
      </c>
      <c r="BB425" s="592">
        <f t="shared" si="332"/>
        <v>100</v>
      </c>
      <c r="BC425" s="591">
        <v>200000000</v>
      </c>
      <c r="BD425" s="591">
        <v>0</v>
      </c>
      <c r="BE425" s="591">
        <v>100000000</v>
      </c>
      <c r="BF425" s="591">
        <v>0</v>
      </c>
      <c r="BG425" s="591">
        <v>0</v>
      </c>
      <c r="BH425" s="591">
        <v>0</v>
      </c>
      <c r="BI425" s="591">
        <v>0</v>
      </c>
      <c r="BJ425" s="591">
        <v>100000000</v>
      </c>
      <c r="BK425" s="669">
        <v>0</v>
      </c>
      <c r="BL425" s="589">
        <v>0</v>
      </c>
      <c r="BM425" s="589">
        <v>0</v>
      </c>
      <c r="BN425" s="589">
        <v>0</v>
      </c>
      <c r="BO425" s="589">
        <v>0</v>
      </c>
      <c r="BP425" s="589">
        <v>0</v>
      </c>
      <c r="BQ425" s="589">
        <v>0</v>
      </c>
      <c r="BR425" s="589">
        <v>0</v>
      </c>
      <c r="BS425" s="589">
        <v>0</v>
      </c>
      <c r="BT425" s="589">
        <v>0</v>
      </c>
      <c r="BU425" s="589">
        <v>0</v>
      </c>
      <c r="BV425" s="588">
        <f t="shared" si="333"/>
        <v>5.2500000000000005E-2</v>
      </c>
      <c r="BW425" s="588">
        <v>7</v>
      </c>
      <c r="BX425" s="623">
        <f t="shared" si="357"/>
        <v>0.31818181818181818</v>
      </c>
      <c r="BY425" s="639">
        <v>0</v>
      </c>
      <c r="BZ425" s="638">
        <v>0</v>
      </c>
      <c r="CA425" s="1018">
        <v>0</v>
      </c>
      <c r="CB425" s="557">
        <f t="shared" si="358"/>
        <v>0</v>
      </c>
      <c r="CC425" s="557">
        <f t="shared" si="359"/>
        <v>0</v>
      </c>
      <c r="CD425" s="622">
        <f t="shared" si="334"/>
        <v>0</v>
      </c>
      <c r="CE425" s="621">
        <f t="shared" si="335"/>
        <v>0</v>
      </c>
      <c r="CF425" s="605">
        <f t="shared" si="336"/>
        <v>0</v>
      </c>
      <c r="CG425" s="621">
        <f t="shared" si="337"/>
        <v>0</v>
      </c>
      <c r="CH425" s="553">
        <f t="shared" si="338"/>
        <v>5.2500000000000005E-2</v>
      </c>
      <c r="CI425" s="552">
        <v>7</v>
      </c>
      <c r="CJ425" s="551">
        <f t="shared" si="360"/>
        <v>0.31818181818181818</v>
      </c>
      <c r="CK425" s="871">
        <v>0</v>
      </c>
      <c r="CL425" s="533">
        <f t="shared" si="320"/>
        <v>7</v>
      </c>
      <c r="CM425" s="619">
        <f t="shared" si="361"/>
        <v>0</v>
      </c>
      <c r="CN425" s="619">
        <f t="shared" si="362"/>
        <v>0</v>
      </c>
      <c r="CO425" s="549">
        <f t="shared" si="339"/>
        <v>0</v>
      </c>
      <c r="CP425" s="619">
        <f t="shared" si="340"/>
        <v>0</v>
      </c>
      <c r="CQ425" s="619">
        <f t="shared" si="341"/>
        <v>0</v>
      </c>
      <c r="CR425" s="546">
        <v>231000000</v>
      </c>
      <c r="CS425" s="546">
        <v>100000000</v>
      </c>
      <c r="CT425" s="546">
        <v>0</v>
      </c>
      <c r="CU425" s="546">
        <v>0</v>
      </c>
      <c r="CV425" s="546">
        <v>0</v>
      </c>
      <c r="CW425" s="546">
        <v>0</v>
      </c>
      <c r="CX425" s="546">
        <v>0</v>
      </c>
      <c r="CY425" s="546">
        <v>131000000</v>
      </c>
      <c r="CZ425" s="618">
        <v>0</v>
      </c>
      <c r="DA425" s="618">
        <v>0</v>
      </c>
      <c r="DB425" s="618">
        <v>0</v>
      </c>
      <c r="DC425" s="618">
        <v>0</v>
      </c>
      <c r="DD425" s="618">
        <v>0</v>
      </c>
      <c r="DE425" s="618">
        <v>0</v>
      </c>
      <c r="DF425" s="618">
        <v>0</v>
      </c>
      <c r="DG425" s="618">
        <v>0</v>
      </c>
      <c r="DH425" s="618">
        <v>0</v>
      </c>
      <c r="DI425" s="618">
        <v>0</v>
      </c>
      <c r="DJ425" s="618">
        <v>0</v>
      </c>
      <c r="DK425" s="1034">
        <f t="shared" si="363"/>
        <v>36</v>
      </c>
      <c r="DL425" s="543">
        <f t="shared" si="342"/>
        <v>0.16500000000000004</v>
      </c>
      <c r="DM425" s="542">
        <f t="shared" si="343"/>
        <v>163.63636363636363</v>
      </c>
      <c r="DN425" s="594">
        <f t="shared" si="344"/>
        <v>100</v>
      </c>
      <c r="DO425" s="540">
        <f t="shared" si="345"/>
        <v>0.16500000000000001</v>
      </c>
      <c r="DP425" s="597">
        <f t="shared" si="349"/>
        <v>0.16500000000000001</v>
      </c>
      <c r="DQ425" s="538">
        <f t="shared" si="346"/>
        <v>0.16500000000000001</v>
      </c>
      <c r="DR425" s="617">
        <f t="shared" si="347"/>
        <v>1</v>
      </c>
      <c r="DS425" s="616">
        <f t="shared" si="348"/>
        <v>0</v>
      </c>
      <c r="DT425" s="259">
        <v>486</v>
      </c>
      <c r="DU425" s="260" t="s">
        <v>259</v>
      </c>
      <c r="DV425" s="259"/>
      <c r="DW425" s="260" t="s">
        <v>242</v>
      </c>
      <c r="DX425" s="259"/>
      <c r="DY425" s="259"/>
      <c r="DZ425" s="259"/>
      <c r="EA425" s="987"/>
      <c r="EB425" s="1041" t="s">
        <v>2728</v>
      </c>
      <c r="EC425" s="802">
        <v>252000000</v>
      </c>
      <c r="EE425" s="1047"/>
    </row>
    <row r="426" spans="4:135" s="534" customFormat="1" ht="63.75" hidden="1" x14ac:dyDescent="0.3">
      <c r="D426" s="783">
        <v>423</v>
      </c>
      <c r="E426" s="799">
        <v>493</v>
      </c>
      <c r="F426" s="739" t="s">
        <v>202</v>
      </c>
      <c r="G426" s="739" t="s">
        <v>239</v>
      </c>
      <c r="H426" s="739" t="s">
        <v>154</v>
      </c>
      <c r="I426" s="676" t="s">
        <v>1176</v>
      </c>
      <c r="J426" s="573" t="s">
        <v>1189</v>
      </c>
      <c r="K426" s="573" t="s">
        <v>1190</v>
      </c>
      <c r="L426" s="677" t="s">
        <v>1635</v>
      </c>
      <c r="M426" s="571" t="s">
        <v>2017</v>
      </c>
      <c r="N426" s="575">
        <v>0</v>
      </c>
      <c r="O426" s="570">
        <f t="shared" si="350"/>
        <v>1</v>
      </c>
      <c r="P426" s="663">
        <v>1</v>
      </c>
      <c r="Q426" s="628">
        <v>0.16500000000000001</v>
      </c>
      <c r="R426" s="580">
        <f t="shared" si="326"/>
        <v>1.6500000000000001E-2</v>
      </c>
      <c r="S426" s="657">
        <v>0.1</v>
      </c>
      <c r="T426" s="575">
        <f t="shared" si="351"/>
        <v>0.1</v>
      </c>
      <c r="U426" s="996">
        <v>0.1</v>
      </c>
      <c r="V426" s="626">
        <f t="shared" si="352"/>
        <v>0.1</v>
      </c>
      <c r="W426" s="594">
        <f t="shared" si="353"/>
        <v>100</v>
      </c>
      <c r="X426" s="594">
        <f t="shared" si="327"/>
        <v>100</v>
      </c>
      <c r="Y426" s="594">
        <f t="shared" si="364"/>
        <v>1.6500000000000001E-2</v>
      </c>
      <c r="Z426" s="594">
        <f t="shared" si="328"/>
        <v>100</v>
      </c>
      <c r="AA426" s="653">
        <v>0</v>
      </c>
      <c r="AB426" s="653">
        <v>0</v>
      </c>
      <c r="AC426" s="653">
        <v>0</v>
      </c>
      <c r="AD426" s="653">
        <v>0</v>
      </c>
      <c r="AE426" s="653">
        <v>0</v>
      </c>
      <c r="AF426" s="653">
        <v>0</v>
      </c>
      <c r="AG426" s="653">
        <v>0</v>
      </c>
      <c r="AH426" s="653">
        <v>0</v>
      </c>
      <c r="AI426" s="653">
        <v>4800000</v>
      </c>
      <c r="AJ426" s="653">
        <v>4800000</v>
      </c>
      <c r="AK426" s="653">
        <v>0</v>
      </c>
      <c r="AL426" s="653">
        <v>0</v>
      </c>
      <c r="AM426" s="653">
        <v>0</v>
      </c>
      <c r="AN426" s="653">
        <v>0</v>
      </c>
      <c r="AO426" s="653">
        <v>0</v>
      </c>
      <c r="AP426" s="653">
        <v>0</v>
      </c>
      <c r="AQ426" s="653">
        <v>0</v>
      </c>
      <c r="AR426" s="653">
        <v>0</v>
      </c>
      <c r="AS426" s="653">
        <v>0</v>
      </c>
      <c r="AT426" s="570">
        <f t="shared" si="329"/>
        <v>3.3000000000000002E-2</v>
      </c>
      <c r="AU426" s="571">
        <v>0.2</v>
      </c>
      <c r="AV426" s="625">
        <f t="shared" si="354"/>
        <v>0.2</v>
      </c>
      <c r="AW426" s="1003">
        <v>0.3</v>
      </c>
      <c r="AX426" s="604">
        <f t="shared" si="355"/>
        <v>0.3</v>
      </c>
      <c r="AY426" s="604">
        <f t="shared" si="356"/>
        <v>150</v>
      </c>
      <c r="AZ426" s="604">
        <f t="shared" si="330"/>
        <v>100</v>
      </c>
      <c r="BA426" s="592">
        <f t="shared" si="331"/>
        <v>3.3000000000000002E-2</v>
      </c>
      <c r="BB426" s="592">
        <f t="shared" si="332"/>
        <v>100</v>
      </c>
      <c r="BC426" s="591">
        <v>5900000000</v>
      </c>
      <c r="BD426" s="591">
        <v>0</v>
      </c>
      <c r="BE426" s="591">
        <v>0</v>
      </c>
      <c r="BF426" s="591">
        <v>0</v>
      </c>
      <c r="BG426" s="591">
        <v>0</v>
      </c>
      <c r="BH426" s="591">
        <v>0</v>
      </c>
      <c r="BI426" s="591">
        <v>0</v>
      </c>
      <c r="BJ426" s="591">
        <v>5900000000</v>
      </c>
      <c r="BK426" s="669">
        <v>0</v>
      </c>
      <c r="BL426" s="589">
        <v>0</v>
      </c>
      <c r="BM426" s="589">
        <v>0</v>
      </c>
      <c r="BN426" s="589">
        <v>0</v>
      </c>
      <c r="BO426" s="589">
        <v>0</v>
      </c>
      <c r="BP426" s="589">
        <v>0</v>
      </c>
      <c r="BQ426" s="589">
        <v>0</v>
      </c>
      <c r="BR426" s="589">
        <v>0</v>
      </c>
      <c r="BS426" s="589">
        <v>0</v>
      </c>
      <c r="BT426" s="589">
        <v>0</v>
      </c>
      <c r="BU426" s="589">
        <v>0</v>
      </c>
      <c r="BV426" s="588">
        <f t="shared" si="333"/>
        <v>4.9500000000000002E-2</v>
      </c>
      <c r="BW426" s="588">
        <v>0.3</v>
      </c>
      <c r="BX426" s="623">
        <f t="shared" si="357"/>
        <v>0.3</v>
      </c>
      <c r="BY426" s="639">
        <v>0</v>
      </c>
      <c r="BZ426" s="638">
        <v>0.4</v>
      </c>
      <c r="CA426" s="1018">
        <v>0.1</v>
      </c>
      <c r="CB426" s="557">
        <f t="shared" si="358"/>
        <v>0.1</v>
      </c>
      <c r="CC426" s="557">
        <f t="shared" si="359"/>
        <v>33.333333333333336</v>
      </c>
      <c r="CD426" s="622">
        <f t="shared" si="334"/>
        <v>33.333333333333336</v>
      </c>
      <c r="CE426" s="621">
        <f t="shared" si="335"/>
        <v>1.6500000000000001E-2</v>
      </c>
      <c r="CF426" s="605">
        <f t="shared" si="336"/>
        <v>100</v>
      </c>
      <c r="CG426" s="621">
        <f t="shared" si="337"/>
        <v>1.6500000000000001E-2</v>
      </c>
      <c r="CH426" s="553">
        <f t="shared" si="338"/>
        <v>6.6000000000000003E-2</v>
      </c>
      <c r="CI426" s="552">
        <v>0.4</v>
      </c>
      <c r="CJ426" s="551">
        <f t="shared" si="360"/>
        <v>0.4</v>
      </c>
      <c r="CK426" s="874">
        <v>0</v>
      </c>
      <c r="CL426" s="533">
        <f t="shared" si="320"/>
        <v>0.4</v>
      </c>
      <c r="CM426" s="619">
        <f t="shared" si="361"/>
        <v>0</v>
      </c>
      <c r="CN426" s="619">
        <f t="shared" si="362"/>
        <v>0</v>
      </c>
      <c r="CO426" s="549">
        <f t="shared" si="339"/>
        <v>0</v>
      </c>
      <c r="CP426" s="619">
        <f t="shared" si="340"/>
        <v>0</v>
      </c>
      <c r="CQ426" s="619">
        <f t="shared" si="341"/>
        <v>0</v>
      </c>
      <c r="CR426" s="546">
        <v>5900000000</v>
      </c>
      <c r="CS426" s="546">
        <v>0</v>
      </c>
      <c r="CT426" s="546">
        <v>0</v>
      </c>
      <c r="CU426" s="546">
        <v>0</v>
      </c>
      <c r="CV426" s="546">
        <v>0</v>
      </c>
      <c r="CW426" s="546">
        <v>0</v>
      </c>
      <c r="CX426" s="546">
        <v>0</v>
      </c>
      <c r="CY426" s="546">
        <v>5900000000</v>
      </c>
      <c r="CZ426" s="618">
        <v>0</v>
      </c>
      <c r="DA426" s="618">
        <v>0</v>
      </c>
      <c r="DB426" s="618">
        <v>0</v>
      </c>
      <c r="DC426" s="618">
        <v>0</v>
      </c>
      <c r="DD426" s="618">
        <v>0</v>
      </c>
      <c r="DE426" s="618">
        <v>0</v>
      </c>
      <c r="DF426" s="618">
        <v>0</v>
      </c>
      <c r="DG426" s="618">
        <v>0</v>
      </c>
      <c r="DH426" s="618">
        <v>0</v>
      </c>
      <c r="DI426" s="618">
        <v>0</v>
      </c>
      <c r="DJ426" s="618">
        <v>0</v>
      </c>
      <c r="DK426" s="1034">
        <f t="shared" si="363"/>
        <v>0.5</v>
      </c>
      <c r="DL426" s="543">
        <f t="shared" si="342"/>
        <v>0.16500000000000001</v>
      </c>
      <c r="DM426" s="542">
        <f t="shared" si="343"/>
        <v>50</v>
      </c>
      <c r="DN426" s="594">
        <f t="shared" si="344"/>
        <v>50</v>
      </c>
      <c r="DO426" s="540">
        <f t="shared" si="345"/>
        <v>8.2500000000000004E-2</v>
      </c>
      <c r="DP426" s="597">
        <f t="shared" si="349"/>
        <v>8.2500000000000004E-2</v>
      </c>
      <c r="DQ426" s="538">
        <f t="shared" si="346"/>
        <v>8.2500000000000004E-2</v>
      </c>
      <c r="DR426" s="617">
        <f t="shared" si="347"/>
        <v>1</v>
      </c>
      <c r="DS426" s="616">
        <f t="shared" si="348"/>
        <v>0</v>
      </c>
      <c r="DT426" s="259">
        <v>486</v>
      </c>
      <c r="DU426" s="260" t="s">
        <v>259</v>
      </c>
      <c r="DV426" s="259"/>
      <c r="DW426" s="260" t="s">
        <v>242</v>
      </c>
      <c r="DX426" s="259"/>
      <c r="DY426" s="259"/>
      <c r="DZ426" s="259"/>
      <c r="EA426" s="987"/>
      <c r="EB426" s="1041" t="s">
        <v>2729</v>
      </c>
      <c r="EC426" s="802">
        <v>5900000000</v>
      </c>
      <c r="EE426" s="1047"/>
    </row>
    <row r="427" spans="4:135" s="534" customFormat="1" ht="63.75" hidden="1" x14ac:dyDescent="0.3">
      <c r="D427" s="783">
        <v>424</v>
      </c>
      <c r="E427" s="799">
        <v>494</v>
      </c>
      <c r="F427" s="739" t="s">
        <v>202</v>
      </c>
      <c r="G427" s="739" t="s">
        <v>239</v>
      </c>
      <c r="H427" s="739" t="s">
        <v>154</v>
      </c>
      <c r="I427" s="676" t="s">
        <v>1191</v>
      </c>
      <c r="J427" s="573" t="s">
        <v>1192</v>
      </c>
      <c r="K427" s="573" t="s">
        <v>1193</v>
      </c>
      <c r="L427" s="677" t="s">
        <v>2047</v>
      </c>
      <c r="M427" s="571" t="s">
        <v>2017</v>
      </c>
      <c r="N427" s="575">
        <v>0</v>
      </c>
      <c r="O427" s="570">
        <f t="shared" si="350"/>
        <v>20</v>
      </c>
      <c r="P427" s="663">
        <v>20</v>
      </c>
      <c r="Q427" s="628">
        <v>0.16500000000000001</v>
      </c>
      <c r="R427" s="580">
        <f t="shared" si="326"/>
        <v>1.6500000000000001E-2</v>
      </c>
      <c r="S427" s="657">
        <v>2</v>
      </c>
      <c r="T427" s="575">
        <f t="shared" si="351"/>
        <v>0.1</v>
      </c>
      <c r="U427" s="996">
        <v>6</v>
      </c>
      <c r="V427" s="626">
        <f t="shared" si="352"/>
        <v>6</v>
      </c>
      <c r="W427" s="594">
        <f t="shared" si="353"/>
        <v>300</v>
      </c>
      <c r="X427" s="594">
        <f t="shared" si="327"/>
        <v>100</v>
      </c>
      <c r="Y427" s="594">
        <f t="shared" si="364"/>
        <v>1.6500000000000001E-2</v>
      </c>
      <c r="Z427" s="594">
        <f t="shared" si="328"/>
        <v>100</v>
      </c>
      <c r="AA427" s="653">
        <v>129000000</v>
      </c>
      <c r="AB427" s="653">
        <v>129000000</v>
      </c>
      <c r="AC427" s="653">
        <v>0</v>
      </c>
      <c r="AD427" s="653">
        <v>0</v>
      </c>
      <c r="AE427" s="653">
        <v>0</v>
      </c>
      <c r="AF427" s="653">
        <v>0</v>
      </c>
      <c r="AG427" s="653">
        <v>0</v>
      </c>
      <c r="AH427" s="653">
        <v>0</v>
      </c>
      <c r="AI427" s="653">
        <v>0</v>
      </c>
      <c r="AJ427" s="653">
        <v>0</v>
      </c>
      <c r="AK427" s="653">
        <v>0</v>
      </c>
      <c r="AL427" s="653">
        <v>0</v>
      </c>
      <c r="AM427" s="653">
        <v>0</v>
      </c>
      <c r="AN427" s="653">
        <v>0</v>
      </c>
      <c r="AO427" s="653">
        <v>0</v>
      </c>
      <c r="AP427" s="653">
        <v>0</v>
      </c>
      <c r="AQ427" s="653">
        <v>0</v>
      </c>
      <c r="AR427" s="653">
        <v>0</v>
      </c>
      <c r="AS427" s="653">
        <v>0</v>
      </c>
      <c r="AT427" s="570">
        <f t="shared" si="329"/>
        <v>3.3000000000000002E-2</v>
      </c>
      <c r="AU427" s="571">
        <v>4</v>
      </c>
      <c r="AV427" s="625">
        <f t="shared" si="354"/>
        <v>0.2</v>
      </c>
      <c r="AW427" s="1003">
        <v>2</v>
      </c>
      <c r="AX427" s="604">
        <f t="shared" si="355"/>
        <v>2</v>
      </c>
      <c r="AY427" s="604">
        <f t="shared" si="356"/>
        <v>50</v>
      </c>
      <c r="AZ427" s="604">
        <f t="shared" si="330"/>
        <v>50</v>
      </c>
      <c r="BA427" s="592">
        <f t="shared" si="331"/>
        <v>1.6500000000000001E-2</v>
      </c>
      <c r="BB427" s="592">
        <f t="shared" si="332"/>
        <v>50</v>
      </c>
      <c r="BC427" s="591">
        <v>80000000</v>
      </c>
      <c r="BD427" s="591">
        <v>0</v>
      </c>
      <c r="BE427" s="591">
        <v>80000000</v>
      </c>
      <c r="BF427" s="591">
        <v>0</v>
      </c>
      <c r="BG427" s="591">
        <v>0</v>
      </c>
      <c r="BH427" s="591">
        <v>0</v>
      </c>
      <c r="BI427" s="591">
        <v>0</v>
      </c>
      <c r="BJ427" s="591">
        <v>0</v>
      </c>
      <c r="BK427" s="669">
        <v>80000000</v>
      </c>
      <c r="BL427" s="589">
        <v>80000000</v>
      </c>
      <c r="BM427" s="589">
        <v>0</v>
      </c>
      <c r="BN427" s="589">
        <v>0</v>
      </c>
      <c r="BO427" s="589">
        <v>0</v>
      </c>
      <c r="BP427" s="589">
        <v>0</v>
      </c>
      <c r="BQ427" s="589">
        <v>0</v>
      </c>
      <c r="BR427" s="589">
        <v>0</v>
      </c>
      <c r="BS427" s="589">
        <v>0</v>
      </c>
      <c r="BT427" s="589">
        <v>0</v>
      </c>
      <c r="BU427" s="589">
        <v>0</v>
      </c>
      <c r="BV427" s="588">
        <f t="shared" si="333"/>
        <v>5.7749999999999996E-2</v>
      </c>
      <c r="BW427" s="588">
        <v>7</v>
      </c>
      <c r="BX427" s="623">
        <f t="shared" si="357"/>
        <v>0.35</v>
      </c>
      <c r="BY427" s="639">
        <v>0</v>
      </c>
      <c r="BZ427" s="638">
        <v>24</v>
      </c>
      <c r="CA427" s="1018">
        <v>24</v>
      </c>
      <c r="CB427" s="557">
        <f t="shared" si="358"/>
        <v>24</v>
      </c>
      <c r="CC427" s="557">
        <f t="shared" si="359"/>
        <v>342.85714285714283</v>
      </c>
      <c r="CD427" s="622">
        <f t="shared" si="334"/>
        <v>100</v>
      </c>
      <c r="CE427" s="621">
        <f t="shared" si="335"/>
        <v>5.7749999999999996E-2</v>
      </c>
      <c r="CF427" s="605">
        <f t="shared" si="336"/>
        <v>100</v>
      </c>
      <c r="CG427" s="621">
        <f t="shared" si="337"/>
        <v>0.19799999999999998</v>
      </c>
      <c r="CH427" s="553">
        <f t="shared" si="338"/>
        <v>5.7749999999999996E-2</v>
      </c>
      <c r="CI427" s="552">
        <v>7</v>
      </c>
      <c r="CJ427" s="551">
        <f t="shared" si="360"/>
        <v>0.35</v>
      </c>
      <c r="CK427" s="874">
        <v>0</v>
      </c>
      <c r="CL427" s="533">
        <f t="shared" si="320"/>
        <v>7</v>
      </c>
      <c r="CM427" s="619">
        <f t="shared" si="361"/>
        <v>0</v>
      </c>
      <c r="CN427" s="619">
        <f t="shared" si="362"/>
        <v>0</v>
      </c>
      <c r="CO427" s="549">
        <f t="shared" si="339"/>
        <v>0</v>
      </c>
      <c r="CP427" s="619">
        <f t="shared" si="340"/>
        <v>0</v>
      </c>
      <c r="CQ427" s="619">
        <f t="shared" si="341"/>
        <v>0</v>
      </c>
      <c r="CR427" s="546">
        <v>160000000</v>
      </c>
      <c r="CS427" s="546">
        <v>160000000</v>
      </c>
      <c r="CT427" s="546">
        <v>0</v>
      </c>
      <c r="CU427" s="546">
        <v>0</v>
      </c>
      <c r="CV427" s="546">
        <v>0</v>
      </c>
      <c r="CW427" s="546">
        <v>0</v>
      </c>
      <c r="CX427" s="546">
        <v>0</v>
      </c>
      <c r="CY427" s="546">
        <v>0</v>
      </c>
      <c r="CZ427" s="618">
        <v>0</v>
      </c>
      <c r="DA427" s="618">
        <v>0</v>
      </c>
      <c r="DB427" s="618">
        <v>0</v>
      </c>
      <c r="DC427" s="618">
        <v>0</v>
      </c>
      <c r="DD427" s="618">
        <v>0</v>
      </c>
      <c r="DE427" s="618">
        <v>0</v>
      </c>
      <c r="DF427" s="618">
        <v>0</v>
      </c>
      <c r="DG427" s="618">
        <v>0</v>
      </c>
      <c r="DH427" s="618">
        <v>0</v>
      </c>
      <c r="DI427" s="618">
        <v>0</v>
      </c>
      <c r="DJ427" s="618">
        <v>0</v>
      </c>
      <c r="DK427" s="1034">
        <f t="shared" si="363"/>
        <v>32</v>
      </c>
      <c r="DL427" s="543">
        <f t="shared" si="342"/>
        <v>0.16499999999999998</v>
      </c>
      <c r="DM427" s="542">
        <f t="shared" si="343"/>
        <v>160</v>
      </c>
      <c r="DN427" s="594">
        <f t="shared" si="344"/>
        <v>100</v>
      </c>
      <c r="DO427" s="540">
        <f t="shared" si="345"/>
        <v>0.16500000000000001</v>
      </c>
      <c r="DP427" s="597">
        <f t="shared" si="349"/>
        <v>0.16500000000000001</v>
      </c>
      <c r="DQ427" s="538">
        <f t="shared" si="346"/>
        <v>0.16500000000000001</v>
      </c>
      <c r="DR427" s="617">
        <f t="shared" si="347"/>
        <v>1</v>
      </c>
      <c r="DS427" s="616">
        <f t="shared" si="348"/>
        <v>0</v>
      </c>
      <c r="DT427" s="259">
        <v>486</v>
      </c>
      <c r="DU427" s="260" t="s">
        <v>259</v>
      </c>
      <c r="DV427" s="259"/>
      <c r="DW427" s="260" t="s">
        <v>242</v>
      </c>
      <c r="DX427" s="259"/>
      <c r="DY427" s="259"/>
      <c r="DZ427" s="259"/>
      <c r="EA427" s="987"/>
      <c r="EB427" s="1041" t="s">
        <v>2730</v>
      </c>
      <c r="EC427" s="802">
        <v>160000000</v>
      </c>
      <c r="EE427" s="1047"/>
    </row>
    <row r="428" spans="4:135" s="534" customFormat="1" ht="166.5" hidden="1" customHeight="1" x14ac:dyDescent="0.3">
      <c r="D428" s="783">
        <v>425</v>
      </c>
      <c r="E428" s="799">
        <v>495</v>
      </c>
      <c r="F428" s="574" t="s">
        <v>202</v>
      </c>
      <c r="G428" s="574" t="s">
        <v>239</v>
      </c>
      <c r="H428" s="574" t="s">
        <v>154</v>
      </c>
      <c r="I428" s="574" t="s">
        <v>1191</v>
      </c>
      <c r="J428" s="573" t="s">
        <v>1464</v>
      </c>
      <c r="K428" s="573" t="s">
        <v>1194</v>
      </c>
      <c r="L428" s="677" t="s">
        <v>2047</v>
      </c>
      <c r="M428" s="571" t="s">
        <v>2017</v>
      </c>
      <c r="N428" s="575">
        <v>341</v>
      </c>
      <c r="O428" s="570">
        <f t="shared" si="350"/>
        <v>641</v>
      </c>
      <c r="P428" s="569">
        <v>300</v>
      </c>
      <c r="Q428" s="631">
        <v>0.16500000000000001</v>
      </c>
      <c r="R428" s="580">
        <f t="shared" si="326"/>
        <v>3.3000000000000002E-2</v>
      </c>
      <c r="S428" s="657">
        <v>60</v>
      </c>
      <c r="T428" s="575">
        <f t="shared" si="351"/>
        <v>0.2</v>
      </c>
      <c r="U428" s="996">
        <v>60</v>
      </c>
      <c r="V428" s="626">
        <f t="shared" si="352"/>
        <v>60</v>
      </c>
      <c r="W428" s="594">
        <f t="shared" si="353"/>
        <v>100</v>
      </c>
      <c r="X428" s="594">
        <f t="shared" si="327"/>
        <v>100</v>
      </c>
      <c r="Y428" s="594">
        <f t="shared" si="364"/>
        <v>3.3000000000000002E-2</v>
      </c>
      <c r="Z428" s="594">
        <f t="shared" si="328"/>
        <v>100</v>
      </c>
      <c r="AA428" s="653">
        <v>350000000</v>
      </c>
      <c r="AB428" s="653">
        <v>350000000</v>
      </c>
      <c r="AC428" s="653">
        <v>0</v>
      </c>
      <c r="AD428" s="653">
        <v>0</v>
      </c>
      <c r="AE428" s="653">
        <v>0</v>
      </c>
      <c r="AF428" s="653">
        <v>0</v>
      </c>
      <c r="AG428" s="653">
        <v>0</v>
      </c>
      <c r="AH428" s="653">
        <v>0</v>
      </c>
      <c r="AI428" s="653">
        <v>354600000</v>
      </c>
      <c r="AJ428" s="653">
        <v>354600000</v>
      </c>
      <c r="AK428" s="653">
        <v>0</v>
      </c>
      <c r="AL428" s="653">
        <v>0</v>
      </c>
      <c r="AM428" s="653">
        <v>0</v>
      </c>
      <c r="AN428" s="653">
        <v>0</v>
      </c>
      <c r="AO428" s="653">
        <v>0</v>
      </c>
      <c r="AP428" s="653">
        <v>0</v>
      </c>
      <c r="AQ428" s="653">
        <v>0</v>
      </c>
      <c r="AR428" s="653">
        <v>724652000</v>
      </c>
      <c r="AS428" s="653" t="s">
        <v>2095</v>
      </c>
      <c r="AT428" s="630">
        <f t="shared" si="329"/>
        <v>6.2149999999999997E-2</v>
      </c>
      <c r="AU428" s="571">
        <v>113</v>
      </c>
      <c r="AV428" s="625">
        <f t="shared" si="354"/>
        <v>0.37666666666666665</v>
      </c>
      <c r="AW428" s="1003">
        <v>98</v>
      </c>
      <c r="AX428" s="604">
        <f t="shared" si="355"/>
        <v>98</v>
      </c>
      <c r="AY428" s="604">
        <f t="shared" si="356"/>
        <v>86.725663716814154</v>
      </c>
      <c r="AZ428" s="604">
        <f t="shared" si="330"/>
        <v>86.725663716814154</v>
      </c>
      <c r="BA428" s="592">
        <f t="shared" si="331"/>
        <v>5.3899999999999997E-2</v>
      </c>
      <c r="BB428" s="592">
        <f t="shared" si="332"/>
        <v>86.725663716814154</v>
      </c>
      <c r="BC428" s="591">
        <v>350000000</v>
      </c>
      <c r="BD428" s="591">
        <v>0</v>
      </c>
      <c r="BE428" s="591">
        <v>350000000</v>
      </c>
      <c r="BF428" s="591">
        <v>0</v>
      </c>
      <c r="BG428" s="591">
        <v>0</v>
      </c>
      <c r="BH428" s="591">
        <v>0</v>
      </c>
      <c r="BI428" s="591">
        <v>0</v>
      </c>
      <c r="BJ428" s="591">
        <v>0</v>
      </c>
      <c r="BK428" s="669">
        <v>1657106331</v>
      </c>
      <c r="BL428" s="589">
        <v>1657106331</v>
      </c>
      <c r="BM428" s="589">
        <v>0</v>
      </c>
      <c r="BN428" s="589">
        <v>0</v>
      </c>
      <c r="BO428" s="589">
        <v>0</v>
      </c>
      <c r="BP428" s="589">
        <v>0</v>
      </c>
      <c r="BQ428" s="589">
        <v>0</v>
      </c>
      <c r="BR428" s="589">
        <v>0</v>
      </c>
      <c r="BS428" s="589">
        <v>0</v>
      </c>
      <c r="BT428" s="589">
        <v>0</v>
      </c>
      <c r="BU428" s="589">
        <v>0</v>
      </c>
      <c r="BV428" s="588">
        <f t="shared" si="333"/>
        <v>3.5200000000000002E-2</v>
      </c>
      <c r="BW428" s="588">
        <v>64</v>
      </c>
      <c r="BX428" s="623">
        <f t="shared" si="357"/>
        <v>0.21333333333333335</v>
      </c>
      <c r="BY428" s="607">
        <v>24</v>
      </c>
      <c r="BZ428" s="678">
        <v>24</v>
      </c>
      <c r="CA428" s="1025">
        <v>71</v>
      </c>
      <c r="CB428" s="557">
        <f t="shared" si="358"/>
        <v>71</v>
      </c>
      <c r="CC428" s="557">
        <f t="shared" si="359"/>
        <v>110.9375</v>
      </c>
      <c r="CD428" s="622">
        <f t="shared" si="334"/>
        <v>100</v>
      </c>
      <c r="CE428" s="621">
        <f t="shared" si="335"/>
        <v>3.5200000000000002E-2</v>
      </c>
      <c r="CF428" s="605">
        <f t="shared" si="336"/>
        <v>100</v>
      </c>
      <c r="CG428" s="621">
        <f t="shared" si="337"/>
        <v>3.9050000000000001E-2</v>
      </c>
      <c r="CH428" s="553">
        <f t="shared" si="338"/>
        <v>3.465E-2</v>
      </c>
      <c r="CI428" s="552">
        <v>63</v>
      </c>
      <c r="CJ428" s="551">
        <f t="shared" si="360"/>
        <v>0.21</v>
      </c>
      <c r="CK428" s="874">
        <v>20</v>
      </c>
      <c r="CL428" s="533">
        <f t="shared" si="320"/>
        <v>43</v>
      </c>
      <c r="CM428" s="619">
        <f t="shared" si="361"/>
        <v>20</v>
      </c>
      <c r="CN428" s="619">
        <f t="shared" si="362"/>
        <v>31.746031746031747</v>
      </c>
      <c r="CO428" s="549">
        <f t="shared" si="339"/>
        <v>31.746031746031747</v>
      </c>
      <c r="CP428" s="619">
        <f t="shared" si="340"/>
        <v>1.1000000000000001E-2</v>
      </c>
      <c r="CQ428" s="619">
        <f t="shared" si="341"/>
        <v>1.1000000000000001E-2</v>
      </c>
      <c r="CR428" s="546">
        <v>850000000</v>
      </c>
      <c r="CS428" s="546">
        <v>850000000</v>
      </c>
      <c r="CT428" s="546">
        <v>0</v>
      </c>
      <c r="CU428" s="546">
        <v>0</v>
      </c>
      <c r="CV428" s="546">
        <v>0</v>
      </c>
      <c r="CW428" s="546">
        <v>0</v>
      </c>
      <c r="CX428" s="546">
        <v>0</v>
      </c>
      <c r="CY428" s="546">
        <v>0</v>
      </c>
      <c r="CZ428" s="618">
        <v>0</v>
      </c>
      <c r="DA428" s="618">
        <v>0</v>
      </c>
      <c r="DB428" s="618">
        <v>0</v>
      </c>
      <c r="DC428" s="618">
        <v>0</v>
      </c>
      <c r="DD428" s="618">
        <v>0</v>
      </c>
      <c r="DE428" s="618">
        <v>0</v>
      </c>
      <c r="DF428" s="618">
        <v>0</v>
      </c>
      <c r="DG428" s="618">
        <v>0</v>
      </c>
      <c r="DH428" s="618">
        <v>0</v>
      </c>
      <c r="DI428" s="618">
        <v>0</v>
      </c>
      <c r="DJ428" s="618">
        <v>0</v>
      </c>
      <c r="DK428" s="1034">
        <f t="shared" si="363"/>
        <v>249</v>
      </c>
      <c r="DL428" s="543">
        <f t="shared" si="342"/>
        <v>0.16499999999999998</v>
      </c>
      <c r="DM428" s="542">
        <f t="shared" si="343"/>
        <v>83</v>
      </c>
      <c r="DN428" s="594">
        <f t="shared" si="344"/>
        <v>83</v>
      </c>
      <c r="DO428" s="540">
        <f t="shared" si="345"/>
        <v>0.13695000000000002</v>
      </c>
      <c r="DP428" s="597">
        <f t="shared" si="349"/>
        <v>0.13695000000000002</v>
      </c>
      <c r="DQ428" s="538">
        <f t="shared" si="346"/>
        <v>0.13695000000000002</v>
      </c>
      <c r="DR428" s="617">
        <f t="shared" si="347"/>
        <v>1</v>
      </c>
      <c r="DS428" s="616">
        <f t="shared" si="348"/>
        <v>0</v>
      </c>
      <c r="DT428" s="259">
        <v>486</v>
      </c>
      <c r="DU428" s="260" t="s">
        <v>259</v>
      </c>
      <c r="DV428" s="259"/>
      <c r="DW428" s="260" t="s">
        <v>242</v>
      </c>
      <c r="DX428" s="259"/>
      <c r="DY428" s="259"/>
      <c r="DZ428" s="259"/>
      <c r="EA428" s="987"/>
      <c r="EB428" s="1041" t="s">
        <v>2731</v>
      </c>
      <c r="EC428" s="802">
        <v>850000000</v>
      </c>
      <c r="EE428" s="1047"/>
    </row>
    <row r="429" spans="4:135" s="534" customFormat="1" ht="89.25" hidden="1" x14ac:dyDescent="0.3">
      <c r="D429" s="783">
        <v>426</v>
      </c>
      <c r="E429" s="799">
        <v>496</v>
      </c>
      <c r="F429" s="739" t="s">
        <v>202</v>
      </c>
      <c r="G429" s="739" t="s">
        <v>239</v>
      </c>
      <c r="H429" s="739" t="s">
        <v>154</v>
      </c>
      <c r="I429" s="676" t="s">
        <v>1191</v>
      </c>
      <c r="J429" s="573" t="s">
        <v>1195</v>
      </c>
      <c r="K429" s="573" t="s">
        <v>1196</v>
      </c>
      <c r="L429" s="677" t="s">
        <v>2094</v>
      </c>
      <c r="M429" s="571" t="s">
        <v>2017</v>
      </c>
      <c r="N429" s="575">
        <v>0</v>
      </c>
      <c r="O429" s="570">
        <f t="shared" si="350"/>
        <v>8</v>
      </c>
      <c r="P429" s="663">
        <v>8</v>
      </c>
      <c r="Q429" s="628">
        <v>0.16500000000000001</v>
      </c>
      <c r="R429" s="580">
        <f t="shared" si="326"/>
        <v>0</v>
      </c>
      <c r="S429" s="657">
        <v>0</v>
      </c>
      <c r="T429" s="575">
        <f t="shared" si="351"/>
        <v>0</v>
      </c>
      <c r="U429" s="996">
        <v>1</v>
      </c>
      <c r="V429" s="626">
        <f t="shared" si="352"/>
        <v>1</v>
      </c>
      <c r="W429" s="594">
        <f t="shared" si="353"/>
        <v>0</v>
      </c>
      <c r="X429" s="594">
        <f t="shared" si="327"/>
        <v>0</v>
      </c>
      <c r="Y429" s="594">
        <f t="shared" si="364"/>
        <v>0</v>
      </c>
      <c r="Z429" s="594">
        <f t="shared" si="328"/>
        <v>100</v>
      </c>
      <c r="AA429" s="653">
        <v>69000000</v>
      </c>
      <c r="AB429" s="653">
        <v>69000000</v>
      </c>
      <c r="AC429" s="653">
        <v>0</v>
      </c>
      <c r="AD429" s="653">
        <v>0</v>
      </c>
      <c r="AE429" s="653">
        <v>0</v>
      </c>
      <c r="AF429" s="653">
        <v>0</v>
      </c>
      <c r="AG429" s="653">
        <v>0</v>
      </c>
      <c r="AH429" s="653">
        <v>0</v>
      </c>
      <c r="AI429" s="653">
        <v>50600000</v>
      </c>
      <c r="AJ429" s="653">
        <v>50600000</v>
      </c>
      <c r="AK429" s="653">
        <v>0</v>
      </c>
      <c r="AL429" s="653">
        <v>0</v>
      </c>
      <c r="AM429" s="653">
        <v>0</v>
      </c>
      <c r="AN429" s="653">
        <v>0</v>
      </c>
      <c r="AO429" s="653">
        <v>0</v>
      </c>
      <c r="AP429" s="653">
        <v>0</v>
      </c>
      <c r="AQ429" s="653">
        <v>0</v>
      </c>
      <c r="AR429" s="653">
        <v>26500000</v>
      </c>
      <c r="AS429" s="653" t="s">
        <v>2093</v>
      </c>
      <c r="AT429" s="570">
        <f t="shared" si="329"/>
        <v>4.1250000000000002E-2</v>
      </c>
      <c r="AU429" s="571">
        <v>2</v>
      </c>
      <c r="AV429" s="625">
        <f t="shared" si="354"/>
        <v>0.25</v>
      </c>
      <c r="AW429" s="1003">
        <v>11</v>
      </c>
      <c r="AX429" s="604">
        <f t="shared" si="355"/>
        <v>11</v>
      </c>
      <c r="AY429" s="604">
        <f t="shared" si="356"/>
        <v>550</v>
      </c>
      <c r="AZ429" s="604">
        <f t="shared" si="330"/>
        <v>100</v>
      </c>
      <c r="BA429" s="592">
        <f t="shared" si="331"/>
        <v>4.1250000000000002E-2</v>
      </c>
      <c r="BB429" s="592">
        <f t="shared" si="332"/>
        <v>100</v>
      </c>
      <c r="BC429" s="591">
        <v>1000000000</v>
      </c>
      <c r="BD429" s="591">
        <v>0</v>
      </c>
      <c r="BE429" s="591">
        <v>1000000000</v>
      </c>
      <c r="BF429" s="591">
        <v>0</v>
      </c>
      <c r="BG429" s="591">
        <v>0</v>
      </c>
      <c r="BH429" s="591">
        <v>0</v>
      </c>
      <c r="BI429" s="591">
        <v>0</v>
      </c>
      <c r="BJ429" s="591">
        <v>0</v>
      </c>
      <c r="BK429" s="669">
        <v>567006406</v>
      </c>
      <c r="BL429" s="589">
        <v>567006406</v>
      </c>
      <c r="BM429" s="589">
        <v>0</v>
      </c>
      <c r="BN429" s="589">
        <v>0</v>
      </c>
      <c r="BO429" s="589">
        <v>0</v>
      </c>
      <c r="BP429" s="589">
        <v>0</v>
      </c>
      <c r="BQ429" s="589">
        <v>0</v>
      </c>
      <c r="BR429" s="589">
        <v>0</v>
      </c>
      <c r="BS429" s="589">
        <v>0</v>
      </c>
      <c r="BT429" s="589">
        <v>0</v>
      </c>
      <c r="BU429" s="589">
        <v>0</v>
      </c>
      <c r="BV429" s="588">
        <f t="shared" si="333"/>
        <v>6.1874999999999999E-2</v>
      </c>
      <c r="BW429" s="588">
        <v>3</v>
      </c>
      <c r="BX429" s="623">
        <f t="shared" si="357"/>
        <v>0.375</v>
      </c>
      <c r="BY429" s="607">
        <v>1</v>
      </c>
      <c r="BZ429" s="629">
        <v>1</v>
      </c>
      <c r="CA429" s="1017">
        <v>7</v>
      </c>
      <c r="CB429" s="557">
        <f t="shared" si="358"/>
        <v>7</v>
      </c>
      <c r="CC429" s="557">
        <f t="shared" si="359"/>
        <v>233.33333333333334</v>
      </c>
      <c r="CD429" s="622">
        <f t="shared" si="334"/>
        <v>100</v>
      </c>
      <c r="CE429" s="621">
        <f t="shared" si="335"/>
        <v>6.1874999999999999E-2</v>
      </c>
      <c r="CF429" s="605">
        <f t="shared" si="336"/>
        <v>100</v>
      </c>
      <c r="CG429" s="621">
        <f t="shared" si="337"/>
        <v>0.144375</v>
      </c>
      <c r="CH429" s="553">
        <f t="shared" si="338"/>
        <v>6.1874999999999999E-2</v>
      </c>
      <c r="CI429" s="552">
        <v>3</v>
      </c>
      <c r="CJ429" s="551">
        <f t="shared" si="360"/>
        <v>0.375</v>
      </c>
      <c r="CK429" s="874">
        <v>0</v>
      </c>
      <c r="CL429" s="533">
        <f t="shared" si="320"/>
        <v>3</v>
      </c>
      <c r="CM429" s="619">
        <f t="shared" si="361"/>
        <v>0</v>
      </c>
      <c r="CN429" s="619">
        <f t="shared" si="362"/>
        <v>0</v>
      </c>
      <c r="CO429" s="549">
        <f t="shared" si="339"/>
        <v>0</v>
      </c>
      <c r="CP429" s="619">
        <f t="shared" si="340"/>
        <v>0</v>
      </c>
      <c r="CQ429" s="619">
        <f t="shared" si="341"/>
        <v>0</v>
      </c>
      <c r="CR429" s="546">
        <v>3350000000</v>
      </c>
      <c r="CS429" s="546">
        <v>3350000000</v>
      </c>
      <c r="CT429" s="546">
        <v>0</v>
      </c>
      <c r="CU429" s="546">
        <v>0</v>
      </c>
      <c r="CV429" s="546">
        <v>0</v>
      </c>
      <c r="CW429" s="546">
        <v>0</v>
      </c>
      <c r="CX429" s="546">
        <v>0</v>
      </c>
      <c r="CY429" s="546">
        <v>0</v>
      </c>
      <c r="CZ429" s="618">
        <v>0</v>
      </c>
      <c r="DA429" s="618">
        <v>0</v>
      </c>
      <c r="DB429" s="618">
        <v>0</v>
      </c>
      <c r="DC429" s="618">
        <v>0</v>
      </c>
      <c r="DD429" s="618">
        <v>0</v>
      </c>
      <c r="DE429" s="618">
        <v>0</v>
      </c>
      <c r="DF429" s="618">
        <v>0</v>
      </c>
      <c r="DG429" s="618">
        <v>0</v>
      </c>
      <c r="DH429" s="618">
        <v>0</v>
      </c>
      <c r="DI429" s="618">
        <v>0</v>
      </c>
      <c r="DJ429" s="618">
        <v>0</v>
      </c>
      <c r="DK429" s="1034">
        <f t="shared" si="363"/>
        <v>19</v>
      </c>
      <c r="DL429" s="543">
        <f t="shared" si="342"/>
        <v>0.16499999999999998</v>
      </c>
      <c r="DM429" s="542">
        <f t="shared" si="343"/>
        <v>237.5</v>
      </c>
      <c r="DN429" s="594">
        <f t="shared" si="344"/>
        <v>100</v>
      </c>
      <c r="DO429" s="540">
        <f t="shared" si="345"/>
        <v>0.16500000000000001</v>
      </c>
      <c r="DP429" s="597">
        <f t="shared" si="349"/>
        <v>0.16500000000000001</v>
      </c>
      <c r="DQ429" s="538">
        <f t="shared" si="346"/>
        <v>0.16500000000000001</v>
      </c>
      <c r="DR429" s="617">
        <f t="shared" si="347"/>
        <v>1</v>
      </c>
      <c r="DS429" s="616">
        <f t="shared" si="348"/>
        <v>0</v>
      </c>
      <c r="DT429" s="259">
        <v>486</v>
      </c>
      <c r="DU429" s="260" t="s">
        <v>259</v>
      </c>
      <c r="DV429" s="259"/>
      <c r="DW429" s="260" t="s">
        <v>242</v>
      </c>
      <c r="DX429" s="259"/>
      <c r="DY429" s="259"/>
      <c r="DZ429" s="259"/>
      <c r="EA429" s="987"/>
      <c r="EB429" s="1041" t="s">
        <v>2732</v>
      </c>
      <c r="EC429" s="802">
        <v>3500000000</v>
      </c>
      <c r="EE429" s="1047"/>
    </row>
    <row r="430" spans="4:135" s="534" customFormat="1" ht="102" hidden="1" x14ac:dyDescent="0.3">
      <c r="D430" s="783">
        <v>427</v>
      </c>
      <c r="E430" s="799">
        <v>498</v>
      </c>
      <c r="F430" s="739" t="s">
        <v>202</v>
      </c>
      <c r="G430" s="796" t="s">
        <v>18</v>
      </c>
      <c r="H430" s="796" t="s">
        <v>155</v>
      </c>
      <c r="I430" s="676" t="s">
        <v>1197</v>
      </c>
      <c r="J430" s="573" t="s">
        <v>1198</v>
      </c>
      <c r="K430" s="573" t="s">
        <v>1199</v>
      </c>
      <c r="L430" s="675" t="s">
        <v>2090</v>
      </c>
      <c r="M430" s="670" t="s">
        <v>2017</v>
      </c>
      <c r="N430" s="671">
        <v>0</v>
      </c>
      <c r="O430" s="570">
        <f t="shared" si="350"/>
        <v>2</v>
      </c>
      <c r="P430" s="674">
        <v>2</v>
      </c>
      <c r="Q430" s="628">
        <v>0.16500000000000001</v>
      </c>
      <c r="R430" s="580">
        <f t="shared" si="326"/>
        <v>0</v>
      </c>
      <c r="S430" s="673">
        <v>0</v>
      </c>
      <c r="T430" s="575">
        <f t="shared" si="351"/>
        <v>0</v>
      </c>
      <c r="U430" s="999">
        <v>0</v>
      </c>
      <c r="V430" s="626">
        <f t="shared" si="352"/>
        <v>0</v>
      </c>
      <c r="W430" s="594">
        <f t="shared" si="353"/>
        <v>0</v>
      </c>
      <c r="X430" s="594">
        <f t="shared" si="327"/>
        <v>0</v>
      </c>
      <c r="Y430" s="594">
        <f t="shared" si="364"/>
        <v>0</v>
      </c>
      <c r="Z430" s="594">
        <f t="shared" si="328"/>
        <v>0</v>
      </c>
      <c r="AA430" s="672">
        <v>3000000000</v>
      </c>
      <c r="AB430" s="672">
        <v>0</v>
      </c>
      <c r="AC430" s="672">
        <v>0</v>
      </c>
      <c r="AD430" s="672">
        <v>0</v>
      </c>
      <c r="AE430" s="672">
        <v>0</v>
      </c>
      <c r="AF430" s="672">
        <v>3000000000</v>
      </c>
      <c r="AG430" s="672">
        <v>0</v>
      </c>
      <c r="AH430" s="672">
        <v>0</v>
      </c>
      <c r="AI430" s="671">
        <v>0</v>
      </c>
      <c r="AJ430" s="671">
        <v>0</v>
      </c>
      <c r="AK430" s="671">
        <v>0</v>
      </c>
      <c r="AL430" s="671">
        <v>0</v>
      </c>
      <c r="AM430" s="671">
        <v>0</v>
      </c>
      <c r="AN430" s="671">
        <v>0</v>
      </c>
      <c r="AO430" s="671">
        <v>0</v>
      </c>
      <c r="AP430" s="671">
        <v>0</v>
      </c>
      <c r="AQ430" s="671">
        <v>0</v>
      </c>
      <c r="AR430" s="671">
        <v>0</v>
      </c>
      <c r="AS430" s="671">
        <v>0</v>
      </c>
      <c r="AT430" s="570">
        <f t="shared" si="329"/>
        <v>5.7749999999999996E-2</v>
      </c>
      <c r="AU430" s="670">
        <v>0.7</v>
      </c>
      <c r="AV430" s="625">
        <f t="shared" si="354"/>
        <v>0.35</v>
      </c>
      <c r="AW430" s="1003">
        <v>0.7</v>
      </c>
      <c r="AX430" s="604">
        <f t="shared" si="355"/>
        <v>0.7</v>
      </c>
      <c r="AY430" s="604">
        <f t="shared" si="356"/>
        <v>100</v>
      </c>
      <c r="AZ430" s="604">
        <f t="shared" si="330"/>
        <v>100</v>
      </c>
      <c r="BA430" s="592">
        <f t="shared" si="331"/>
        <v>5.7749999999999996E-2</v>
      </c>
      <c r="BB430" s="592">
        <f t="shared" si="332"/>
        <v>100</v>
      </c>
      <c r="BC430" s="591">
        <v>507000000</v>
      </c>
      <c r="BD430" s="591">
        <v>0</v>
      </c>
      <c r="BE430" s="591">
        <v>245000000</v>
      </c>
      <c r="BF430" s="591">
        <v>0</v>
      </c>
      <c r="BG430" s="591">
        <v>0</v>
      </c>
      <c r="BH430" s="591">
        <v>0</v>
      </c>
      <c r="BI430" s="591">
        <v>0</v>
      </c>
      <c r="BJ430" s="591">
        <v>262000000</v>
      </c>
      <c r="BK430" s="669">
        <v>250987533</v>
      </c>
      <c r="BL430" s="589">
        <v>250987533</v>
      </c>
      <c r="BM430" s="589">
        <v>0</v>
      </c>
      <c r="BN430" s="589">
        <v>0</v>
      </c>
      <c r="BO430" s="589">
        <v>0</v>
      </c>
      <c r="BP430" s="589">
        <v>0</v>
      </c>
      <c r="BQ430" s="589">
        <v>0</v>
      </c>
      <c r="BR430" s="589">
        <v>0</v>
      </c>
      <c r="BS430" s="589">
        <v>0</v>
      </c>
      <c r="BT430" s="589">
        <v>201717168</v>
      </c>
      <c r="BU430" s="589" t="s">
        <v>2092</v>
      </c>
      <c r="BV430" s="588">
        <f t="shared" si="333"/>
        <v>5.7749999999999996E-2</v>
      </c>
      <c r="BW430" s="588">
        <v>0.7</v>
      </c>
      <c r="BX430" s="623">
        <f t="shared" si="357"/>
        <v>0.35</v>
      </c>
      <c r="BY430" s="607">
        <v>1</v>
      </c>
      <c r="BZ430" s="629">
        <v>1</v>
      </c>
      <c r="CA430" s="1017">
        <v>1</v>
      </c>
      <c r="CB430" s="557">
        <f t="shared" si="358"/>
        <v>1</v>
      </c>
      <c r="CC430" s="557">
        <f t="shared" si="359"/>
        <v>142.85714285714286</v>
      </c>
      <c r="CD430" s="622">
        <f t="shared" si="334"/>
        <v>100</v>
      </c>
      <c r="CE430" s="621">
        <f t="shared" si="335"/>
        <v>5.7749999999999996E-2</v>
      </c>
      <c r="CF430" s="605">
        <f t="shared" si="336"/>
        <v>100</v>
      </c>
      <c r="CG430" s="621">
        <f t="shared" si="337"/>
        <v>8.2500000000000004E-2</v>
      </c>
      <c r="CH430" s="553">
        <f t="shared" si="338"/>
        <v>4.9500000000000002E-2</v>
      </c>
      <c r="CI430" s="552">
        <v>0.6</v>
      </c>
      <c r="CJ430" s="551">
        <f t="shared" si="360"/>
        <v>0.3</v>
      </c>
      <c r="CK430" s="871">
        <v>0.3</v>
      </c>
      <c r="CL430" s="533">
        <f t="shared" si="320"/>
        <v>0.3</v>
      </c>
      <c r="CM430" s="619">
        <f t="shared" si="361"/>
        <v>0.3</v>
      </c>
      <c r="CN430" s="619">
        <f t="shared" si="362"/>
        <v>50</v>
      </c>
      <c r="CO430" s="549">
        <f t="shared" si="339"/>
        <v>50</v>
      </c>
      <c r="CP430" s="619">
        <f t="shared" si="340"/>
        <v>2.4750000000000001E-2</v>
      </c>
      <c r="CQ430" s="619">
        <f t="shared" si="341"/>
        <v>2.4750000000000001E-2</v>
      </c>
      <c r="CR430" s="546">
        <v>830000000</v>
      </c>
      <c r="CS430" s="546">
        <v>566000000</v>
      </c>
      <c r="CT430" s="546">
        <v>0</v>
      </c>
      <c r="CU430" s="546">
        <v>0</v>
      </c>
      <c r="CV430" s="546">
        <v>0</v>
      </c>
      <c r="CW430" s="546">
        <v>0</v>
      </c>
      <c r="CX430" s="546">
        <v>0</v>
      </c>
      <c r="CY430" s="546">
        <v>264000000</v>
      </c>
      <c r="CZ430" s="618">
        <v>0</v>
      </c>
      <c r="DA430" s="618">
        <v>0</v>
      </c>
      <c r="DB430" s="618">
        <v>0</v>
      </c>
      <c r="DC430" s="618">
        <v>0</v>
      </c>
      <c r="DD430" s="618">
        <v>0</v>
      </c>
      <c r="DE430" s="618">
        <v>0</v>
      </c>
      <c r="DF430" s="618">
        <v>0</v>
      </c>
      <c r="DG430" s="618">
        <v>0</v>
      </c>
      <c r="DH430" s="618">
        <v>0</v>
      </c>
      <c r="DI430" s="618">
        <v>0</v>
      </c>
      <c r="DJ430" s="618">
        <v>0</v>
      </c>
      <c r="DK430" s="1034">
        <f t="shared" si="363"/>
        <v>2</v>
      </c>
      <c r="DL430" s="543">
        <f t="shared" si="342"/>
        <v>0.16499999999999998</v>
      </c>
      <c r="DM430" s="542">
        <f t="shared" si="343"/>
        <v>100</v>
      </c>
      <c r="DN430" s="594">
        <f t="shared" si="344"/>
        <v>100</v>
      </c>
      <c r="DO430" s="540">
        <f t="shared" si="345"/>
        <v>0.16500000000000001</v>
      </c>
      <c r="DP430" s="597">
        <f t="shared" si="349"/>
        <v>0.16500000000000001</v>
      </c>
      <c r="DQ430" s="538">
        <f t="shared" si="346"/>
        <v>0.16500000000000001</v>
      </c>
      <c r="DR430" s="617">
        <f t="shared" si="347"/>
        <v>1</v>
      </c>
      <c r="DS430" s="616">
        <f t="shared" si="348"/>
        <v>0</v>
      </c>
      <c r="DT430" s="259">
        <v>327</v>
      </c>
      <c r="DU430" s="260" t="s">
        <v>274</v>
      </c>
      <c r="DV430" s="259">
        <v>497</v>
      </c>
      <c r="DW430" s="260" t="s">
        <v>258</v>
      </c>
      <c r="DX430" s="259"/>
      <c r="DY430" s="259"/>
      <c r="DZ430" s="259"/>
      <c r="EA430" s="987"/>
      <c r="EB430" s="1041" t="s">
        <v>2733</v>
      </c>
      <c r="EC430" s="802">
        <v>828000000</v>
      </c>
      <c r="EE430" s="1047"/>
    </row>
    <row r="431" spans="4:135" s="534" customFormat="1" ht="216.75" hidden="1" x14ac:dyDescent="0.3">
      <c r="D431" s="783">
        <v>428</v>
      </c>
      <c r="E431" s="799">
        <v>499</v>
      </c>
      <c r="F431" s="574" t="s">
        <v>202</v>
      </c>
      <c r="G431" s="574" t="s">
        <v>18</v>
      </c>
      <c r="H431" s="574" t="s">
        <v>155</v>
      </c>
      <c r="I431" s="574" t="s">
        <v>1200</v>
      </c>
      <c r="J431" s="573" t="s">
        <v>1465</v>
      </c>
      <c r="K431" s="573" t="s">
        <v>1201</v>
      </c>
      <c r="L431" s="675" t="s">
        <v>2090</v>
      </c>
      <c r="M431" s="670" t="s">
        <v>2017</v>
      </c>
      <c r="N431" s="671">
        <v>1</v>
      </c>
      <c r="O431" s="570">
        <f t="shared" si="350"/>
        <v>11</v>
      </c>
      <c r="P431" s="674">
        <v>10</v>
      </c>
      <c r="Q431" s="631">
        <v>0.25</v>
      </c>
      <c r="R431" s="580">
        <f t="shared" si="326"/>
        <v>0.1</v>
      </c>
      <c r="S431" s="673">
        <v>4</v>
      </c>
      <c r="T431" s="575">
        <f t="shared" ref="T431:T462" si="365">IF($M431="M",0.25,(IF($P431&gt;0,S431/$P431," ")))</f>
        <v>0.4</v>
      </c>
      <c r="U431" s="999">
        <v>4</v>
      </c>
      <c r="V431" s="626">
        <f t="shared" ref="V431:V461" si="366">+IF(M431="I",(+U431),IF(M431="M",(+U431)/4,))</f>
        <v>4</v>
      </c>
      <c r="W431" s="594">
        <f t="shared" ref="W431:W462" si="367">IF(S431=0,0,+U431*100/S431)</f>
        <v>100</v>
      </c>
      <c r="X431" s="594">
        <f t="shared" si="327"/>
        <v>100</v>
      </c>
      <c r="Y431" s="594">
        <f t="shared" si="364"/>
        <v>0.1</v>
      </c>
      <c r="Z431" s="594">
        <f t="shared" si="328"/>
        <v>100</v>
      </c>
      <c r="AA431" s="672">
        <v>8493000000</v>
      </c>
      <c r="AB431" s="672">
        <v>4693000000</v>
      </c>
      <c r="AC431" s="672">
        <v>0</v>
      </c>
      <c r="AD431" s="672">
        <v>0</v>
      </c>
      <c r="AE431" s="672">
        <v>0</v>
      </c>
      <c r="AF431" s="672">
        <v>3800000000</v>
      </c>
      <c r="AG431" s="672">
        <v>0</v>
      </c>
      <c r="AH431" s="672">
        <v>0</v>
      </c>
      <c r="AI431" s="671">
        <v>0</v>
      </c>
      <c r="AJ431" s="671">
        <v>0</v>
      </c>
      <c r="AK431" s="671">
        <v>0</v>
      </c>
      <c r="AL431" s="671">
        <v>0</v>
      </c>
      <c r="AM431" s="671">
        <v>0</v>
      </c>
      <c r="AN431" s="671">
        <v>0</v>
      </c>
      <c r="AO431" s="671">
        <v>0</v>
      </c>
      <c r="AP431" s="671">
        <v>0</v>
      </c>
      <c r="AQ431" s="671">
        <v>0</v>
      </c>
      <c r="AR431" s="671">
        <v>0</v>
      </c>
      <c r="AS431" s="671">
        <v>0</v>
      </c>
      <c r="AT431" s="630">
        <f t="shared" si="329"/>
        <v>0.1</v>
      </c>
      <c r="AU431" s="670">
        <v>4</v>
      </c>
      <c r="AV431" s="625">
        <f t="shared" ref="AV431:AV462" si="368">IF($M431="M",0.25,(IF($P431&gt;0,AU431/$P431," ")))</f>
        <v>0.4</v>
      </c>
      <c r="AW431" s="1003">
        <v>4</v>
      </c>
      <c r="AX431" s="604">
        <f t="shared" ref="AX431:AX462" si="369">+IF(M431="I",(+AW431),IF(M431="M",(+AW431)/4,))</f>
        <v>4</v>
      </c>
      <c r="AY431" s="604">
        <f t="shared" ref="AY431:AY462" si="370">IF(AU431=0,0,+AW431*100/AU431)</f>
        <v>100</v>
      </c>
      <c r="AZ431" s="604">
        <f t="shared" si="330"/>
        <v>100</v>
      </c>
      <c r="BA431" s="592">
        <f t="shared" si="331"/>
        <v>0.1</v>
      </c>
      <c r="BB431" s="592">
        <f t="shared" si="332"/>
        <v>100</v>
      </c>
      <c r="BC431" s="591">
        <v>1937000000</v>
      </c>
      <c r="BD431" s="591">
        <v>0</v>
      </c>
      <c r="BE431" s="591">
        <v>650000000</v>
      </c>
      <c r="BF431" s="591">
        <v>0</v>
      </c>
      <c r="BG431" s="591">
        <v>0</v>
      </c>
      <c r="BH431" s="591">
        <v>0</v>
      </c>
      <c r="BI431" s="591">
        <v>0</v>
      </c>
      <c r="BJ431" s="591">
        <v>1287000000</v>
      </c>
      <c r="BK431" s="669">
        <v>5852267060</v>
      </c>
      <c r="BL431" s="589">
        <v>2278085572</v>
      </c>
      <c r="BM431" s="589">
        <v>0</v>
      </c>
      <c r="BN431" s="589">
        <v>0</v>
      </c>
      <c r="BO431" s="589">
        <v>70000000</v>
      </c>
      <c r="BP431" s="589">
        <v>3504181488</v>
      </c>
      <c r="BQ431" s="589">
        <v>0</v>
      </c>
      <c r="BR431" s="589">
        <v>0</v>
      </c>
      <c r="BS431" s="589">
        <v>0</v>
      </c>
      <c r="BT431" s="589">
        <v>271459841</v>
      </c>
      <c r="BU431" s="589" t="s">
        <v>2091</v>
      </c>
      <c r="BV431" s="588">
        <f t="shared" si="333"/>
        <v>2.5000000000000001E-2</v>
      </c>
      <c r="BW431" s="588">
        <v>1</v>
      </c>
      <c r="BX431" s="623">
        <f t="shared" ref="BX431:BX462" si="371">IF($M431="M",0.25,(IF($P431&gt;0,BW431/$P431," ")))</f>
        <v>0.1</v>
      </c>
      <c r="BY431" s="607">
        <v>1</v>
      </c>
      <c r="BZ431" s="629">
        <v>1</v>
      </c>
      <c r="CA431" s="1017" t="s">
        <v>1503</v>
      </c>
      <c r="CB431" s="557" t="str">
        <f t="shared" ref="CB431:CB462" si="372">+IF(M431="I",(+CA431),IF(M431="M",(+CA431)/4,))</f>
        <v>1</v>
      </c>
      <c r="CC431" s="557">
        <f t="shared" ref="CC431:CC462" si="373">IF(BW431=0,0,+CA431*100/BW431)</f>
        <v>100</v>
      </c>
      <c r="CD431" s="622">
        <f t="shared" si="334"/>
        <v>100</v>
      </c>
      <c r="CE431" s="621">
        <f t="shared" si="335"/>
        <v>2.5000000000000001E-2</v>
      </c>
      <c r="CF431" s="605">
        <f t="shared" si="336"/>
        <v>100</v>
      </c>
      <c r="CG431" s="621">
        <f t="shared" si="337"/>
        <v>2.5000000000000001E-2</v>
      </c>
      <c r="CH431" s="553">
        <f t="shared" si="338"/>
        <v>2.5000000000000001E-2</v>
      </c>
      <c r="CI431" s="552">
        <v>1</v>
      </c>
      <c r="CJ431" s="551">
        <f t="shared" ref="CJ431:CJ462" si="374">IF($M431="M",0.25,(IF($P431&gt;0,CI431/$P431," ")))</f>
        <v>0.1</v>
      </c>
      <c r="CK431" s="871">
        <v>2</v>
      </c>
      <c r="CL431" s="533">
        <f t="shared" si="320"/>
        <v>-1</v>
      </c>
      <c r="CM431" s="619">
        <f t="shared" ref="CM431:CM462" si="375">+IF(M431="I",(+CK431),IF(M431="M",(+CK431)/4,))</f>
        <v>2</v>
      </c>
      <c r="CN431" s="619">
        <f t="shared" ref="CN431:CN462" si="376">IF(CI431=0,0,+CK431*100/CI431)</f>
        <v>200</v>
      </c>
      <c r="CO431" s="549">
        <f t="shared" si="339"/>
        <v>100</v>
      </c>
      <c r="CP431" s="619">
        <f t="shared" si="340"/>
        <v>2.5000000000000001E-2</v>
      </c>
      <c r="CQ431" s="619">
        <f t="shared" si="341"/>
        <v>0.05</v>
      </c>
      <c r="CR431" s="546">
        <v>2789000000</v>
      </c>
      <c r="CS431" s="546">
        <v>1500000000</v>
      </c>
      <c r="CT431" s="546">
        <v>0</v>
      </c>
      <c r="CU431" s="546">
        <v>0</v>
      </c>
      <c r="CV431" s="546">
        <v>0</v>
      </c>
      <c r="CW431" s="546">
        <v>0</v>
      </c>
      <c r="CX431" s="546">
        <v>0</v>
      </c>
      <c r="CY431" s="546">
        <v>1289000000</v>
      </c>
      <c r="CZ431" s="618">
        <v>0</v>
      </c>
      <c r="DA431" s="618">
        <v>0</v>
      </c>
      <c r="DB431" s="618">
        <v>0</v>
      </c>
      <c r="DC431" s="618">
        <v>0</v>
      </c>
      <c r="DD431" s="618">
        <v>0</v>
      </c>
      <c r="DE431" s="618">
        <v>0</v>
      </c>
      <c r="DF431" s="618">
        <v>0</v>
      </c>
      <c r="DG431" s="618">
        <v>0</v>
      </c>
      <c r="DH431" s="618">
        <v>0</v>
      </c>
      <c r="DI431" s="618">
        <v>0</v>
      </c>
      <c r="DJ431" s="618">
        <v>0</v>
      </c>
      <c r="DK431" s="1034">
        <f t="shared" ref="DK431:DK462" si="377">+IF(M431="I",(+U431+AW431+CA431+CK431),IF(M431="M",(+U431+AW431+CA431+CK431)/4,))</f>
        <v>11</v>
      </c>
      <c r="DL431" s="543">
        <f t="shared" si="342"/>
        <v>0.25</v>
      </c>
      <c r="DM431" s="542">
        <f t="shared" si="343"/>
        <v>110</v>
      </c>
      <c r="DN431" s="594">
        <f t="shared" si="344"/>
        <v>100</v>
      </c>
      <c r="DO431" s="540">
        <f t="shared" si="345"/>
        <v>0.25</v>
      </c>
      <c r="DP431" s="597">
        <f t="shared" si="349"/>
        <v>0.25</v>
      </c>
      <c r="DQ431" s="538">
        <f t="shared" si="346"/>
        <v>0.25</v>
      </c>
      <c r="DR431" s="617">
        <f t="shared" si="347"/>
        <v>1</v>
      </c>
      <c r="DS431" s="616">
        <f t="shared" si="348"/>
        <v>0</v>
      </c>
      <c r="DT431" s="259">
        <v>327</v>
      </c>
      <c r="DU431" s="260" t="s">
        <v>274</v>
      </c>
      <c r="DV431" s="259">
        <v>497</v>
      </c>
      <c r="DW431" s="260" t="s">
        <v>258</v>
      </c>
      <c r="DX431" s="259"/>
      <c r="DY431" s="259"/>
      <c r="DZ431" s="259"/>
      <c r="EA431" s="987"/>
      <c r="EB431" s="1041" t="s">
        <v>2734</v>
      </c>
      <c r="EC431" s="802">
        <v>2787000000</v>
      </c>
      <c r="EE431" s="1047"/>
    </row>
    <row r="432" spans="4:135" s="534" customFormat="1" ht="255" hidden="1" x14ac:dyDescent="0.3">
      <c r="D432" s="783">
        <v>429</v>
      </c>
      <c r="E432" s="799">
        <v>500</v>
      </c>
      <c r="F432" s="574" t="s">
        <v>202</v>
      </c>
      <c r="G432" s="574" t="s">
        <v>18</v>
      </c>
      <c r="H432" s="574" t="s">
        <v>155</v>
      </c>
      <c r="I432" s="574" t="s">
        <v>1202</v>
      </c>
      <c r="J432" s="573" t="s">
        <v>1466</v>
      </c>
      <c r="K432" s="573" t="s">
        <v>1203</v>
      </c>
      <c r="L432" s="675" t="s">
        <v>2090</v>
      </c>
      <c r="M432" s="670" t="s">
        <v>2017</v>
      </c>
      <c r="N432" s="671">
        <v>1</v>
      </c>
      <c r="O432" s="570">
        <f t="shared" si="350"/>
        <v>14</v>
      </c>
      <c r="P432" s="674">
        <v>13</v>
      </c>
      <c r="Q432" s="631">
        <v>0.25</v>
      </c>
      <c r="R432" s="580">
        <f t="shared" si="326"/>
        <v>5.7692307692307696E-2</v>
      </c>
      <c r="S432" s="673">
        <v>3</v>
      </c>
      <c r="T432" s="643">
        <f t="shared" si="365"/>
        <v>0.23076923076923078</v>
      </c>
      <c r="U432" s="999">
        <v>3</v>
      </c>
      <c r="V432" s="626">
        <f t="shared" si="366"/>
        <v>3</v>
      </c>
      <c r="W432" s="594">
        <f t="shared" si="367"/>
        <v>100</v>
      </c>
      <c r="X432" s="594">
        <f t="shared" si="327"/>
        <v>100</v>
      </c>
      <c r="Y432" s="594">
        <f t="shared" si="364"/>
        <v>5.7692307692307689E-2</v>
      </c>
      <c r="Z432" s="594">
        <f t="shared" si="328"/>
        <v>100</v>
      </c>
      <c r="AA432" s="672">
        <v>365000000</v>
      </c>
      <c r="AB432" s="672">
        <v>365000000</v>
      </c>
      <c r="AC432" s="672">
        <v>0</v>
      </c>
      <c r="AD432" s="672">
        <v>0</v>
      </c>
      <c r="AE432" s="672">
        <v>0</v>
      </c>
      <c r="AF432" s="672">
        <v>0</v>
      </c>
      <c r="AG432" s="672">
        <v>0</v>
      </c>
      <c r="AH432" s="672">
        <v>0</v>
      </c>
      <c r="AI432" s="671">
        <v>0</v>
      </c>
      <c r="AJ432" s="671">
        <v>0</v>
      </c>
      <c r="AK432" s="671">
        <v>0</v>
      </c>
      <c r="AL432" s="671">
        <v>0</v>
      </c>
      <c r="AM432" s="671">
        <v>0</v>
      </c>
      <c r="AN432" s="671">
        <v>0</v>
      </c>
      <c r="AO432" s="671">
        <v>0</v>
      </c>
      <c r="AP432" s="671">
        <v>0</v>
      </c>
      <c r="AQ432" s="671">
        <v>0</v>
      </c>
      <c r="AR432" s="671">
        <v>0</v>
      </c>
      <c r="AS432" s="671">
        <v>0</v>
      </c>
      <c r="AT432" s="630">
        <f t="shared" si="329"/>
        <v>5.7692307692307696E-2</v>
      </c>
      <c r="AU432" s="670">
        <v>3</v>
      </c>
      <c r="AV432" s="625">
        <f t="shared" si="368"/>
        <v>0.23076923076923078</v>
      </c>
      <c r="AW432" s="1003">
        <v>3</v>
      </c>
      <c r="AX432" s="604">
        <f t="shared" si="369"/>
        <v>3</v>
      </c>
      <c r="AY432" s="604">
        <f t="shared" si="370"/>
        <v>100</v>
      </c>
      <c r="AZ432" s="604">
        <f t="shared" si="330"/>
        <v>100</v>
      </c>
      <c r="BA432" s="592">
        <f t="shared" si="331"/>
        <v>5.7692307692307689E-2</v>
      </c>
      <c r="BB432" s="592">
        <f t="shared" si="332"/>
        <v>100</v>
      </c>
      <c r="BC432" s="591">
        <v>1860000000</v>
      </c>
      <c r="BD432" s="591">
        <v>0</v>
      </c>
      <c r="BE432" s="591">
        <v>910000000</v>
      </c>
      <c r="BF432" s="591">
        <v>0</v>
      </c>
      <c r="BG432" s="591">
        <v>0</v>
      </c>
      <c r="BH432" s="591">
        <v>0</v>
      </c>
      <c r="BI432" s="591">
        <v>0</v>
      </c>
      <c r="BJ432" s="591">
        <v>950000000</v>
      </c>
      <c r="BK432" s="669">
        <v>908000000</v>
      </c>
      <c r="BL432" s="589">
        <v>908000000</v>
      </c>
      <c r="BM432" s="589">
        <v>0</v>
      </c>
      <c r="BN432" s="589">
        <v>0</v>
      </c>
      <c r="BO432" s="589">
        <v>0</v>
      </c>
      <c r="BP432" s="589">
        <v>0</v>
      </c>
      <c r="BQ432" s="589">
        <v>0</v>
      </c>
      <c r="BR432" s="589">
        <v>0</v>
      </c>
      <c r="BS432" s="589">
        <v>0</v>
      </c>
      <c r="BT432" s="589">
        <v>444493000</v>
      </c>
      <c r="BU432" s="589" t="s">
        <v>2089</v>
      </c>
      <c r="BV432" s="588">
        <f t="shared" si="333"/>
        <v>7.6923076923076927E-2</v>
      </c>
      <c r="BW432" s="588">
        <v>4</v>
      </c>
      <c r="BX432" s="623">
        <f t="shared" si="371"/>
        <v>0.30769230769230771</v>
      </c>
      <c r="BY432" s="640">
        <v>1</v>
      </c>
      <c r="BZ432" s="656">
        <v>1</v>
      </c>
      <c r="CA432" s="1019">
        <v>5</v>
      </c>
      <c r="CB432" s="557">
        <f t="shared" si="372"/>
        <v>5</v>
      </c>
      <c r="CC432" s="557">
        <f t="shared" si="373"/>
        <v>125</v>
      </c>
      <c r="CD432" s="622">
        <f t="shared" si="334"/>
        <v>100</v>
      </c>
      <c r="CE432" s="621">
        <f t="shared" si="335"/>
        <v>7.6923076923076927E-2</v>
      </c>
      <c r="CF432" s="605">
        <f t="shared" si="336"/>
        <v>100</v>
      </c>
      <c r="CG432" s="621">
        <f t="shared" si="337"/>
        <v>9.6153846153846173E-2</v>
      </c>
      <c r="CH432" s="553">
        <f t="shared" si="338"/>
        <v>5.7692307692307696E-2</v>
      </c>
      <c r="CI432" s="552">
        <v>3</v>
      </c>
      <c r="CJ432" s="551">
        <f t="shared" si="374"/>
        <v>0.23076923076923078</v>
      </c>
      <c r="CK432" s="874">
        <v>3</v>
      </c>
      <c r="CL432" s="533">
        <f t="shared" si="320"/>
        <v>0</v>
      </c>
      <c r="CM432" s="619">
        <f t="shared" si="375"/>
        <v>3</v>
      </c>
      <c r="CN432" s="619">
        <f t="shared" si="376"/>
        <v>100</v>
      </c>
      <c r="CO432" s="549">
        <f t="shared" si="339"/>
        <v>100</v>
      </c>
      <c r="CP432" s="619">
        <f t="shared" si="340"/>
        <v>5.7692307692307689E-2</v>
      </c>
      <c r="CQ432" s="619">
        <f t="shared" si="341"/>
        <v>5.7692307692307689E-2</v>
      </c>
      <c r="CR432" s="546">
        <v>3050000000</v>
      </c>
      <c r="CS432" s="546">
        <v>2100000000</v>
      </c>
      <c r="CT432" s="546">
        <v>0</v>
      </c>
      <c r="CU432" s="546">
        <v>0</v>
      </c>
      <c r="CV432" s="546">
        <v>0</v>
      </c>
      <c r="CW432" s="546">
        <v>0</v>
      </c>
      <c r="CX432" s="546">
        <v>0</v>
      </c>
      <c r="CY432" s="546">
        <v>950000000</v>
      </c>
      <c r="CZ432" s="618">
        <v>0</v>
      </c>
      <c r="DA432" s="618">
        <v>0</v>
      </c>
      <c r="DB432" s="618">
        <v>0</v>
      </c>
      <c r="DC432" s="618">
        <v>0</v>
      </c>
      <c r="DD432" s="618">
        <v>0</v>
      </c>
      <c r="DE432" s="618">
        <v>0</v>
      </c>
      <c r="DF432" s="618">
        <v>0</v>
      </c>
      <c r="DG432" s="618">
        <v>0</v>
      </c>
      <c r="DH432" s="618">
        <v>0</v>
      </c>
      <c r="DI432" s="618">
        <v>0</v>
      </c>
      <c r="DJ432" s="618">
        <v>0</v>
      </c>
      <c r="DK432" s="1034">
        <f t="shared" si="377"/>
        <v>14</v>
      </c>
      <c r="DL432" s="543">
        <f t="shared" si="342"/>
        <v>0.25</v>
      </c>
      <c r="DM432" s="542">
        <f t="shared" si="343"/>
        <v>107.69230769230769</v>
      </c>
      <c r="DN432" s="594">
        <f t="shared" si="344"/>
        <v>100</v>
      </c>
      <c r="DO432" s="540">
        <f t="shared" si="345"/>
        <v>0.25</v>
      </c>
      <c r="DP432" s="597">
        <f t="shared" si="349"/>
        <v>0.25</v>
      </c>
      <c r="DQ432" s="538">
        <f t="shared" si="346"/>
        <v>0.25</v>
      </c>
      <c r="DR432" s="617">
        <f t="shared" si="347"/>
        <v>1</v>
      </c>
      <c r="DS432" s="616">
        <f t="shared" si="348"/>
        <v>0</v>
      </c>
      <c r="DT432" s="259">
        <v>327</v>
      </c>
      <c r="DU432" s="260" t="s">
        <v>274</v>
      </c>
      <c r="DV432" s="259">
        <v>497</v>
      </c>
      <c r="DW432" s="260" t="s">
        <v>258</v>
      </c>
      <c r="DX432" s="259"/>
      <c r="DY432" s="259"/>
      <c r="DZ432" s="259"/>
      <c r="EA432" s="987"/>
      <c r="EB432" s="1041" t="s">
        <v>2735</v>
      </c>
      <c r="EC432" s="802">
        <v>3050000000</v>
      </c>
      <c r="EE432" s="1047"/>
    </row>
    <row r="433" spans="4:135" s="534" customFormat="1" ht="140.25" hidden="1" x14ac:dyDescent="0.3">
      <c r="D433" s="783">
        <v>430</v>
      </c>
      <c r="E433" s="799">
        <v>501</v>
      </c>
      <c r="F433" s="574" t="s">
        <v>203</v>
      </c>
      <c r="G433" s="574" t="s">
        <v>9</v>
      </c>
      <c r="H433" s="574" t="s">
        <v>162</v>
      </c>
      <c r="I433" s="574" t="s">
        <v>1204</v>
      </c>
      <c r="J433" s="573" t="s">
        <v>1467</v>
      </c>
      <c r="K433" s="573" t="s">
        <v>1205</v>
      </c>
      <c r="L433" s="596" t="s">
        <v>1593</v>
      </c>
      <c r="M433" s="571" t="s">
        <v>2017</v>
      </c>
      <c r="N433" s="575">
        <v>0</v>
      </c>
      <c r="O433" s="570">
        <f t="shared" si="350"/>
        <v>40</v>
      </c>
      <c r="P433" s="663">
        <v>40</v>
      </c>
      <c r="Q433" s="631">
        <v>0.16500000000000001</v>
      </c>
      <c r="R433" s="580">
        <f t="shared" si="326"/>
        <v>8.2500000000000004E-2</v>
      </c>
      <c r="S433" s="657">
        <v>20</v>
      </c>
      <c r="T433" s="575">
        <f t="shared" si="365"/>
        <v>0.5</v>
      </c>
      <c r="U433" s="996">
        <v>32</v>
      </c>
      <c r="V433" s="626">
        <f t="shared" si="366"/>
        <v>32</v>
      </c>
      <c r="W433" s="594">
        <f t="shared" si="367"/>
        <v>160</v>
      </c>
      <c r="X433" s="594">
        <f t="shared" si="327"/>
        <v>100</v>
      </c>
      <c r="Y433" s="594">
        <f t="shared" si="364"/>
        <v>8.2500000000000004E-2</v>
      </c>
      <c r="Z433" s="594">
        <f t="shared" si="328"/>
        <v>100</v>
      </c>
      <c r="AA433" s="653">
        <v>1650000000</v>
      </c>
      <c r="AB433" s="653">
        <v>1650000000</v>
      </c>
      <c r="AC433" s="653">
        <v>0</v>
      </c>
      <c r="AD433" s="653">
        <v>0</v>
      </c>
      <c r="AE433" s="653">
        <v>0</v>
      </c>
      <c r="AF433" s="653">
        <v>0</v>
      </c>
      <c r="AG433" s="653">
        <v>0</v>
      </c>
      <c r="AH433" s="653">
        <v>0</v>
      </c>
      <c r="AI433" s="653">
        <v>1650000000</v>
      </c>
      <c r="AJ433" s="653">
        <v>1650000000</v>
      </c>
      <c r="AK433" s="653">
        <v>0</v>
      </c>
      <c r="AL433" s="653">
        <v>0</v>
      </c>
      <c r="AM433" s="653">
        <v>0</v>
      </c>
      <c r="AN433" s="653">
        <v>0</v>
      </c>
      <c r="AO433" s="653">
        <v>0</v>
      </c>
      <c r="AP433" s="653">
        <v>0</v>
      </c>
      <c r="AQ433" s="653">
        <v>0</v>
      </c>
      <c r="AR433" s="653">
        <v>1815000000</v>
      </c>
      <c r="AS433" s="653" t="s">
        <v>1593</v>
      </c>
      <c r="AT433" s="630">
        <f t="shared" si="329"/>
        <v>4.1250000000000002E-2</v>
      </c>
      <c r="AU433" s="571">
        <v>10</v>
      </c>
      <c r="AV433" s="625">
        <f t="shared" si="368"/>
        <v>0.25</v>
      </c>
      <c r="AW433" s="1003">
        <v>10</v>
      </c>
      <c r="AX433" s="604">
        <f t="shared" si="369"/>
        <v>10</v>
      </c>
      <c r="AY433" s="604">
        <f t="shared" si="370"/>
        <v>100</v>
      </c>
      <c r="AZ433" s="604">
        <f t="shared" si="330"/>
        <v>100</v>
      </c>
      <c r="BA433" s="592">
        <f t="shared" si="331"/>
        <v>4.1250000000000002E-2</v>
      </c>
      <c r="BB433" s="592">
        <f t="shared" si="332"/>
        <v>100</v>
      </c>
      <c r="BC433" s="591">
        <v>577000000</v>
      </c>
      <c r="BD433" s="591">
        <v>0</v>
      </c>
      <c r="BE433" s="591">
        <v>577000000</v>
      </c>
      <c r="BF433" s="591">
        <v>0</v>
      </c>
      <c r="BG433" s="591">
        <v>0</v>
      </c>
      <c r="BH433" s="591">
        <v>0</v>
      </c>
      <c r="BI433" s="591">
        <v>0</v>
      </c>
      <c r="BJ433" s="591">
        <v>0</v>
      </c>
      <c r="BK433" s="624">
        <v>300000000</v>
      </c>
      <c r="BL433" s="589">
        <v>300000000</v>
      </c>
      <c r="BM433" s="589">
        <v>0</v>
      </c>
      <c r="BN433" s="589">
        <v>0</v>
      </c>
      <c r="BO433" s="589">
        <v>0</v>
      </c>
      <c r="BP433" s="589">
        <v>0</v>
      </c>
      <c r="BQ433" s="589">
        <v>0</v>
      </c>
      <c r="BR433" s="589">
        <v>0</v>
      </c>
      <c r="BS433" s="589">
        <v>0</v>
      </c>
      <c r="BT433" s="589">
        <v>1650000000</v>
      </c>
      <c r="BU433" s="589" t="s">
        <v>2088</v>
      </c>
      <c r="BV433" s="588">
        <f t="shared" si="333"/>
        <v>2.0625000000000001E-2</v>
      </c>
      <c r="BW433" s="588">
        <v>5</v>
      </c>
      <c r="BX433" s="623">
        <f t="shared" si="371"/>
        <v>0.125</v>
      </c>
      <c r="BY433" s="640">
        <v>4</v>
      </c>
      <c r="BZ433" s="656">
        <v>0</v>
      </c>
      <c r="CA433" s="1019">
        <v>0</v>
      </c>
      <c r="CB433" s="557">
        <f t="shared" si="372"/>
        <v>0</v>
      </c>
      <c r="CC433" s="557">
        <f t="shared" si="373"/>
        <v>0</v>
      </c>
      <c r="CD433" s="622">
        <f t="shared" si="334"/>
        <v>0</v>
      </c>
      <c r="CE433" s="621">
        <f t="shared" si="335"/>
        <v>0</v>
      </c>
      <c r="CF433" s="605">
        <f t="shared" si="336"/>
        <v>0</v>
      </c>
      <c r="CG433" s="621">
        <f t="shared" si="337"/>
        <v>0</v>
      </c>
      <c r="CH433" s="553">
        <f t="shared" si="338"/>
        <v>2.0625000000000001E-2</v>
      </c>
      <c r="CI433" s="552">
        <v>5</v>
      </c>
      <c r="CJ433" s="551">
        <f t="shared" si="374"/>
        <v>0.125</v>
      </c>
      <c r="CK433" s="874">
        <v>0</v>
      </c>
      <c r="CL433" s="533">
        <f t="shared" si="320"/>
        <v>5</v>
      </c>
      <c r="CM433" s="619">
        <f t="shared" si="375"/>
        <v>0</v>
      </c>
      <c r="CN433" s="619">
        <f t="shared" si="376"/>
        <v>0</v>
      </c>
      <c r="CO433" s="549">
        <f t="shared" si="339"/>
        <v>0</v>
      </c>
      <c r="CP433" s="619">
        <f t="shared" si="340"/>
        <v>0</v>
      </c>
      <c r="CQ433" s="619">
        <f t="shared" si="341"/>
        <v>0</v>
      </c>
      <c r="CR433" s="546">
        <v>612000000</v>
      </c>
      <c r="CS433" s="546">
        <v>612000000</v>
      </c>
      <c r="CT433" s="546">
        <v>0</v>
      </c>
      <c r="CU433" s="546">
        <v>0</v>
      </c>
      <c r="CV433" s="546">
        <v>0</v>
      </c>
      <c r="CW433" s="546">
        <v>0</v>
      </c>
      <c r="CX433" s="546">
        <v>0</v>
      </c>
      <c r="CY433" s="546">
        <v>0</v>
      </c>
      <c r="CZ433" s="618">
        <v>0</v>
      </c>
      <c r="DA433" s="618">
        <v>0</v>
      </c>
      <c r="DB433" s="618">
        <v>0</v>
      </c>
      <c r="DC433" s="618">
        <v>0</v>
      </c>
      <c r="DD433" s="618">
        <v>0</v>
      </c>
      <c r="DE433" s="618">
        <v>0</v>
      </c>
      <c r="DF433" s="618">
        <v>0</v>
      </c>
      <c r="DG433" s="618">
        <v>0</v>
      </c>
      <c r="DH433" s="618">
        <v>0</v>
      </c>
      <c r="DI433" s="618">
        <v>0</v>
      </c>
      <c r="DJ433" s="618">
        <v>0</v>
      </c>
      <c r="DK433" s="1034">
        <f t="shared" si="377"/>
        <v>42</v>
      </c>
      <c r="DL433" s="543">
        <f t="shared" si="342"/>
        <v>0.16500000000000001</v>
      </c>
      <c r="DM433" s="542">
        <f t="shared" si="343"/>
        <v>105</v>
      </c>
      <c r="DN433" s="594">
        <f t="shared" si="344"/>
        <v>100</v>
      </c>
      <c r="DO433" s="540">
        <f t="shared" si="345"/>
        <v>0.16500000000000001</v>
      </c>
      <c r="DP433" s="597">
        <f t="shared" si="349"/>
        <v>0.16500000000000001</v>
      </c>
      <c r="DQ433" s="538">
        <f t="shared" si="346"/>
        <v>0.16500000000000001</v>
      </c>
      <c r="DR433" s="617">
        <f t="shared" si="347"/>
        <v>1</v>
      </c>
      <c r="DS433" s="616">
        <f t="shared" si="348"/>
        <v>0</v>
      </c>
      <c r="DT433" s="259">
        <v>611</v>
      </c>
      <c r="DU433" s="260" t="s">
        <v>256</v>
      </c>
      <c r="DV433" s="259"/>
      <c r="DW433" s="260" t="s">
        <v>242</v>
      </c>
      <c r="DX433" s="259"/>
      <c r="DY433" s="259"/>
      <c r="DZ433" s="259"/>
      <c r="EA433" s="987"/>
      <c r="EB433" s="1041" t="s">
        <v>2736</v>
      </c>
      <c r="EC433" s="802">
        <v>594000000</v>
      </c>
      <c r="EE433" s="1047"/>
    </row>
    <row r="434" spans="4:135" s="534" customFormat="1" ht="63.75" hidden="1" x14ac:dyDescent="0.3">
      <c r="D434" s="783">
        <v>431</v>
      </c>
      <c r="E434" s="799">
        <v>502</v>
      </c>
      <c r="F434" s="739" t="s">
        <v>203</v>
      </c>
      <c r="G434" s="739" t="s">
        <v>9</v>
      </c>
      <c r="H434" s="739" t="s">
        <v>162</v>
      </c>
      <c r="I434" s="676" t="s">
        <v>1204</v>
      </c>
      <c r="J434" s="573" t="s">
        <v>1206</v>
      </c>
      <c r="K434" s="573" t="s">
        <v>1207</v>
      </c>
      <c r="L434" s="647" t="s">
        <v>1664</v>
      </c>
      <c r="M434" s="571" t="s">
        <v>2032</v>
      </c>
      <c r="N434" s="575">
        <v>0</v>
      </c>
      <c r="O434" s="570">
        <f>+P434</f>
        <v>15</v>
      </c>
      <c r="P434" s="569">
        <v>15</v>
      </c>
      <c r="Q434" s="628">
        <v>0.16500000000000001</v>
      </c>
      <c r="R434" s="580">
        <f t="shared" si="326"/>
        <v>4.1250000000000002E-2</v>
      </c>
      <c r="S434" s="657">
        <v>15</v>
      </c>
      <c r="T434" s="575">
        <f t="shared" si="365"/>
        <v>0.25</v>
      </c>
      <c r="U434" s="996">
        <v>15</v>
      </c>
      <c r="V434" s="626">
        <f t="shared" si="366"/>
        <v>3.75</v>
      </c>
      <c r="W434" s="594">
        <f t="shared" si="367"/>
        <v>100</v>
      </c>
      <c r="X434" s="594">
        <f t="shared" si="327"/>
        <v>100</v>
      </c>
      <c r="Y434" s="594">
        <f t="shared" si="364"/>
        <v>4.1250000000000002E-2</v>
      </c>
      <c r="Z434" s="594">
        <f t="shared" si="328"/>
        <v>100</v>
      </c>
      <c r="AA434" s="653">
        <v>13267000000</v>
      </c>
      <c r="AB434" s="653">
        <v>8884000000</v>
      </c>
      <c r="AC434" s="653">
        <v>0</v>
      </c>
      <c r="AD434" s="653">
        <v>4295000000</v>
      </c>
      <c r="AE434" s="653">
        <v>0</v>
      </c>
      <c r="AF434" s="653">
        <v>0</v>
      </c>
      <c r="AG434" s="653">
        <v>0</v>
      </c>
      <c r="AH434" s="653">
        <v>88000000</v>
      </c>
      <c r="AI434" s="653">
        <v>5649953000</v>
      </c>
      <c r="AJ434" s="653">
        <v>5649953000</v>
      </c>
      <c r="AK434" s="653">
        <v>0</v>
      </c>
      <c r="AL434" s="653">
        <v>0</v>
      </c>
      <c r="AM434" s="653">
        <v>0</v>
      </c>
      <c r="AN434" s="653">
        <v>0</v>
      </c>
      <c r="AO434" s="653">
        <v>0</v>
      </c>
      <c r="AP434" s="653">
        <v>0</v>
      </c>
      <c r="AQ434" s="653">
        <v>0</v>
      </c>
      <c r="AR434" s="653">
        <v>6933226000</v>
      </c>
      <c r="AS434" s="653" t="s">
        <v>2087</v>
      </c>
      <c r="AT434" s="570">
        <f t="shared" si="329"/>
        <v>4.1250000000000002E-2</v>
      </c>
      <c r="AU434" s="571">
        <v>15</v>
      </c>
      <c r="AV434" s="625">
        <f t="shared" si="368"/>
        <v>0.25</v>
      </c>
      <c r="AW434" s="1003">
        <v>15</v>
      </c>
      <c r="AX434" s="604">
        <f t="shared" si="369"/>
        <v>3.75</v>
      </c>
      <c r="AY434" s="604">
        <f t="shared" si="370"/>
        <v>100</v>
      </c>
      <c r="AZ434" s="604">
        <f t="shared" si="330"/>
        <v>100</v>
      </c>
      <c r="BA434" s="592">
        <f t="shared" si="331"/>
        <v>4.1250000000000002E-2</v>
      </c>
      <c r="BB434" s="592">
        <f t="shared" si="332"/>
        <v>100</v>
      </c>
      <c r="BC434" s="591">
        <v>1942000000</v>
      </c>
      <c r="BD434" s="591">
        <v>0</v>
      </c>
      <c r="BE434" s="591">
        <v>1942000000</v>
      </c>
      <c r="BF434" s="591">
        <v>0</v>
      </c>
      <c r="BG434" s="591">
        <v>0</v>
      </c>
      <c r="BH434" s="591">
        <v>0</v>
      </c>
      <c r="BI434" s="591">
        <v>0</v>
      </c>
      <c r="BJ434" s="591">
        <v>0</v>
      </c>
      <c r="BK434" s="624">
        <v>15340458453</v>
      </c>
      <c r="BL434" s="589">
        <v>15340458453</v>
      </c>
      <c r="BM434" s="589">
        <v>0</v>
      </c>
      <c r="BN434" s="589">
        <v>0</v>
      </c>
      <c r="BO434" s="589">
        <v>0</v>
      </c>
      <c r="BP434" s="589">
        <v>0</v>
      </c>
      <c r="BQ434" s="589">
        <v>0</v>
      </c>
      <c r="BR434" s="589">
        <v>0</v>
      </c>
      <c r="BS434" s="589">
        <v>0</v>
      </c>
      <c r="BT434" s="589">
        <v>10058874880</v>
      </c>
      <c r="BU434" s="589" t="s">
        <v>2086</v>
      </c>
      <c r="BV434" s="588">
        <f t="shared" si="333"/>
        <v>4.1250000000000002E-2</v>
      </c>
      <c r="BW434" s="588">
        <v>15</v>
      </c>
      <c r="BX434" s="623">
        <f t="shared" si="371"/>
        <v>0.25</v>
      </c>
      <c r="BY434" s="607">
        <v>15</v>
      </c>
      <c r="BZ434" s="629">
        <v>15</v>
      </c>
      <c r="CA434" s="1017">
        <v>15</v>
      </c>
      <c r="CB434" s="557">
        <f t="shared" si="372"/>
        <v>3.75</v>
      </c>
      <c r="CC434" s="557">
        <f t="shared" si="373"/>
        <v>100</v>
      </c>
      <c r="CD434" s="622">
        <f t="shared" si="334"/>
        <v>100</v>
      </c>
      <c r="CE434" s="621">
        <f t="shared" si="335"/>
        <v>4.1250000000000002E-2</v>
      </c>
      <c r="CF434" s="605">
        <f t="shared" si="336"/>
        <v>100</v>
      </c>
      <c r="CG434" s="621">
        <f t="shared" si="337"/>
        <v>4.1250000000000002E-2</v>
      </c>
      <c r="CH434" s="553">
        <f t="shared" si="338"/>
        <v>4.1250000000000002E-2</v>
      </c>
      <c r="CI434" s="552">
        <v>3</v>
      </c>
      <c r="CJ434" s="551">
        <f t="shared" si="374"/>
        <v>0.25</v>
      </c>
      <c r="CK434" s="874">
        <v>15</v>
      </c>
      <c r="CL434" s="533">
        <f t="shared" si="320"/>
        <v>-12</v>
      </c>
      <c r="CM434" s="619">
        <f t="shared" si="375"/>
        <v>3.75</v>
      </c>
      <c r="CN434" s="619">
        <f t="shared" si="376"/>
        <v>500</v>
      </c>
      <c r="CO434" s="619">
        <f t="shared" si="339"/>
        <v>100</v>
      </c>
      <c r="CP434" s="619">
        <f t="shared" si="340"/>
        <v>4.1250000000000002E-2</v>
      </c>
      <c r="CQ434" s="619">
        <f t="shared" si="341"/>
        <v>0.20624999999999999</v>
      </c>
      <c r="CR434" s="546">
        <v>2060000000</v>
      </c>
      <c r="CS434" s="546">
        <v>2060000000</v>
      </c>
      <c r="CT434" s="546">
        <v>0</v>
      </c>
      <c r="CU434" s="546">
        <v>0</v>
      </c>
      <c r="CV434" s="546">
        <v>0</v>
      </c>
      <c r="CW434" s="546">
        <v>0</v>
      </c>
      <c r="CX434" s="546">
        <v>0</v>
      </c>
      <c r="CY434" s="546">
        <v>0</v>
      </c>
      <c r="CZ434" s="618">
        <v>0</v>
      </c>
      <c r="DA434" s="618">
        <v>0</v>
      </c>
      <c r="DB434" s="618">
        <v>0</v>
      </c>
      <c r="DC434" s="618">
        <v>0</v>
      </c>
      <c r="DD434" s="618">
        <v>0</v>
      </c>
      <c r="DE434" s="618">
        <v>0</v>
      </c>
      <c r="DF434" s="618">
        <v>0</v>
      </c>
      <c r="DG434" s="618">
        <v>0</v>
      </c>
      <c r="DH434" s="618">
        <v>0</v>
      </c>
      <c r="DI434" s="618">
        <v>0</v>
      </c>
      <c r="DJ434" s="618">
        <v>0</v>
      </c>
      <c r="DK434" s="1034">
        <f t="shared" si="377"/>
        <v>15</v>
      </c>
      <c r="DL434" s="543">
        <f t="shared" si="342"/>
        <v>0.16500000000000001</v>
      </c>
      <c r="DM434" s="542">
        <f t="shared" si="343"/>
        <v>100</v>
      </c>
      <c r="DN434" s="594">
        <f t="shared" si="344"/>
        <v>100</v>
      </c>
      <c r="DO434" s="540">
        <f t="shared" si="345"/>
        <v>0.16500000000000001</v>
      </c>
      <c r="DP434" s="597">
        <f>+IF(M434="M",DO434,0)</f>
        <v>0.16500000000000001</v>
      </c>
      <c r="DQ434" s="538">
        <f t="shared" si="346"/>
        <v>0.16500000000000001</v>
      </c>
      <c r="DR434" s="617">
        <f t="shared" si="347"/>
        <v>1</v>
      </c>
      <c r="DS434" s="616">
        <f t="shared" si="348"/>
        <v>0</v>
      </c>
      <c r="DT434" s="259">
        <v>611</v>
      </c>
      <c r="DU434" s="260" t="s">
        <v>256</v>
      </c>
      <c r="DV434" s="259"/>
      <c r="DW434" s="260" t="s">
        <v>242</v>
      </c>
      <c r="DX434" s="259"/>
      <c r="DY434" s="259"/>
      <c r="DZ434" s="259"/>
      <c r="EA434" s="987"/>
      <c r="EB434" s="1041" t="s">
        <v>2737</v>
      </c>
      <c r="EC434" s="802">
        <v>2000000000</v>
      </c>
      <c r="EE434" s="1047"/>
    </row>
    <row r="435" spans="4:135" s="534" customFormat="1" ht="63.75" hidden="1" x14ac:dyDescent="0.3">
      <c r="D435" s="783">
        <v>432</v>
      </c>
      <c r="E435" s="799">
        <v>503</v>
      </c>
      <c r="F435" s="739" t="s">
        <v>203</v>
      </c>
      <c r="G435" s="739" t="s">
        <v>9</v>
      </c>
      <c r="H435" s="739" t="s">
        <v>162</v>
      </c>
      <c r="I435" s="676" t="s">
        <v>1204</v>
      </c>
      <c r="J435" s="573" t="s">
        <v>1208</v>
      </c>
      <c r="K435" s="573" t="s">
        <v>1209</v>
      </c>
      <c r="L435" s="647" t="s">
        <v>2085</v>
      </c>
      <c r="M435" s="571" t="s">
        <v>2017</v>
      </c>
      <c r="N435" s="575">
        <v>0</v>
      </c>
      <c r="O435" s="570">
        <f t="shared" ref="O435:O459" si="378">+N435+P435</f>
        <v>5</v>
      </c>
      <c r="P435" s="663">
        <v>5</v>
      </c>
      <c r="Q435" s="628">
        <v>0.16500000000000001</v>
      </c>
      <c r="R435" s="580">
        <f t="shared" si="326"/>
        <v>0</v>
      </c>
      <c r="S435" s="657">
        <v>0</v>
      </c>
      <c r="T435" s="575">
        <f t="shared" si="365"/>
        <v>0</v>
      </c>
      <c r="U435" s="996">
        <v>0</v>
      </c>
      <c r="V435" s="626">
        <f t="shared" si="366"/>
        <v>0</v>
      </c>
      <c r="W435" s="594">
        <f t="shared" si="367"/>
        <v>0</v>
      </c>
      <c r="X435" s="594">
        <f t="shared" si="327"/>
        <v>0</v>
      </c>
      <c r="Y435" s="594">
        <f t="shared" si="364"/>
        <v>0</v>
      </c>
      <c r="Z435" s="594">
        <f t="shared" si="328"/>
        <v>0</v>
      </c>
      <c r="AA435" s="653">
        <v>1290000000</v>
      </c>
      <c r="AB435" s="653">
        <v>1290000000</v>
      </c>
      <c r="AC435" s="653">
        <v>0</v>
      </c>
      <c r="AD435" s="653">
        <v>0</v>
      </c>
      <c r="AE435" s="653">
        <v>0</v>
      </c>
      <c r="AF435" s="653">
        <v>0</v>
      </c>
      <c r="AG435" s="653">
        <v>0</v>
      </c>
      <c r="AH435" s="653">
        <v>0</v>
      </c>
      <c r="AI435" s="653">
        <v>0</v>
      </c>
      <c r="AJ435" s="653">
        <v>0</v>
      </c>
      <c r="AK435" s="653">
        <v>0</v>
      </c>
      <c r="AL435" s="653">
        <v>0</v>
      </c>
      <c r="AM435" s="653">
        <v>0</v>
      </c>
      <c r="AN435" s="653">
        <v>0</v>
      </c>
      <c r="AO435" s="653">
        <v>0</v>
      </c>
      <c r="AP435" s="653">
        <v>0</v>
      </c>
      <c r="AQ435" s="653">
        <v>0</v>
      </c>
      <c r="AR435" s="653">
        <v>0</v>
      </c>
      <c r="AS435" s="653">
        <v>0</v>
      </c>
      <c r="AT435" s="570">
        <f t="shared" si="329"/>
        <v>6.6000000000000003E-2</v>
      </c>
      <c r="AU435" s="571">
        <v>2</v>
      </c>
      <c r="AV435" s="625">
        <f t="shared" si="368"/>
        <v>0.4</v>
      </c>
      <c r="AW435" s="1003">
        <v>6</v>
      </c>
      <c r="AX435" s="604">
        <f t="shared" si="369"/>
        <v>6</v>
      </c>
      <c r="AY435" s="604">
        <f t="shared" si="370"/>
        <v>300</v>
      </c>
      <c r="AZ435" s="604">
        <f t="shared" si="330"/>
        <v>100</v>
      </c>
      <c r="BA435" s="592">
        <f t="shared" si="331"/>
        <v>6.6000000000000003E-2</v>
      </c>
      <c r="BB435" s="592">
        <f t="shared" si="332"/>
        <v>100</v>
      </c>
      <c r="BC435" s="591">
        <v>527000000</v>
      </c>
      <c r="BD435" s="591">
        <v>0</v>
      </c>
      <c r="BE435" s="591">
        <v>527000000</v>
      </c>
      <c r="BF435" s="591">
        <v>0</v>
      </c>
      <c r="BG435" s="591">
        <v>0</v>
      </c>
      <c r="BH435" s="591">
        <v>0</v>
      </c>
      <c r="BI435" s="591">
        <v>0</v>
      </c>
      <c r="BJ435" s="591">
        <v>0</v>
      </c>
      <c r="BK435" s="624">
        <v>1212569000</v>
      </c>
      <c r="BL435" s="589">
        <v>1212569000</v>
      </c>
      <c r="BM435" s="589">
        <v>0</v>
      </c>
      <c r="BN435" s="589">
        <v>0</v>
      </c>
      <c r="BO435" s="589">
        <v>0</v>
      </c>
      <c r="BP435" s="589">
        <v>0</v>
      </c>
      <c r="BQ435" s="589">
        <v>0</v>
      </c>
      <c r="BR435" s="589">
        <v>0</v>
      </c>
      <c r="BS435" s="589">
        <v>0</v>
      </c>
      <c r="BT435" s="589">
        <v>0</v>
      </c>
      <c r="BU435" s="589">
        <v>0</v>
      </c>
      <c r="BV435" s="588">
        <f t="shared" si="333"/>
        <v>9.9000000000000005E-2</v>
      </c>
      <c r="BW435" s="588">
        <v>3</v>
      </c>
      <c r="BX435" s="623">
        <f t="shared" si="371"/>
        <v>0.6</v>
      </c>
      <c r="BY435" s="607">
        <v>2</v>
      </c>
      <c r="BZ435" s="629">
        <v>2</v>
      </c>
      <c r="CA435" s="1017">
        <v>3</v>
      </c>
      <c r="CB435" s="557">
        <f t="shared" si="372"/>
        <v>3</v>
      </c>
      <c r="CC435" s="557">
        <f t="shared" si="373"/>
        <v>100</v>
      </c>
      <c r="CD435" s="622">
        <f t="shared" si="334"/>
        <v>100</v>
      </c>
      <c r="CE435" s="621">
        <f t="shared" si="335"/>
        <v>9.9000000000000005E-2</v>
      </c>
      <c r="CF435" s="605">
        <f t="shared" si="336"/>
        <v>100</v>
      </c>
      <c r="CG435" s="621">
        <f t="shared" si="337"/>
        <v>9.9000000000000005E-2</v>
      </c>
      <c r="CH435" s="553">
        <f t="shared" si="338"/>
        <v>0</v>
      </c>
      <c r="CI435" s="552">
        <v>0</v>
      </c>
      <c r="CJ435" s="551">
        <f t="shared" si="374"/>
        <v>0</v>
      </c>
      <c r="CK435" s="874">
        <v>5</v>
      </c>
      <c r="CL435" s="533">
        <f t="shared" si="320"/>
        <v>-5</v>
      </c>
      <c r="CM435" s="619">
        <f t="shared" si="375"/>
        <v>5</v>
      </c>
      <c r="CN435" s="619">
        <f t="shared" si="376"/>
        <v>0</v>
      </c>
      <c r="CO435" s="549">
        <f t="shared" si="339"/>
        <v>0</v>
      </c>
      <c r="CP435" s="619">
        <f t="shared" si="340"/>
        <v>0</v>
      </c>
      <c r="CQ435" s="619">
        <f t="shared" si="341"/>
        <v>0</v>
      </c>
      <c r="CR435" s="546">
        <v>559000000</v>
      </c>
      <c r="CS435" s="546">
        <v>559000000</v>
      </c>
      <c r="CT435" s="546">
        <v>0</v>
      </c>
      <c r="CU435" s="546">
        <v>0</v>
      </c>
      <c r="CV435" s="546">
        <v>0</v>
      </c>
      <c r="CW435" s="546">
        <v>0</v>
      </c>
      <c r="CX435" s="546">
        <v>0</v>
      </c>
      <c r="CY435" s="546">
        <v>0</v>
      </c>
      <c r="CZ435" s="618">
        <v>0</v>
      </c>
      <c r="DA435" s="618">
        <v>0</v>
      </c>
      <c r="DB435" s="618">
        <v>0</v>
      </c>
      <c r="DC435" s="618">
        <v>0</v>
      </c>
      <c r="DD435" s="618">
        <v>0</v>
      </c>
      <c r="DE435" s="618">
        <v>0</v>
      </c>
      <c r="DF435" s="618">
        <v>0</v>
      </c>
      <c r="DG435" s="618">
        <v>0</v>
      </c>
      <c r="DH435" s="618">
        <v>0</v>
      </c>
      <c r="DI435" s="618">
        <v>0</v>
      </c>
      <c r="DJ435" s="618">
        <v>0</v>
      </c>
      <c r="DK435" s="1034">
        <f t="shared" si="377"/>
        <v>14</v>
      </c>
      <c r="DL435" s="543">
        <f t="shared" si="342"/>
        <v>0.16500000000000001</v>
      </c>
      <c r="DM435" s="542">
        <f t="shared" si="343"/>
        <v>280</v>
      </c>
      <c r="DN435" s="594">
        <f t="shared" si="344"/>
        <v>100</v>
      </c>
      <c r="DO435" s="540">
        <f t="shared" si="345"/>
        <v>0.16500000000000001</v>
      </c>
      <c r="DP435" s="597">
        <f t="shared" ref="DP435:DP462" si="379">+IF(((DN435*Q435)/100)&lt;Q435, ((DN435*Q435)/100),Q435)</f>
        <v>0.16500000000000001</v>
      </c>
      <c r="DQ435" s="538">
        <f t="shared" si="346"/>
        <v>0.16500000000000001</v>
      </c>
      <c r="DR435" s="617">
        <f t="shared" si="347"/>
        <v>1</v>
      </c>
      <c r="DS435" s="616">
        <f t="shared" si="348"/>
        <v>0</v>
      </c>
      <c r="DT435" s="259">
        <v>611</v>
      </c>
      <c r="DU435" s="260" t="s">
        <v>256</v>
      </c>
      <c r="DV435" s="259"/>
      <c r="DW435" s="260" t="s">
        <v>242</v>
      </c>
      <c r="DX435" s="259"/>
      <c r="DY435" s="259"/>
      <c r="DZ435" s="259"/>
      <c r="EA435" s="987"/>
      <c r="EB435" s="1041" t="s">
        <v>2738</v>
      </c>
      <c r="EC435" s="802">
        <v>542000000</v>
      </c>
      <c r="EE435" s="1047"/>
    </row>
    <row r="436" spans="4:135" s="534" customFormat="1" ht="60" hidden="1" x14ac:dyDescent="0.3">
      <c r="D436" s="783">
        <v>433</v>
      </c>
      <c r="E436" s="799">
        <v>504</v>
      </c>
      <c r="F436" s="739" t="s">
        <v>203</v>
      </c>
      <c r="G436" s="739" t="s">
        <v>9</v>
      </c>
      <c r="H436" s="739" t="s">
        <v>162</v>
      </c>
      <c r="I436" s="676" t="s">
        <v>1204</v>
      </c>
      <c r="J436" s="573" t="s">
        <v>1210</v>
      </c>
      <c r="K436" s="573" t="s">
        <v>1492</v>
      </c>
      <c r="L436" s="647" t="s">
        <v>2085</v>
      </c>
      <c r="M436" s="571" t="s">
        <v>2017</v>
      </c>
      <c r="N436" s="575">
        <v>0</v>
      </c>
      <c r="O436" s="570">
        <f t="shared" si="378"/>
        <v>5</v>
      </c>
      <c r="P436" s="663">
        <v>5</v>
      </c>
      <c r="Q436" s="628">
        <v>0.16500000000000001</v>
      </c>
      <c r="R436" s="580">
        <f t="shared" si="326"/>
        <v>6.6000000000000003E-2</v>
      </c>
      <c r="S436" s="657">
        <v>2</v>
      </c>
      <c r="T436" s="575">
        <f t="shared" si="365"/>
        <v>0.4</v>
      </c>
      <c r="U436" s="996">
        <v>2</v>
      </c>
      <c r="V436" s="626">
        <f t="shared" si="366"/>
        <v>2</v>
      </c>
      <c r="W436" s="594">
        <f t="shared" si="367"/>
        <v>100</v>
      </c>
      <c r="X436" s="594">
        <f t="shared" si="327"/>
        <v>100</v>
      </c>
      <c r="Y436" s="594">
        <f t="shared" si="364"/>
        <v>6.6000000000000003E-2</v>
      </c>
      <c r="Z436" s="594">
        <f t="shared" si="328"/>
        <v>100</v>
      </c>
      <c r="AA436" s="653">
        <v>281000000</v>
      </c>
      <c r="AB436" s="653">
        <v>281000000</v>
      </c>
      <c r="AC436" s="653">
        <v>0</v>
      </c>
      <c r="AD436" s="653">
        <v>0</v>
      </c>
      <c r="AE436" s="653">
        <v>0</v>
      </c>
      <c r="AF436" s="653">
        <v>0</v>
      </c>
      <c r="AG436" s="653">
        <v>0</v>
      </c>
      <c r="AH436" s="653">
        <v>0</v>
      </c>
      <c r="AI436" s="653">
        <v>280583000</v>
      </c>
      <c r="AJ436" s="653">
        <v>280583000</v>
      </c>
      <c r="AK436" s="653">
        <v>0</v>
      </c>
      <c r="AL436" s="653">
        <v>0</v>
      </c>
      <c r="AM436" s="653">
        <v>0</v>
      </c>
      <c r="AN436" s="653">
        <v>0</v>
      </c>
      <c r="AO436" s="653">
        <v>0</v>
      </c>
      <c r="AP436" s="653">
        <v>0</v>
      </c>
      <c r="AQ436" s="653">
        <v>0</v>
      </c>
      <c r="AR436" s="653">
        <v>0</v>
      </c>
      <c r="AS436" s="653">
        <v>0</v>
      </c>
      <c r="AT436" s="570">
        <f t="shared" si="329"/>
        <v>3.3000000000000002E-2</v>
      </c>
      <c r="AU436" s="571">
        <v>1</v>
      </c>
      <c r="AV436" s="625">
        <f t="shared" si="368"/>
        <v>0.2</v>
      </c>
      <c r="AW436" s="1003">
        <v>1</v>
      </c>
      <c r="AX436" s="604">
        <f t="shared" si="369"/>
        <v>1</v>
      </c>
      <c r="AY436" s="604">
        <f t="shared" si="370"/>
        <v>100</v>
      </c>
      <c r="AZ436" s="604">
        <f t="shared" si="330"/>
        <v>100</v>
      </c>
      <c r="BA436" s="592">
        <f t="shared" si="331"/>
        <v>3.3000000000000002E-2</v>
      </c>
      <c r="BB436" s="592">
        <f t="shared" si="332"/>
        <v>100</v>
      </c>
      <c r="BC436" s="591">
        <v>2499000000</v>
      </c>
      <c r="BD436" s="591">
        <v>0</v>
      </c>
      <c r="BE436" s="591">
        <v>2499000000</v>
      </c>
      <c r="BF436" s="591">
        <v>0</v>
      </c>
      <c r="BG436" s="591">
        <v>0</v>
      </c>
      <c r="BH436" s="591">
        <v>0</v>
      </c>
      <c r="BI436" s="591">
        <v>0</v>
      </c>
      <c r="BJ436" s="591">
        <v>0</v>
      </c>
      <c r="BK436" s="624">
        <v>150000000</v>
      </c>
      <c r="BL436" s="589">
        <v>150000000</v>
      </c>
      <c r="BM436" s="589">
        <v>0</v>
      </c>
      <c r="BN436" s="589">
        <v>0</v>
      </c>
      <c r="BO436" s="589">
        <v>0</v>
      </c>
      <c r="BP436" s="589">
        <v>0</v>
      </c>
      <c r="BQ436" s="589">
        <v>0</v>
      </c>
      <c r="BR436" s="589">
        <v>0</v>
      </c>
      <c r="BS436" s="589">
        <v>0</v>
      </c>
      <c r="BT436" s="589">
        <v>0</v>
      </c>
      <c r="BU436" s="589">
        <v>0</v>
      </c>
      <c r="BV436" s="588">
        <f t="shared" si="333"/>
        <v>3.3000000000000002E-2</v>
      </c>
      <c r="BW436" s="588">
        <v>1</v>
      </c>
      <c r="BX436" s="623">
        <f t="shared" si="371"/>
        <v>0.2</v>
      </c>
      <c r="BY436" s="607">
        <v>3</v>
      </c>
      <c r="BZ436" s="629">
        <v>0</v>
      </c>
      <c r="CA436" s="1017">
        <v>3</v>
      </c>
      <c r="CB436" s="557">
        <f t="shared" si="372"/>
        <v>3</v>
      </c>
      <c r="CC436" s="557">
        <f t="shared" si="373"/>
        <v>300</v>
      </c>
      <c r="CD436" s="622">
        <f t="shared" si="334"/>
        <v>100</v>
      </c>
      <c r="CE436" s="621">
        <f t="shared" si="335"/>
        <v>3.3000000000000002E-2</v>
      </c>
      <c r="CF436" s="605">
        <f t="shared" si="336"/>
        <v>100</v>
      </c>
      <c r="CG436" s="621">
        <f t="shared" si="337"/>
        <v>9.9000000000000005E-2</v>
      </c>
      <c r="CH436" s="553">
        <f t="shared" si="338"/>
        <v>3.3000000000000002E-2</v>
      </c>
      <c r="CI436" s="552">
        <v>1</v>
      </c>
      <c r="CJ436" s="551">
        <f t="shared" si="374"/>
        <v>0.2</v>
      </c>
      <c r="CK436" s="874">
        <v>2</v>
      </c>
      <c r="CL436" s="533">
        <f t="shared" ref="CL436:CL499" si="380">+CI436-CK436</f>
        <v>-1</v>
      </c>
      <c r="CM436" s="619">
        <f t="shared" si="375"/>
        <v>2</v>
      </c>
      <c r="CN436" s="619">
        <f t="shared" si="376"/>
        <v>200</v>
      </c>
      <c r="CO436" s="549">
        <f t="shared" si="339"/>
        <v>100</v>
      </c>
      <c r="CP436" s="619">
        <f t="shared" si="340"/>
        <v>3.3000000000000002E-2</v>
      </c>
      <c r="CQ436" s="619">
        <f t="shared" si="341"/>
        <v>6.6000000000000003E-2</v>
      </c>
      <c r="CR436" s="546">
        <v>2651000000</v>
      </c>
      <c r="CS436" s="546">
        <v>2651000000</v>
      </c>
      <c r="CT436" s="546">
        <v>0</v>
      </c>
      <c r="CU436" s="546">
        <v>0</v>
      </c>
      <c r="CV436" s="546">
        <v>0</v>
      </c>
      <c r="CW436" s="546">
        <v>0</v>
      </c>
      <c r="CX436" s="546">
        <v>0</v>
      </c>
      <c r="CY436" s="546">
        <v>0</v>
      </c>
      <c r="CZ436" s="618">
        <v>0</v>
      </c>
      <c r="DA436" s="618">
        <v>0</v>
      </c>
      <c r="DB436" s="618">
        <v>0</v>
      </c>
      <c r="DC436" s="618">
        <v>0</v>
      </c>
      <c r="DD436" s="618">
        <v>0</v>
      </c>
      <c r="DE436" s="618">
        <v>0</v>
      </c>
      <c r="DF436" s="618">
        <v>0</v>
      </c>
      <c r="DG436" s="618">
        <v>0</v>
      </c>
      <c r="DH436" s="618">
        <v>0</v>
      </c>
      <c r="DI436" s="618">
        <v>0</v>
      </c>
      <c r="DJ436" s="618">
        <v>0</v>
      </c>
      <c r="DK436" s="1034">
        <f t="shared" si="377"/>
        <v>8</v>
      </c>
      <c r="DL436" s="543">
        <f t="shared" si="342"/>
        <v>0.16500000000000001</v>
      </c>
      <c r="DM436" s="542">
        <f t="shared" si="343"/>
        <v>160</v>
      </c>
      <c r="DN436" s="594">
        <f t="shared" si="344"/>
        <v>100</v>
      </c>
      <c r="DO436" s="540">
        <f t="shared" si="345"/>
        <v>0.16500000000000001</v>
      </c>
      <c r="DP436" s="597">
        <f t="shared" si="379"/>
        <v>0.16500000000000001</v>
      </c>
      <c r="DQ436" s="538">
        <f t="shared" si="346"/>
        <v>0.16500000000000001</v>
      </c>
      <c r="DR436" s="617">
        <f t="shared" si="347"/>
        <v>1</v>
      </c>
      <c r="DS436" s="616">
        <f t="shared" si="348"/>
        <v>0</v>
      </c>
      <c r="DT436" s="259">
        <v>611</v>
      </c>
      <c r="DU436" s="260" t="s">
        <v>256</v>
      </c>
      <c r="DV436" s="259"/>
      <c r="DW436" s="260" t="s">
        <v>242</v>
      </c>
      <c r="DX436" s="259"/>
      <c r="DY436" s="259"/>
      <c r="DZ436" s="259"/>
      <c r="EA436" s="987"/>
      <c r="EB436" s="1041" t="s">
        <v>2739</v>
      </c>
      <c r="EC436" s="802">
        <v>2574000000</v>
      </c>
      <c r="EE436" s="1047"/>
    </row>
    <row r="437" spans="4:135" s="534" customFormat="1" ht="89.25" hidden="1" x14ac:dyDescent="0.3">
      <c r="D437" s="783">
        <v>434</v>
      </c>
      <c r="E437" s="799">
        <v>505</v>
      </c>
      <c r="F437" s="574" t="s">
        <v>203</v>
      </c>
      <c r="G437" s="574" t="s">
        <v>9</v>
      </c>
      <c r="H437" s="574" t="s">
        <v>162</v>
      </c>
      <c r="I437" s="574" t="s">
        <v>1204</v>
      </c>
      <c r="J437" s="573" t="s">
        <v>1468</v>
      </c>
      <c r="K437" s="573" t="s">
        <v>1493</v>
      </c>
      <c r="L437" s="647" t="s">
        <v>2084</v>
      </c>
      <c r="M437" s="571" t="s">
        <v>2017</v>
      </c>
      <c r="N437" s="575">
        <v>0</v>
      </c>
      <c r="O437" s="570">
        <f t="shared" si="378"/>
        <v>1</v>
      </c>
      <c r="P437" s="663">
        <v>1</v>
      </c>
      <c r="Q437" s="631">
        <v>0.16500000000000001</v>
      </c>
      <c r="R437" s="580">
        <f t="shared" si="326"/>
        <v>0</v>
      </c>
      <c r="S437" s="657">
        <v>0</v>
      </c>
      <c r="T437" s="575">
        <f t="shared" si="365"/>
        <v>0</v>
      </c>
      <c r="U437" s="996">
        <v>0</v>
      </c>
      <c r="V437" s="626">
        <f t="shared" si="366"/>
        <v>0</v>
      </c>
      <c r="W437" s="594">
        <f t="shared" si="367"/>
        <v>0</v>
      </c>
      <c r="X437" s="594">
        <f t="shared" si="327"/>
        <v>0</v>
      </c>
      <c r="Y437" s="594">
        <f t="shared" si="364"/>
        <v>0</v>
      </c>
      <c r="Z437" s="594">
        <f t="shared" si="328"/>
        <v>0</v>
      </c>
      <c r="AA437" s="653">
        <v>50000000</v>
      </c>
      <c r="AB437" s="653">
        <v>50000000</v>
      </c>
      <c r="AC437" s="653">
        <v>0</v>
      </c>
      <c r="AD437" s="653">
        <v>0</v>
      </c>
      <c r="AE437" s="653">
        <v>0</v>
      </c>
      <c r="AF437" s="653">
        <v>0</v>
      </c>
      <c r="AG437" s="653">
        <v>0</v>
      </c>
      <c r="AH437" s="653">
        <v>0</v>
      </c>
      <c r="AI437" s="653">
        <v>0</v>
      </c>
      <c r="AJ437" s="653">
        <v>0</v>
      </c>
      <c r="AK437" s="653">
        <v>0</v>
      </c>
      <c r="AL437" s="653">
        <v>0</v>
      </c>
      <c r="AM437" s="653">
        <v>0</v>
      </c>
      <c r="AN437" s="653">
        <v>0</v>
      </c>
      <c r="AO437" s="653">
        <v>0</v>
      </c>
      <c r="AP437" s="653">
        <v>0</v>
      </c>
      <c r="AQ437" s="653">
        <v>0</v>
      </c>
      <c r="AR437" s="653">
        <v>0</v>
      </c>
      <c r="AS437" s="653">
        <v>0</v>
      </c>
      <c r="AT437" s="630">
        <f t="shared" si="329"/>
        <v>8.2500000000000004E-2</v>
      </c>
      <c r="AU437" s="571">
        <v>0.5</v>
      </c>
      <c r="AV437" s="625">
        <f t="shared" si="368"/>
        <v>0.5</v>
      </c>
      <c r="AW437" s="1003">
        <v>1</v>
      </c>
      <c r="AX437" s="604">
        <f t="shared" si="369"/>
        <v>1</v>
      </c>
      <c r="AY437" s="604">
        <f t="shared" si="370"/>
        <v>200</v>
      </c>
      <c r="AZ437" s="604">
        <f t="shared" si="330"/>
        <v>100</v>
      </c>
      <c r="BA437" s="592">
        <f t="shared" si="331"/>
        <v>8.2500000000000004E-2</v>
      </c>
      <c r="BB437" s="592">
        <f t="shared" si="332"/>
        <v>100</v>
      </c>
      <c r="BC437" s="591">
        <v>38000000</v>
      </c>
      <c r="BD437" s="591">
        <v>0</v>
      </c>
      <c r="BE437" s="591">
        <v>38000000</v>
      </c>
      <c r="BF437" s="591">
        <v>0</v>
      </c>
      <c r="BG437" s="591">
        <v>0</v>
      </c>
      <c r="BH437" s="591">
        <v>0</v>
      </c>
      <c r="BI437" s="591">
        <v>0</v>
      </c>
      <c r="BJ437" s="591">
        <v>0</v>
      </c>
      <c r="BK437" s="624">
        <v>208850000</v>
      </c>
      <c r="BL437" s="589">
        <v>208850000</v>
      </c>
      <c r="BM437" s="589">
        <v>0</v>
      </c>
      <c r="BN437" s="589">
        <v>0</v>
      </c>
      <c r="BO437" s="589">
        <v>0</v>
      </c>
      <c r="BP437" s="589">
        <v>0</v>
      </c>
      <c r="BQ437" s="589">
        <v>0</v>
      </c>
      <c r="BR437" s="589">
        <v>0</v>
      </c>
      <c r="BS437" s="589">
        <v>0</v>
      </c>
      <c r="BT437" s="589">
        <v>0</v>
      </c>
      <c r="BU437" s="589">
        <v>0</v>
      </c>
      <c r="BV437" s="588">
        <f t="shared" si="333"/>
        <v>8.2500000000000004E-2</v>
      </c>
      <c r="BW437" s="588">
        <v>0.5</v>
      </c>
      <c r="BX437" s="623">
        <f t="shared" si="371"/>
        <v>0.5</v>
      </c>
      <c r="BY437" s="607">
        <v>0</v>
      </c>
      <c r="BZ437" s="629">
        <v>0</v>
      </c>
      <c r="CA437" s="1017">
        <v>0</v>
      </c>
      <c r="CB437" s="557">
        <f t="shared" si="372"/>
        <v>0</v>
      </c>
      <c r="CC437" s="557">
        <f t="shared" si="373"/>
        <v>0</v>
      </c>
      <c r="CD437" s="622">
        <f t="shared" si="334"/>
        <v>0</v>
      </c>
      <c r="CE437" s="621">
        <f t="shared" si="335"/>
        <v>0</v>
      </c>
      <c r="CF437" s="605">
        <f t="shared" si="336"/>
        <v>0</v>
      </c>
      <c r="CG437" s="621">
        <f t="shared" si="337"/>
        <v>0</v>
      </c>
      <c r="CH437" s="553">
        <f t="shared" si="338"/>
        <v>0</v>
      </c>
      <c r="CI437" s="552">
        <v>0</v>
      </c>
      <c r="CJ437" s="551">
        <f t="shared" si="374"/>
        <v>0</v>
      </c>
      <c r="CK437" s="874">
        <v>0</v>
      </c>
      <c r="CL437" s="533">
        <f t="shared" si="380"/>
        <v>0</v>
      </c>
      <c r="CM437" s="619">
        <f t="shared" si="375"/>
        <v>0</v>
      </c>
      <c r="CN437" s="619">
        <f t="shared" si="376"/>
        <v>0</v>
      </c>
      <c r="CO437" s="549">
        <f t="shared" si="339"/>
        <v>0</v>
      </c>
      <c r="CP437" s="619">
        <f t="shared" si="340"/>
        <v>0</v>
      </c>
      <c r="CQ437" s="619">
        <f t="shared" si="341"/>
        <v>0</v>
      </c>
      <c r="CR437" s="546">
        <v>41000000</v>
      </c>
      <c r="CS437" s="546">
        <v>41000000</v>
      </c>
      <c r="CT437" s="546">
        <v>0</v>
      </c>
      <c r="CU437" s="546">
        <v>0</v>
      </c>
      <c r="CV437" s="546">
        <v>0</v>
      </c>
      <c r="CW437" s="546">
        <v>0</v>
      </c>
      <c r="CX437" s="546">
        <v>0</v>
      </c>
      <c r="CY437" s="546">
        <v>0</v>
      </c>
      <c r="CZ437" s="618">
        <v>0</v>
      </c>
      <c r="DA437" s="618">
        <v>0</v>
      </c>
      <c r="DB437" s="618">
        <v>0</v>
      </c>
      <c r="DC437" s="618">
        <v>0</v>
      </c>
      <c r="DD437" s="618">
        <v>0</v>
      </c>
      <c r="DE437" s="618">
        <v>0</v>
      </c>
      <c r="DF437" s="618">
        <v>0</v>
      </c>
      <c r="DG437" s="618">
        <v>0</v>
      </c>
      <c r="DH437" s="618">
        <v>0</v>
      </c>
      <c r="DI437" s="618">
        <v>0</v>
      </c>
      <c r="DJ437" s="618">
        <v>0</v>
      </c>
      <c r="DK437" s="1034">
        <f t="shared" si="377"/>
        <v>1</v>
      </c>
      <c r="DL437" s="543">
        <f t="shared" si="342"/>
        <v>0.16500000000000001</v>
      </c>
      <c r="DM437" s="542">
        <f t="shared" si="343"/>
        <v>100</v>
      </c>
      <c r="DN437" s="594">
        <f t="shared" si="344"/>
        <v>100</v>
      </c>
      <c r="DO437" s="540">
        <f t="shared" si="345"/>
        <v>0.16500000000000001</v>
      </c>
      <c r="DP437" s="597">
        <f t="shared" si="379"/>
        <v>0.16500000000000001</v>
      </c>
      <c r="DQ437" s="538">
        <f t="shared" si="346"/>
        <v>0.16500000000000001</v>
      </c>
      <c r="DR437" s="617">
        <f t="shared" si="347"/>
        <v>1</v>
      </c>
      <c r="DS437" s="616">
        <f t="shared" si="348"/>
        <v>0</v>
      </c>
      <c r="DT437" s="259">
        <v>611</v>
      </c>
      <c r="DU437" s="260" t="s">
        <v>256</v>
      </c>
      <c r="DV437" s="259"/>
      <c r="DW437" s="260" t="s">
        <v>242</v>
      </c>
      <c r="DX437" s="259"/>
      <c r="DY437" s="259"/>
      <c r="DZ437" s="259"/>
      <c r="EA437" s="987"/>
      <c r="EB437" s="1041" t="s">
        <v>2740</v>
      </c>
      <c r="EC437" s="802">
        <v>40000000</v>
      </c>
      <c r="EE437" s="1047"/>
    </row>
    <row r="438" spans="4:135" s="534" customFormat="1" ht="63.75" hidden="1" x14ac:dyDescent="0.3">
      <c r="D438" s="783">
        <v>435</v>
      </c>
      <c r="E438" s="799">
        <v>506</v>
      </c>
      <c r="F438" s="739" t="s">
        <v>203</v>
      </c>
      <c r="G438" s="739" t="s">
        <v>9</v>
      </c>
      <c r="H438" s="739" t="s">
        <v>162</v>
      </c>
      <c r="I438" s="676" t="s">
        <v>1204</v>
      </c>
      <c r="J438" s="573" t="s">
        <v>1211</v>
      </c>
      <c r="K438" s="573" t="s">
        <v>1494</v>
      </c>
      <c r="L438" s="647" t="s">
        <v>2083</v>
      </c>
      <c r="M438" s="571" t="s">
        <v>2017</v>
      </c>
      <c r="N438" s="575">
        <v>0</v>
      </c>
      <c r="O438" s="570">
        <f t="shared" si="378"/>
        <v>20</v>
      </c>
      <c r="P438" s="663">
        <v>20</v>
      </c>
      <c r="Q438" s="628">
        <v>8.8999999999999996E-2</v>
      </c>
      <c r="R438" s="580">
        <f t="shared" si="326"/>
        <v>4.45E-3</v>
      </c>
      <c r="S438" s="657">
        <v>1</v>
      </c>
      <c r="T438" s="575">
        <f t="shared" si="365"/>
        <v>0.05</v>
      </c>
      <c r="U438" s="996">
        <v>1</v>
      </c>
      <c r="V438" s="626">
        <f t="shared" si="366"/>
        <v>1</v>
      </c>
      <c r="W438" s="594">
        <f t="shared" si="367"/>
        <v>100</v>
      </c>
      <c r="X438" s="594">
        <f t="shared" si="327"/>
        <v>100</v>
      </c>
      <c r="Y438" s="594">
        <f t="shared" si="364"/>
        <v>4.45E-3</v>
      </c>
      <c r="Z438" s="594">
        <f t="shared" si="328"/>
        <v>100</v>
      </c>
      <c r="AA438" s="653">
        <v>56000000</v>
      </c>
      <c r="AB438" s="653">
        <v>56000000</v>
      </c>
      <c r="AC438" s="653">
        <v>0</v>
      </c>
      <c r="AD438" s="653">
        <v>0</v>
      </c>
      <c r="AE438" s="653">
        <v>0</v>
      </c>
      <c r="AF438" s="653">
        <v>0</v>
      </c>
      <c r="AG438" s="653">
        <v>0</v>
      </c>
      <c r="AH438" s="653">
        <v>0</v>
      </c>
      <c r="AI438" s="653">
        <v>64000000</v>
      </c>
      <c r="AJ438" s="653">
        <v>64000000</v>
      </c>
      <c r="AK438" s="653">
        <v>0</v>
      </c>
      <c r="AL438" s="653">
        <v>0</v>
      </c>
      <c r="AM438" s="653">
        <v>0</v>
      </c>
      <c r="AN438" s="653">
        <v>0</v>
      </c>
      <c r="AO438" s="653">
        <v>0</v>
      </c>
      <c r="AP438" s="653">
        <v>0</v>
      </c>
      <c r="AQ438" s="653">
        <v>0</v>
      </c>
      <c r="AR438" s="653">
        <v>0</v>
      </c>
      <c r="AS438" s="653">
        <v>0</v>
      </c>
      <c r="AT438" s="570">
        <f t="shared" si="329"/>
        <v>3.1149999999999997E-2</v>
      </c>
      <c r="AU438" s="571">
        <v>7</v>
      </c>
      <c r="AV438" s="625">
        <f t="shared" si="368"/>
        <v>0.35</v>
      </c>
      <c r="AW438" s="1003">
        <v>16</v>
      </c>
      <c r="AX438" s="604">
        <f t="shared" si="369"/>
        <v>16</v>
      </c>
      <c r="AY438" s="604">
        <f t="shared" si="370"/>
        <v>228.57142857142858</v>
      </c>
      <c r="AZ438" s="604">
        <f t="shared" si="330"/>
        <v>100</v>
      </c>
      <c r="BA438" s="592">
        <f t="shared" si="331"/>
        <v>3.1149999999999997E-2</v>
      </c>
      <c r="BB438" s="592">
        <f t="shared" si="332"/>
        <v>100</v>
      </c>
      <c r="BC438" s="591">
        <v>58000000</v>
      </c>
      <c r="BD438" s="591">
        <v>0</v>
      </c>
      <c r="BE438" s="591">
        <v>58000000</v>
      </c>
      <c r="BF438" s="591">
        <v>0</v>
      </c>
      <c r="BG438" s="591">
        <v>0</v>
      </c>
      <c r="BH438" s="591">
        <v>0</v>
      </c>
      <c r="BI438" s="591">
        <v>0</v>
      </c>
      <c r="BJ438" s="591">
        <v>0</v>
      </c>
      <c r="BK438" s="624">
        <v>89500000</v>
      </c>
      <c r="BL438" s="589">
        <v>89500000</v>
      </c>
      <c r="BM438" s="589">
        <v>0</v>
      </c>
      <c r="BN438" s="589">
        <v>0</v>
      </c>
      <c r="BO438" s="589">
        <v>0</v>
      </c>
      <c r="BP438" s="589">
        <v>0</v>
      </c>
      <c r="BQ438" s="589">
        <v>0</v>
      </c>
      <c r="BR438" s="589">
        <v>0</v>
      </c>
      <c r="BS438" s="589">
        <v>0</v>
      </c>
      <c r="BT438" s="589">
        <v>0</v>
      </c>
      <c r="BU438" s="589">
        <v>0</v>
      </c>
      <c r="BV438" s="588">
        <f t="shared" si="333"/>
        <v>2.6699999999999998E-2</v>
      </c>
      <c r="BW438" s="588">
        <v>6</v>
      </c>
      <c r="BX438" s="623">
        <f t="shared" si="371"/>
        <v>0.3</v>
      </c>
      <c r="BY438" s="607">
        <v>5</v>
      </c>
      <c r="BZ438" s="629">
        <v>11</v>
      </c>
      <c r="CA438" s="1017">
        <v>17</v>
      </c>
      <c r="CB438" s="557">
        <f t="shared" si="372"/>
        <v>17</v>
      </c>
      <c r="CC438" s="557">
        <f t="shared" si="373"/>
        <v>283.33333333333331</v>
      </c>
      <c r="CD438" s="622">
        <f t="shared" si="334"/>
        <v>100</v>
      </c>
      <c r="CE438" s="621">
        <f t="shared" si="335"/>
        <v>2.6699999999999998E-2</v>
      </c>
      <c r="CF438" s="605">
        <f t="shared" si="336"/>
        <v>100</v>
      </c>
      <c r="CG438" s="621">
        <f t="shared" si="337"/>
        <v>7.5649999999999981E-2</v>
      </c>
      <c r="CH438" s="553">
        <f t="shared" si="338"/>
        <v>2.6699999999999998E-2</v>
      </c>
      <c r="CI438" s="552">
        <v>6</v>
      </c>
      <c r="CJ438" s="551">
        <f t="shared" si="374"/>
        <v>0.3</v>
      </c>
      <c r="CK438" s="874">
        <v>8</v>
      </c>
      <c r="CL438" s="533">
        <f t="shared" si="380"/>
        <v>-2</v>
      </c>
      <c r="CM438" s="619">
        <f t="shared" si="375"/>
        <v>8</v>
      </c>
      <c r="CN438" s="619">
        <f t="shared" si="376"/>
        <v>133.33333333333334</v>
      </c>
      <c r="CO438" s="549">
        <f t="shared" si="339"/>
        <v>100</v>
      </c>
      <c r="CP438" s="619">
        <f t="shared" si="340"/>
        <v>2.6699999999999998E-2</v>
      </c>
      <c r="CQ438" s="619">
        <f t="shared" si="341"/>
        <v>3.56E-2</v>
      </c>
      <c r="CR438" s="546">
        <v>61000000</v>
      </c>
      <c r="CS438" s="546">
        <v>61000000</v>
      </c>
      <c r="CT438" s="546">
        <v>0</v>
      </c>
      <c r="CU438" s="546">
        <v>0</v>
      </c>
      <c r="CV438" s="546">
        <v>0</v>
      </c>
      <c r="CW438" s="546">
        <v>0</v>
      </c>
      <c r="CX438" s="546">
        <v>0</v>
      </c>
      <c r="CY438" s="546">
        <v>0</v>
      </c>
      <c r="CZ438" s="618">
        <v>0</v>
      </c>
      <c r="DA438" s="618">
        <v>0</v>
      </c>
      <c r="DB438" s="618">
        <v>0</v>
      </c>
      <c r="DC438" s="618">
        <v>0</v>
      </c>
      <c r="DD438" s="618">
        <v>0</v>
      </c>
      <c r="DE438" s="618">
        <v>0</v>
      </c>
      <c r="DF438" s="618">
        <v>0</v>
      </c>
      <c r="DG438" s="618">
        <v>0</v>
      </c>
      <c r="DH438" s="618">
        <v>0</v>
      </c>
      <c r="DI438" s="618">
        <v>0</v>
      </c>
      <c r="DJ438" s="618">
        <v>0</v>
      </c>
      <c r="DK438" s="1034">
        <f t="shared" si="377"/>
        <v>42</v>
      </c>
      <c r="DL438" s="543">
        <f t="shared" si="342"/>
        <v>8.8999999999999996E-2</v>
      </c>
      <c r="DM438" s="542">
        <f t="shared" si="343"/>
        <v>210</v>
      </c>
      <c r="DN438" s="594">
        <f t="shared" si="344"/>
        <v>100</v>
      </c>
      <c r="DO438" s="540">
        <f t="shared" si="345"/>
        <v>8.900000000000001E-2</v>
      </c>
      <c r="DP438" s="597">
        <f t="shared" si="379"/>
        <v>8.8999999999999996E-2</v>
      </c>
      <c r="DQ438" s="538">
        <f t="shared" si="346"/>
        <v>8.8999999999999996E-2</v>
      </c>
      <c r="DR438" s="617">
        <f t="shared" si="347"/>
        <v>1</v>
      </c>
      <c r="DS438" s="616">
        <f t="shared" si="348"/>
        <v>0</v>
      </c>
      <c r="DT438" s="259">
        <v>611</v>
      </c>
      <c r="DU438" s="260" t="s">
        <v>256</v>
      </c>
      <c r="DV438" s="259"/>
      <c r="DW438" s="260" t="s">
        <v>242</v>
      </c>
      <c r="DX438" s="259"/>
      <c r="DY438" s="259"/>
      <c r="DZ438" s="259"/>
      <c r="EA438" s="987"/>
      <c r="EB438" s="1041" t="s">
        <v>2741</v>
      </c>
      <c r="EC438" s="802">
        <v>59000000</v>
      </c>
      <c r="EE438" s="1047"/>
    </row>
    <row r="439" spans="4:135" s="534" customFormat="1" ht="102" hidden="1" x14ac:dyDescent="0.3">
      <c r="D439" s="783">
        <v>436</v>
      </c>
      <c r="E439" s="799">
        <v>507</v>
      </c>
      <c r="F439" s="739" t="s">
        <v>203</v>
      </c>
      <c r="G439" s="739" t="s">
        <v>9</v>
      </c>
      <c r="H439" s="739" t="s">
        <v>162</v>
      </c>
      <c r="I439" s="676" t="s">
        <v>1204</v>
      </c>
      <c r="J439" s="573" t="s">
        <v>1212</v>
      </c>
      <c r="K439" s="573" t="s">
        <v>1213</v>
      </c>
      <c r="L439" s="647" t="s">
        <v>2082</v>
      </c>
      <c r="M439" s="571" t="s">
        <v>2017</v>
      </c>
      <c r="N439" s="575">
        <v>0</v>
      </c>
      <c r="O439" s="570">
        <f t="shared" si="378"/>
        <v>117</v>
      </c>
      <c r="P439" s="663">
        <v>117</v>
      </c>
      <c r="Q439" s="628">
        <v>0.16500000000000001</v>
      </c>
      <c r="R439" s="580">
        <f t="shared" si="326"/>
        <v>0</v>
      </c>
      <c r="S439" s="657">
        <v>0</v>
      </c>
      <c r="T439" s="575">
        <f t="shared" si="365"/>
        <v>0</v>
      </c>
      <c r="U439" s="996">
        <v>0</v>
      </c>
      <c r="V439" s="626">
        <f t="shared" si="366"/>
        <v>0</v>
      </c>
      <c r="W439" s="594">
        <f t="shared" si="367"/>
        <v>0</v>
      </c>
      <c r="X439" s="594">
        <f t="shared" si="327"/>
        <v>0</v>
      </c>
      <c r="Y439" s="594">
        <f t="shared" si="364"/>
        <v>0</v>
      </c>
      <c r="Z439" s="594">
        <f t="shared" si="328"/>
        <v>0</v>
      </c>
      <c r="AA439" s="653">
        <v>22000000</v>
      </c>
      <c r="AB439" s="653">
        <v>22000000</v>
      </c>
      <c r="AC439" s="653">
        <v>0</v>
      </c>
      <c r="AD439" s="653">
        <v>0</v>
      </c>
      <c r="AE439" s="653">
        <v>0</v>
      </c>
      <c r="AF439" s="653">
        <v>0</v>
      </c>
      <c r="AG439" s="653">
        <v>0</v>
      </c>
      <c r="AH439" s="653">
        <v>0</v>
      </c>
      <c r="AI439" s="653">
        <v>0</v>
      </c>
      <c r="AJ439" s="653">
        <v>0</v>
      </c>
      <c r="AK439" s="653">
        <v>0</v>
      </c>
      <c r="AL439" s="653">
        <v>0</v>
      </c>
      <c r="AM439" s="653">
        <v>0</v>
      </c>
      <c r="AN439" s="653">
        <v>0</v>
      </c>
      <c r="AO439" s="653">
        <v>0</v>
      </c>
      <c r="AP439" s="653">
        <v>0</v>
      </c>
      <c r="AQ439" s="653">
        <v>0</v>
      </c>
      <c r="AR439" s="653">
        <v>0</v>
      </c>
      <c r="AS439" s="653">
        <v>0</v>
      </c>
      <c r="AT439" s="570">
        <f t="shared" si="329"/>
        <v>5.5E-2</v>
      </c>
      <c r="AU439" s="571">
        <v>39</v>
      </c>
      <c r="AV439" s="625">
        <f t="shared" si="368"/>
        <v>0.33333333333333331</v>
      </c>
      <c r="AW439" s="1003">
        <v>15</v>
      </c>
      <c r="AX439" s="604">
        <f t="shared" si="369"/>
        <v>15</v>
      </c>
      <c r="AY439" s="604">
        <f t="shared" si="370"/>
        <v>38.46153846153846</v>
      </c>
      <c r="AZ439" s="604">
        <f t="shared" si="330"/>
        <v>38.46153846153846</v>
      </c>
      <c r="BA439" s="592">
        <f t="shared" si="331"/>
        <v>2.1153846153846155E-2</v>
      </c>
      <c r="BB439" s="592">
        <f t="shared" si="332"/>
        <v>38.46153846153846</v>
      </c>
      <c r="BC439" s="591">
        <v>23000000</v>
      </c>
      <c r="BD439" s="591">
        <v>0</v>
      </c>
      <c r="BE439" s="591">
        <v>23000000</v>
      </c>
      <c r="BF439" s="591">
        <v>0</v>
      </c>
      <c r="BG439" s="591">
        <v>0</v>
      </c>
      <c r="BH439" s="591">
        <v>0</v>
      </c>
      <c r="BI439" s="591">
        <v>0</v>
      </c>
      <c r="BJ439" s="591">
        <v>0</v>
      </c>
      <c r="BK439" s="624">
        <v>187877931</v>
      </c>
      <c r="BL439" s="589">
        <v>187877931</v>
      </c>
      <c r="BM439" s="589">
        <v>0</v>
      </c>
      <c r="BN439" s="589">
        <v>0</v>
      </c>
      <c r="BO439" s="589">
        <v>0</v>
      </c>
      <c r="BP439" s="589">
        <v>0</v>
      </c>
      <c r="BQ439" s="589">
        <v>0</v>
      </c>
      <c r="BR439" s="589">
        <v>0</v>
      </c>
      <c r="BS439" s="589">
        <v>0</v>
      </c>
      <c r="BT439" s="589">
        <v>0</v>
      </c>
      <c r="BU439" s="589">
        <v>0</v>
      </c>
      <c r="BV439" s="588">
        <f t="shared" si="333"/>
        <v>5.5E-2</v>
      </c>
      <c r="BW439" s="588">
        <v>39</v>
      </c>
      <c r="BX439" s="623">
        <f t="shared" si="371"/>
        <v>0.33333333333333331</v>
      </c>
      <c r="BY439" s="607">
        <v>75</v>
      </c>
      <c r="BZ439" s="629">
        <v>75</v>
      </c>
      <c r="CA439" s="1017">
        <v>90</v>
      </c>
      <c r="CB439" s="557">
        <f t="shared" si="372"/>
        <v>90</v>
      </c>
      <c r="CC439" s="557">
        <f t="shared" si="373"/>
        <v>230.76923076923077</v>
      </c>
      <c r="CD439" s="622">
        <f t="shared" si="334"/>
        <v>100</v>
      </c>
      <c r="CE439" s="621">
        <f t="shared" si="335"/>
        <v>5.5E-2</v>
      </c>
      <c r="CF439" s="605">
        <f t="shared" si="336"/>
        <v>100</v>
      </c>
      <c r="CG439" s="621">
        <f t="shared" si="337"/>
        <v>0.12692307692307694</v>
      </c>
      <c r="CH439" s="553">
        <f t="shared" si="338"/>
        <v>5.5E-2</v>
      </c>
      <c r="CI439" s="552">
        <v>39</v>
      </c>
      <c r="CJ439" s="551">
        <f t="shared" si="374"/>
        <v>0.33333333333333331</v>
      </c>
      <c r="CK439" s="874">
        <v>37</v>
      </c>
      <c r="CL439" s="533">
        <f t="shared" si="380"/>
        <v>2</v>
      </c>
      <c r="CM439" s="619">
        <f t="shared" si="375"/>
        <v>37</v>
      </c>
      <c r="CN439" s="619">
        <f t="shared" si="376"/>
        <v>94.871794871794876</v>
      </c>
      <c r="CO439" s="549">
        <f t="shared" si="339"/>
        <v>94.871794871794876</v>
      </c>
      <c r="CP439" s="619">
        <f t="shared" si="340"/>
        <v>5.2179487179487179E-2</v>
      </c>
      <c r="CQ439" s="619">
        <f t="shared" si="341"/>
        <v>5.2179487179487179E-2</v>
      </c>
      <c r="CR439" s="546">
        <v>24000000</v>
      </c>
      <c r="CS439" s="546">
        <v>24000000</v>
      </c>
      <c r="CT439" s="546">
        <v>0</v>
      </c>
      <c r="CU439" s="546">
        <v>0</v>
      </c>
      <c r="CV439" s="546">
        <v>0</v>
      </c>
      <c r="CW439" s="546">
        <v>0</v>
      </c>
      <c r="CX439" s="546">
        <v>0</v>
      </c>
      <c r="CY439" s="546">
        <v>0</v>
      </c>
      <c r="CZ439" s="618">
        <v>0</v>
      </c>
      <c r="DA439" s="618">
        <v>0</v>
      </c>
      <c r="DB439" s="618">
        <v>0</v>
      </c>
      <c r="DC439" s="618">
        <v>0</v>
      </c>
      <c r="DD439" s="618">
        <v>0</v>
      </c>
      <c r="DE439" s="618">
        <v>0</v>
      </c>
      <c r="DF439" s="618">
        <v>0</v>
      </c>
      <c r="DG439" s="618">
        <v>0</v>
      </c>
      <c r="DH439" s="618">
        <v>0</v>
      </c>
      <c r="DI439" s="618">
        <v>0</v>
      </c>
      <c r="DJ439" s="618">
        <v>0</v>
      </c>
      <c r="DK439" s="1034">
        <f t="shared" si="377"/>
        <v>142</v>
      </c>
      <c r="DL439" s="543">
        <f t="shared" si="342"/>
        <v>0.16500000000000001</v>
      </c>
      <c r="DM439" s="542">
        <f t="shared" si="343"/>
        <v>121.36752136752136</v>
      </c>
      <c r="DN439" s="594">
        <f t="shared" si="344"/>
        <v>100</v>
      </c>
      <c r="DO439" s="540">
        <f t="shared" si="345"/>
        <v>0.16500000000000001</v>
      </c>
      <c r="DP439" s="597">
        <f t="shared" si="379"/>
        <v>0.16500000000000001</v>
      </c>
      <c r="DQ439" s="538">
        <f t="shared" si="346"/>
        <v>0.16500000000000001</v>
      </c>
      <c r="DR439" s="617">
        <f t="shared" si="347"/>
        <v>1</v>
      </c>
      <c r="DS439" s="616">
        <f t="shared" si="348"/>
        <v>0</v>
      </c>
      <c r="DT439" s="259">
        <v>611</v>
      </c>
      <c r="DU439" s="260" t="s">
        <v>256</v>
      </c>
      <c r="DV439" s="259"/>
      <c r="DW439" s="260" t="s">
        <v>242</v>
      </c>
      <c r="DX439" s="259"/>
      <c r="DY439" s="259"/>
      <c r="DZ439" s="259"/>
      <c r="EA439" s="987"/>
      <c r="EB439" s="1041" t="s">
        <v>2742</v>
      </c>
      <c r="EC439" s="802">
        <v>24000000</v>
      </c>
      <c r="EE439" s="1047"/>
    </row>
    <row r="440" spans="4:135" s="534" customFormat="1" ht="63.75" hidden="1" x14ac:dyDescent="0.3">
      <c r="D440" s="783">
        <v>437</v>
      </c>
      <c r="E440" s="799">
        <v>508</v>
      </c>
      <c r="F440" s="739" t="s">
        <v>203</v>
      </c>
      <c r="G440" s="739" t="s">
        <v>9</v>
      </c>
      <c r="H440" s="739" t="s">
        <v>162</v>
      </c>
      <c r="I440" s="676" t="s">
        <v>1214</v>
      </c>
      <c r="J440" s="573" t="s">
        <v>1215</v>
      </c>
      <c r="K440" s="573" t="s">
        <v>1216</v>
      </c>
      <c r="L440" s="596" t="s">
        <v>2038</v>
      </c>
      <c r="M440" s="571" t="s">
        <v>2017</v>
      </c>
      <c r="N440" s="575">
        <v>0</v>
      </c>
      <c r="O440" s="570">
        <f t="shared" si="378"/>
        <v>4</v>
      </c>
      <c r="P440" s="663">
        <v>4</v>
      </c>
      <c r="Q440" s="628">
        <v>8.8999999999999996E-2</v>
      </c>
      <c r="R440" s="580">
        <f t="shared" si="326"/>
        <v>0</v>
      </c>
      <c r="S440" s="657">
        <v>0</v>
      </c>
      <c r="T440" s="575">
        <f t="shared" si="365"/>
        <v>0</v>
      </c>
      <c r="U440" s="996">
        <v>0</v>
      </c>
      <c r="V440" s="626">
        <f t="shared" si="366"/>
        <v>0</v>
      </c>
      <c r="W440" s="594">
        <f t="shared" si="367"/>
        <v>0</v>
      </c>
      <c r="X440" s="594">
        <f t="shared" si="327"/>
        <v>0</v>
      </c>
      <c r="Y440" s="594">
        <f t="shared" si="364"/>
        <v>0</v>
      </c>
      <c r="Z440" s="594">
        <f t="shared" si="328"/>
        <v>0</v>
      </c>
      <c r="AA440" s="653">
        <v>50000000</v>
      </c>
      <c r="AB440" s="653">
        <v>50000000</v>
      </c>
      <c r="AC440" s="653">
        <v>0</v>
      </c>
      <c r="AD440" s="653">
        <v>0</v>
      </c>
      <c r="AE440" s="653">
        <v>0</v>
      </c>
      <c r="AF440" s="653">
        <v>0</v>
      </c>
      <c r="AG440" s="653">
        <v>0</v>
      </c>
      <c r="AH440" s="653">
        <v>0</v>
      </c>
      <c r="AI440" s="653">
        <v>0</v>
      </c>
      <c r="AJ440" s="653">
        <v>0</v>
      </c>
      <c r="AK440" s="653">
        <v>0</v>
      </c>
      <c r="AL440" s="653">
        <v>0</v>
      </c>
      <c r="AM440" s="653">
        <v>0</v>
      </c>
      <c r="AN440" s="653">
        <v>0</v>
      </c>
      <c r="AO440" s="653">
        <v>0</v>
      </c>
      <c r="AP440" s="653">
        <v>0</v>
      </c>
      <c r="AQ440" s="653">
        <v>0</v>
      </c>
      <c r="AR440" s="653">
        <v>0</v>
      </c>
      <c r="AS440" s="653">
        <v>0</v>
      </c>
      <c r="AT440" s="570">
        <f t="shared" si="329"/>
        <v>4.4499999999999998E-2</v>
      </c>
      <c r="AU440" s="571">
        <v>2</v>
      </c>
      <c r="AV440" s="625">
        <f t="shared" si="368"/>
        <v>0.5</v>
      </c>
      <c r="AW440" s="1003">
        <v>2</v>
      </c>
      <c r="AX440" s="604">
        <f t="shared" si="369"/>
        <v>2</v>
      </c>
      <c r="AY440" s="604">
        <f t="shared" si="370"/>
        <v>100</v>
      </c>
      <c r="AZ440" s="604">
        <f t="shared" si="330"/>
        <v>100</v>
      </c>
      <c r="BA440" s="592">
        <f t="shared" si="331"/>
        <v>4.4500000000000005E-2</v>
      </c>
      <c r="BB440" s="592">
        <f t="shared" si="332"/>
        <v>100</v>
      </c>
      <c r="BC440" s="591">
        <v>30000000</v>
      </c>
      <c r="BD440" s="591">
        <v>0</v>
      </c>
      <c r="BE440" s="591">
        <v>30000000</v>
      </c>
      <c r="BF440" s="591">
        <v>0</v>
      </c>
      <c r="BG440" s="591">
        <v>0</v>
      </c>
      <c r="BH440" s="591">
        <v>0</v>
      </c>
      <c r="BI440" s="591">
        <v>0</v>
      </c>
      <c r="BJ440" s="591">
        <v>0</v>
      </c>
      <c r="BK440" s="624">
        <v>300000000</v>
      </c>
      <c r="BL440" s="589">
        <v>300000000</v>
      </c>
      <c r="BM440" s="589">
        <v>0</v>
      </c>
      <c r="BN440" s="589">
        <v>0</v>
      </c>
      <c r="BO440" s="589">
        <v>0</v>
      </c>
      <c r="BP440" s="589">
        <v>0</v>
      </c>
      <c r="BQ440" s="589">
        <v>0</v>
      </c>
      <c r="BR440" s="589">
        <v>0</v>
      </c>
      <c r="BS440" s="589">
        <v>0</v>
      </c>
      <c r="BT440" s="589">
        <v>0</v>
      </c>
      <c r="BU440" s="589">
        <v>0</v>
      </c>
      <c r="BV440" s="588">
        <f t="shared" si="333"/>
        <v>4.4499999999999998E-2</v>
      </c>
      <c r="BW440" s="588">
        <v>2</v>
      </c>
      <c r="BX440" s="623">
        <f t="shared" si="371"/>
        <v>0.5</v>
      </c>
      <c r="BY440" s="607">
        <v>1</v>
      </c>
      <c r="BZ440" s="629">
        <v>1</v>
      </c>
      <c r="CA440" s="1017">
        <v>2</v>
      </c>
      <c r="CB440" s="557">
        <f t="shared" si="372"/>
        <v>2</v>
      </c>
      <c r="CC440" s="557">
        <f t="shared" si="373"/>
        <v>100</v>
      </c>
      <c r="CD440" s="622">
        <f t="shared" si="334"/>
        <v>100</v>
      </c>
      <c r="CE440" s="621">
        <f t="shared" si="335"/>
        <v>4.4500000000000005E-2</v>
      </c>
      <c r="CF440" s="605">
        <f t="shared" si="336"/>
        <v>100</v>
      </c>
      <c r="CG440" s="621">
        <f t="shared" si="337"/>
        <v>4.4500000000000005E-2</v>
      </c>
      <c r="CH440" s="553">
        <f t="shared" si="338"/>
        <v>0</v>
      </c>
      <c r="CI440" s="552">
        <v>0</v>
      </c>
      <c r="CJ440" s="551">
        <f t="shared" si="374"/>
        <v>0</v>
      </c>
      <c r="CK440" s="874">
        <v>1</v>
      </c>
      <c r="CL440" s="533">
        <f t="shared" si="380"/>
        <v>-1</v>
      </c>
      <c r="CM440" s="619">
        <f t="shared" si="375"/>
        <v>1</v>
      </c>
      <c r="CN440" s="619">
        <f t="shared" si="376"/>
        <v>0</v>
      </c>
      <c r="CO440" s="549">
        <f t="shared" si="339"/>
        <v>0</v>
      </c>
      <c r="CP440" s="619">
        <f t="shared" si="340"/>
        <v>0</v>
      </c>
      <c r="CQ440" s="619">
        <f t="shared" si="341"/>
        <v>0</v>
      </c>
      <c r="CR440" s="546">
        <v>150000000</v>
      </c>
      <c r="CS440" s="546">
        <v>150000000</v>
      </c>
      <c r="CT440" s="546">
        <v>0</v>
      </c>
      <c r="CU440" s="546">
        <v>0</v>
      </c>
      <c r="CV440" s="546">
        <v>0</v>
      </c>
      <c r="CW440" s="546">
        <v>0</v>
      </c>
      <c r="CX440" s="546">
        <v>0</v>
      </c>
      <c r="CY440" s="546">
        <v>0</v>
      </c>
      <c r="CZ440" s="618">
        <v>0</v>
      </c>
      <c r="DA440" s="618">
        <v>0</v>
      </c>
      <c r="DB440" s="618">
        <v>0</v>
      </c>
      <c r="DC440" s="618">
        <v>0</v>
      </c>
      <c r="DD440" s="618">
        <v>0</v>
      </c>
      <c r="DE440" s="618">
        <v>0</v>
      </c>
      <c r="DF440" s="618">
        <v>0</v>
      </c>
      <c r="DG440" s="618">
        <v>0</v>
      </c>
      <c r="DH440" s="618">
        <v>0</v>
      </c>
      <c r="DI440" s="618">
        <v>0</v>
      </c>
      <c r="DJ440" s="618">
        <v>0</v>
      </c>
      <c r="DK440" s="1034">
        <f t="shared" si="377"/>
        <v>5</v>
      </c>
      <c r="DL440" s="543">
        <f t="shared" si="342"/>
        <v>8.8999999999999996E-2</v>
      </c>
      <c r="DM440" s="542">
        <f t="shared" si="343"/>
        <v>125</v>
      </c>
      <c r="DN440" s="594">
        <f t="shared" si="344"/>
        <v>100</v>
      </c>
      <c r="DO440" s="540">
        <f t="shared" si="345"/>
        <v>8.900000000000001E-2</v>
      </c>
      <c r="DP440" s="597">
        <f t="shared" si="379"/>
        <v>8.8999999999999996E-2</v>
      </c>
      <c r="DQ440" s="538">
        <f t="shared" si="346"/>
        <v>8.8999999999999996E-2</v>
      </c>
      <c r="DR440" s="617">
        <f t="shared" si="347"/>
        <v>1</v>
      </c>
      <c r="DS440" s="616">
        <f t="shared" si="348"/>
        <v>0</v>
      </c>
      <c r="DT440" s="259">
        <v>611</v>
      </c>
      <c r="DU440" s="260" t="s">
        <v>256</v>
      </c>
      <c r="DV440" s="259"/>
      <c r="DW440" s="260" t="s">
        <v>242</v>
      </c>
      <c r="DX440" s="259"/>
      <c r="DY440" s="259"/>
      <c r="DZ440" s="259"/>
      <c r="EA440" s="987"/>
      <c r="EB440" s="1041" t="s">
        <v>2743</v>
      </c>
      <c r="EC440" s="802">
        <v>150000000</v>
      </c>
      <c r="EE440" s="1047"/>
    </row>
    <row r="441" spans="4:135" s="534" customFormat="1" ht="63.75" hidden="1" x14ac:dyDescent="0.3">
      <c r="D441" s="783">
        <v>438</v>
      </c>
      <c r="E441" s="799">
        <v>509</v>
      </c>
      <c r="F441" s="739" t="s">
        <v>203</v>
      </c>
      <c r="G441" s="739" t="s">
        <v>9</v>
      </c>
      <c r="H441" s="739" t="s">
        <v>162</v>
      </c>
      <c r="I441" s="676" t="s">
        <v>1214</v>
      </c>
      <c r="J441" s="573" t="s">
        <v>1217</v>
      </c>
      <c r="K441" s="573" t="s">
        <v>1218</v>
      </c>
      <c r="L441" s="596" t="s">
        <v>1593</v>
      </c>
      <c r="M441" s="571" t="s">
        <v>2017</v>
      </c>
      <c r="N441" s="575">
        <v>0</v>
      </c>
      <c r="O441" s="570">
        <f t="shared" si="378"/>
        <v>116</v>
      </c>
      <c r="P441" s="663">
        <v>116</v>
      </c>
      <c r="Q441" s="628">
        <v>0.16500000000000001</v>
      </c>
      <c r="R441" s="580">
        <f t="shared" si="326"/>
        <v>0</v>
      </c>
      <c r="S441" s="657">
        <v>0</v>
      </c>
      <c r="T441" s="575">
        <f t="shared" si="365"/>
        <v>0</v>
      </c>
      <c r="U441" s="996">
        <v>0</v>
      </c>
      <c r="V441" s="626">
        <f t="shared" si="366"/>
        <v>0</v>
      </c>
      <c r="W441" s="594">
        <f t="shared" si="367"/>
        <v>0</v>
      </c>
      <c r="X441" s="594">
        <f t="shared" si="327"/>
        <v>0</v>
      </c>
      <c r="Y441" s="594">
        <f t="shared" si="364"/>
        <v>0</v>
      </c>
      <c r="Z441" s="594">
        <f t="shared" si="328"/>
        <v>0</v>
      </c>
      <c r="AA441" s="653">
        <v>0</v>
      </c>
      <c r="AB441" s="653">
        <v>0</v>
      </c>
      <c r="AC441" s="653">
        <v>0</v>
      </c>
      <c r="AD441" s="653">
        <v>0</v>
      </c>
      <c r="AE441" s="653">
        <v>0</v>
      </c>
      <c r="AF441" s="653">
        <v>0</v>
      </c>
      <c r="AG441" s="653">
        <v>0</v>
      </c>
      <c r="AH441" s="653">
        <v>0</v>
      </c>
      <c r="AI441" s="653">
        <v>0</v>
      </c>
      <c r="AJ441" s="653">
        <v>0</v>
      </c>
      <c r="AK441" s="653">
        <v>0</v>
      </c>
      <c r="AL441" s="653">
        <v>0</v>
      </c>
      <c r="AM441" s="653">
        <v>0</v>
      </c>
      <c r="AN441" s="653">
        <v>0</v>
      </c>
      <c r="AO441" s="653">
        <v>0</v>
      </c>
      <c r="AP441" s="653">
        <v>0</v>
      </c>
      <c r="AQ441" s="653">
        <v>0</v>
      </c>
      <c r="AR441" s="653">
        <v>0</v>
      </c>
      <c r="AS441" s="653">
        <v>0</v>
      </c>
      <c r="AT441" s="570">
        <f t="shared" si="329"/>
        <v>5.5474137931034485E-2</v>
      </c>
      <c r="AU441" s="571">
        <v>39</v>
      </c>
      <c r="AV441" s="625">
        <f t="shared" si="368"/>
        <v>0.33620689655172414</v>
      </c>
      <c r="AW441" s="1003">
        <v>20</v>
      </c>
      <c r="AX441" s="604">
        <f t="shared" si="369"/>
        <v>20</v>
      </c>
      <c r="AY441" s="604">
        <f t="shared" si="370"/>
        <v>51.282051282051285</v>
      </c>
      <c r="AZ441" s="604">
        <f t="shared" si="330"/>
        <v>51.282051282051285</v>
      </c>
      <c r="BA441" s="592">
        <f t="shared" si="331"/>
        <v>2.8448275862068967E-2</v>
      </c>
      <c r="BB441" s="592">
        <f t="shared" si="332"/>
        <v>51.282051282051285</v>
      </c>
      <c r="BC441" s="591">
        <v>20000000</v>
      </c>
      <c r="BD441" s="591">
        <v>0</v>
      </c>
      <c r="BE441" s="591">
        <v>20000000</v>
      </c>
      <c r="BF441" s="591">
        <v>0</v>
      </c>
      <c r="BG441" s="591">
        <v>0</v>
      </c>
      <c r="BH441" s="591">
        <v>0</v>
      </c>
      <c r="BI441" s="591">
        <v>0</v>
      </c>
      <c r="BJ441" s="591">
        <v>0</v>
      </c>
      <c r="BK441" s="624">
        <v>50000000</v>
      </c>
      <c r="BL441" s="589">
        <v>50000000</v>
      </c>
      <c r="BM441" s="589">
        <v>0</v>
      </c>
      <c r="BN441" s="589">
        <v>0</v>
      </c>
      <c r="BO441" s="589">
        <v>0</v>
      </c>
      <c r="BP441" s="589">
        <v>0</v>
      </c>
      <c r="BQ441" s="589">
        <v>0</v>
      </c>
      <c r="BR441" s="589">
        <v>0</v>
      </c>
      <c r="BS441" s="589">
        <v>0</v>
      </c>
      <c r="BT441" s="589">
        <v>0</v>
      </c>
      <c r="BU441" s="589">
        <v>0</v>
      </c>
      <c r="BV441" s="588">
        <f t="shared" si="333"/>
        <v>5.5474137931034485E-2</v>
      </c>
      <c r="BW441" s="588">
        <v>39</v>
      </c>
      <c r="BX441" s="623">
        <f t="shared" si="371"/>
        <v>0.33620689655172414</v>
      </c>
      <c r="BY441" s="607">
        <v>91</v>
      </c>
      <c r="BZ441" s="629">
        <v>91</v>
      </c>
      <c r="CA441" s="1017">
        <v>91</v>
      </c>
      <c r="CB441" s="557">
        <f t="shared" si="372"/>
        <v>91</v>
      </c>
      <c r="CC441" s="557">
        <f t="shared" si="373"/>
        <v>233.33333333333334</v>
      </c>
      <c r="CD441" s="622">
        <f t="shared" si="334"/>
        <v>100</v>
      </c>
      <c r="CE441" s="621">
        <f t="shared" si="335"/>
        <v>5.5474137931034485E-2</v>
      </c>
      <c r="CF441" s="605">
        <f t="shared" si="336"/>
        <v>100</v>
      </c>
      <c r="CG441" s="621">
        <f t="shared" si="337"/>
        <v>0.12943965517241382</v>
      </c>
      <c r="CH441" s="553">
        <f t="shared" si="338"/>
        <v>5.4051724137931037E-2</v>
      </c>
      <c r="CI441" s="552">
        <v>38</v>
      </c>
      <c r="CJ441" s="551">
        <f t="shared" si="374"/>
        <v>0.32758620689655171</v>
      </c>
      <c r="CK441" s="875">
        <v>0</v>
      </c>
      <c r="CL441" s="533">
        <f t="shared" si="380"/>
        <v>38</v>
      </c>
      <c r="CM441" s="619">
        <f t="shared" si="375"/>
        <v>0</v>
      </c>
      <c r="CN441" s="619">
        <f t="shared" si="376"/>
        <v>0</v>
      </c>
      <c r="CO441" s="549">
        <f t="shared" si="339"/>
        <v>0</v>
      </c>
      <c r="CP441" s="619">
        <f t="shared" si="340"/>
        <v>0</v>
      </c>
      <c r="CQ441" s="619">
        <f t="shared" si="341"/>
        <v>0</v>
      </c>
      <c r="CR441" s="546">
        <v>30000000</v>
      </c>
      <c r="CS441" s="546">
        <v>30000000</v>
      </c>
      <c r="CT441" s="546">
        <v>0</v>
      </c>
      <c r="CU441" s="546">
        <v>0</v>
      </c>
      <c r="CV441" s="546">
        <v>0</v>
      </c>
      <c r="CW441" s="546">
        <v>0</v>
      </c>
      <c r="CX441" s="546">
        <v>0</v>
      </c>
      <c r="CY441" s="546">
        <v>0</v>
      </c>
      <c r="CZ441" s="618">
        <v>0</v>
      </c>
      <c r="DA441" s="618">
        <v>0</v>
      </c>
      <c r="DB441" s="618">
        <v>0</v>
      </c>
      <c r="DC441" s="618">
        <v>0</v>
      </c>
      <c r="DD441" s="618">
        <v>0</v>
      </c>
      <c r="DE441" s="618">
        <v>0</v>
      </c>
      <c r="DF441" s="618">
        <v>0</v>
      </c>
      <c r="DG441" s="618">
        <v>0</v>
      </c>
      <c r="DH441" s="618">
        <v>0</v>
      </c>
      <c r="DI441" s="618">
        <v>0</v>
      </c>
      <c r="DJ441" s="618">
        <v>0</v>
      </c>
      <c r="DK441" s="1034">
        <f t="shared" si="377"/>
        <v>111</v>
      </c>
      <c r="DL441" s="543">
        <f t="shared" si="342"/>
        <v>0.16500000000000001</v>
      </c>
      <c r="DM441" s="542">
        <f t="shared" si="343"/>
        <v>95.689655172413794</v>
      </c>
      <c r="DN441" s="594">
        <f t="shared" si="344"/>
        <v>95.689655172413794</v>
      </c>
      <c r="DO441" s="540">
        <f t="shared" si="345"/>
        <v>0.15788793103448276</v>
      </c>
      <c r="DP441" s="597">
        <f t="shared" si="379"/>
        <v>0.15788793103448276</v>
      </c>
      <c r="DQ441" s="538">
        <f t="shared" si="346"/>
        <v>0.15788793103448276</v>
      </c>
      <c r="DR441" s="617">
        <f t="shared" si="347"/>
        <v>1</v>
      </c>
      <c r="DS441" s="616">
        <f t="shared" si="348"/>
        <v>0</v>
      </c>
      <c r="DT441" s="259">
        <v>611</v>
      </c>
      <c r="DU441" s="260" t="s">
        <v>256</v>
      </c>
      <c r="DV441" s="259"/>
      <c r="DW441" s="260" t="s">
        <v>242</v>
      </c>
      <c r="DX441" s="259"/>
      <c r="DY441" s="259"/>
      <c r="DZ441" s="259"/>
      <c r="EA441" s="987"/>
      <c r="EB441" s="1041" t="s">
        <v>2744</v>
      </c>
      <c r="EC441" s="802">
        <v>30000000</v>
      </c>
      <c r="EE441" s="1047"/>
    </row>
    <row r="442" spans="4:135" s="534" customFormat="1" ht="60" hidden="1" x14ac:dyDescent="0.3">
      <c r="D442" s="783">
        <v>439</v>
      </c>
      <c r="E442" s="799">
        <v>510</v>
      </c>
      <c r="F442" s="739" t="s">
        <v>203</v>
      </c>
      <c r="G442" s="739" t="s">
        <v>9</v>
      </c>
      <c r="H442" s="739" t="s">
        <v>162</v>
      </c>
      <c r="I442" s="676" t="s">
        <v>1214</v>
      </c>
      <c r="J442" s="573" t="s">
        <v>1219</v>
      </c>
      <c r="K442" s="573" t="s">
        <v>1495</v>
      </c>
      <c r="L442" s="596" t="s">
        <v>2038</v>
      </c>
      <c r="M442" s="571" t="s">
        <v>2017</v>
      </c>
      <c r="N442" s="575">
        <v>0</v>
      </c>
      <c r="O442" s="570">
        <f t="shared" si="378"/>
        <v>2</v>
      </c>
      <c r="P442" s="663">
        <f>2-N442</f>
        <v>2</v>
      </c>
      <c r="Q442" s="628">
        <v>0.16500000000000001</v>
      </c>
      <c r="R442" s="580">
        <f t="shared" si="326"/>
        <v>0</v>
      </c>
      <c r="S442" s="657">
        <v>0</v>
      </c>
      <c r="T442" s="575">
        <f t="shared" si="365"/>
        <v>0</v>
      </c>
      <c r="U442" s="996">
        <v>1</v>
      </c>
      <c r="V442" s="626">
        <f t="shared" si="366"/>
        <v>1</v>
      </c>
      <c r="W442" s="594">
        <f t="shared" si="367"/>
        <v>0</v>
      </c>
      <c r="X442" s="594">
        <f t="shared" si="327"/>
        <v>0</v>
      </c>
      <c r="Y442" s="594">
        <f t="shared" si="364"/>
        <v>0</v>
      </c>
      <c r="Z442" s="594">
        <f t="shared" si="328"/>
        <v>100</v>
      </c>
      <c r="AA442" s="653">
        <v>0</v>
      </c>
      <c r="AB442" s="653">
        <v>0</v>
      </c>
      <c r="AC442" s="653">
        <v>0</v>
      </c>
      <c r="AD442" s="653">
        <v>0</v>
      </c>
      <c r="AE442" s="653">
        <v>0</v>
      </c>
      <c r="AF442" s="653">
        <v>0</v>
      </c>
      <c r="AG442" s="653">
        <v>0</v>
      </c>
      <c r="AH442" s="653">
        <v>0</v>
      </c>
      <c r="AI442" s="653">
        <v>120000000</v>
      </c>
      <c r="AJ442" s="653">
        <v>120000000</v>
      </c>
      <c r="AK442" s="653">
        <v>0</v>
      </c>
      <c r="AL442" s="653">
        <v>0</v>
      </c>
      <c r="AM442" s="653">
        <v>0</v>
      </c>
      <c r="AN442" s="653">
        <v>0</v>
      </c>
      <c r="AO442" s="653">
        <v>0</v>
      </c>
      <c r="AP442" s="653">
        <v>0</v>
      </c>
      <c r="AQ442" s="653">
        <v>0</v>
      </c>
      <c r="AR442" s="653">
        <v>0</v>
      </c>
      <c r="AS442" s="653">
        <v>0</v>
      </c>
      <c r="AT442" s="570">
        <f t="shared" si="329"/>
        <v>4.1250000000000002E-2</v>
      </c>
      <c r="AU442" s="571">
        <v>0.5</v>
      </c>
      <c r="AV442" s="625">
        <f t="shared" si="368"/>
        <v>0.25</v>
      </c>
      <c r="AW442" s="1003">
        <v>2</v>
      </c>
      <c r="AX442" s="604">
        <f t="shared" si="369"/>
        <v>2</v>
      </c>
      <c r="AY442" s="604">
        <f t="shared" si="370"/>
        <v>400</v>
      </c>
      <c r="AZ442" s="604">
        <f t="shared" si="330"/>
        <v>100</v>
      </c>
      <c r="BA442" s="592">
        <f t="shared" si="331"/>
        <v>4.1250000000000002E-2</v>
      </c>
      <c r="BB442" s="592">
        <f t="shared" si="332"/>
        <v>100</v>
      </c>
      <c r="BC442" s="591">
        <v>360000000</v>
      </c>
      <c r="BD442" s="591">
        <v>0</v>
      </c>
      <c r="BE442" s="591">
        <v>360000000</v>
      </c>
      <c r="BF442" s="591">
        <v>0</v>
      </c>
      <c r="BG442" s="591">
        <v>0</v>
      </c>
      <c r="BH442" s="591">
        <v>0</v>
      </c>
      <c r="BI442" s="591">
        <v>0</v>
      </c>
      <c r="BJ442" s="591">
        <v>0</v>
      </c>
      <c r="BK442" s="624">
        <v>329000000</v>
      </c>
      <c r="BL442" s="589">
        <v>129000000</v>
      </c>
      <c r="BM442" s="589">
        <v>0</v>
      </c>
      <c r="BN442" s="589">
        <v>0</v>
      </c>
      <c r="BO442" s="589">
        <v>0</v>
      </c>
      <c r="BP442" s="589">
        <v>200000000</v>
      </c>
      <c r="BQ442" s="589">
        <v>0</v>
      </c>
      <c r="BR442" s="589">
        <v>0</v>
      </c>
      <c r="BS442" s="589">
        <v>0</v>
      </c>
      <c r="BT442" s="589">
        <v>0</v>
      </c>
      <c r="BU442" s="589">
        <v>0</v>
      </c>
      <c r="BV442" s="588">
        <f t="shared" si="333"/>
        <v>4.1250000000000002E-2</v>
      </c>
      <c r="BW442" s="588">
        <v>0.5</v>
      </c>
      <c r="BX442" s="623">
        <f t="shared" si="371"/>
        <v>0.25</v>
      </c>
      <c r="BY442" s="639">
        <v>1</v>
      </c>
      <c r="BZ442" s="638">
        <v>1</v>
      </c>
      <c r="CA442" s="1018">
        <v>1</v>
      </c>
      <c r="CB442" s="557">
        <f t="shared" si="372"/>
        <v>1</v>
      </c>
      <c r="CC442" s="557">
        <f t="shared" si="373"/>
        <v>200</v>
      </c>
      <c r="CD442" s="622">
        <f t="shared" si="334"/>
        <v>100</v>
      </c>
      <c r="CE442" s="621">
        <f t="shared" si="335"/>
        <v>4.1250000000000002E-2</v>
      </c>
      <c r="CF442" s="605">
        <f t="shared" si="336"/>
        <v>100</v>
      </c>
      <c r="CG442" s="621">
        <f t="shared" si="337"/>
        <v>8.2500000000000004E-2</v>
      </c>
      <c r="CH442" s="553">
        <f t="shared" si="338"/>
        <v>8.2500000000000004E-2</v>
      </c>
      <c r="CI442" s="552">
        <v>1</v>
      </c>
      <c r="CJ442" s="551">
        <f t="shared" si="374"/>
        <v>0.5</v>
      </c>
      <c r="CK442" s="874">
        <v>1</v>
      </c>
      <c r="CL442" s="533">
        <f t="shared" si="380"/>
        <v>0</v>
      </c>
      <c r="CM442" s="619">
        <f t="shared" si="375"/>
        <v>1</v>
      </c>
      <c r="CN442" s="619">
        <f t="shared" si="376"/>
        <v>100</v>
      </c>
      <c r="CO442" s="549">
        <f t="shared" si="339"/>
        <v>100</v>
      </c>
      <c r="CP442" s="619">
        <f t="shared" si="340"/>
        <v>8.2500000000000004E-2</v>
      </c>
      <c r="CQ442" s="619">
        <f t="shared" si="341"/>
        <v>8.2500000000000004E-2</v>
      </c>
      <c r="CR442" s="546">
        <v>0</v>
      </c>
      <c r="CS442" s="546">
        <v>0</v>
      </c>
      <c r="CT442" s="546">
        <v>0</v>
      </c>
      <c r="CU442" s="546">
        <v>0</v>
      </c>
      <c r="CV442" s="546">
        <v>0</v>
      </c>
      <c r="CW442" s="546">
        <v>0</v>
      </c>
      <c r="CX442" s="546">
        <v>0</v>
      </c>
      <c r="CY442" s="546">
        <v>0</v>
      </c>
      <c r="CZ442" s="618">
        <v>0</v>
      </c>
      <c r="DA442" s="618">
        <v>0</v>
      </c>
      <c r="DB442" s="618">
        <v>0</v>
      </c>
      <c r="DC442" s="618">
        <v>0</v>
      </c>
      <c r="DD442" s="618">
        <v>0</v>
      </c>
      <c r="DE442" s="618">
        <v>0</v>
      </c>
      <c r="DF442" s="618">
        <v>0</v>
      </c>
      <c r="DG442" s="618">
        <v>0</v>
      </c>
      <c r="DH442" s="618">
        <v>0</v>
      </c>
      <c r="DI442" s="618">
        <v>0</v>
      </c>
      <c r="DJ442" s="618">
        <v>0</v>
      </c>
      <c r="DK442" s="1034">
        <f t="shared" si="377"/>
        <v>5</v>
      </c>
      <c r="DL442" s="543">
        <f t="shared" si="342"/>
        <v>0.16500000000000001</v>
      </c>
      <c r="DM442" s="542">
        <f t="shared" si="343"/>
        <v>250</v>
      </c>
      <c r="DN442" s="594">
        <f t="shared" si="344"/>
        <v>100</v>
      </c>
      <c r="DO442" s="540">
        <f t="shared" si="345"/>
        <v>0.16500000000000001</v>
      </c>
      <c r="DP442" s="597">
        <f t="shared" si="379"/>
        <v>0.16500000000000001</v>
      </c>
      <c r="DQ442" s="538">
        <f t="shared" si="346"/>
        <v>0.16500000000000001</v>
      </c>
      <c r="DR442" s="617">
        <f t="shared" si="347"/>
        <v>1</v>
      </c>
      <c r="DS442" s="616">
        <f t="shared" si="348"/>
        <v>0</v>
      </c>
      <c r="DT442" s="259">
        <v>611</v>
      </c>
      <c r="DU442" s="260" t="s">
        <v>256</v>
      </c>
      <c r="DV442" s="259"/>
      <c r="DW442" s="260" t="s">
        <v>242</v>
      </c>
      <c r="DX442" s="259"/>
      <c r="DY442" s="259"/>
      <c r="DZ442" s="259"/>
      <c r="EA442" s="987"/>
      <c r="EB442" s="1041" t="s">
        <v>2745</v>
      </c>
      <c r="EC442" s="802">
        <v>0</v>
      </c>
      <c r="EE442" s="1047"/>
    </row>
    <row r="443" spans="4:135" s="534" customFormat="1" ht="89.25" hidden="1" x14ac:dyDescent="0.3">
      <c r="D443" s="783">
        <v>440</v>
      </c>
      <c r="E443" s="799">
        <v>511</v>
      </c>
      <c r="F443" s="739" t="s">
        <v>203</v>
      </c>
      <c r="G443" s="739" t="s">
        <v>9</v>
      </c>
      <c r="H443" s="739" t="s">
        <v>162</v>
      </c>
      <c r="I443" s="676" t="s">
        <v>1214</v>
      </c>
      <c r="J443" s="573" t="s">
        <v>1220</v>
      </c>
      <c r="K443" s="573" t="s">
        <v>1221</v>
      </c>
      <c r="L443" s="647" t="s">
        <v>2081</v>
      </c>
      <c r="M443" s="571" t="s">
        <v>2017</v>
      </c>
      <c r="N443" s="575">
        <v>0</v>
      </c>
      <c r="O443" s="570">
        <f t="shared" si="378"/>
        <v>5</v>
      </c>
      <c r="P443" s="663">
        <v>5</v>
      </c>
      <c r="Q443" s="628">
        <v>0.16500000000000001</v>
      </c>
      <c r="R443" s="580">
        <f t="shared" si="326"/>
        <v>0</v>
      </c>
      <c r="S443" s="657">
        <v>0</v>
      </c>
      <c r="T443" s="575">
        <f t="shared" si="365"/>
        <v>0</v>
      </c>
      <c r="U443" s="996">
        <v>0</v>
      </c>
      <c r="V443" s="626">
        <f t="shared" si="366"/>
        <v>0</v>
      </c>
      <c r="W443" s="594">
        <f t="shared" si="367"/>
        <v>0</v>
      </c>
      <c r="X443" s="594">
        <f t="shared" si="327"/>
        <v>0</v>
      </c>
      <c r="Y443" s="594">
        <f t="shared" si="364"/>
        <v>0</v>
      </c>
      <c r="Z443" s="594">
        <f t="shared" si="328"/>
        <v>0</v>
      </c>
      <c r="AA443" s="653">
        <v>0</v>
      </c>
      <c r="AB443" s="653">
        <v>0</v>
      </c>
      <c r="AC443" s="653">
        <v>0</v>
      </c>
      <c r="AD443" s="653">
        <v>0</v>
      </c>
      <c r="AE443" s="653">
        <v>0</v>
      </c>
      <c r="AF443" s="653">
        <v>0</v>
      </c>
      <c r="AG443" s="653">
        <v>0</v>
      </c>
      <c r="AH443" s="653">
        <v>0</v>
      </c>
      <c r="AI443" s="653">
        <v>0</v>
      </c>
      <c r="AJ443" s="653">
        <v>0</v>
      </c>
      <c r="AK443" s="653">
        <v>0</v>
      </c>
      <c r="AL443" s="653">
        <v>0</v>
      </c>
      <c r="AM443" s="653">
        <v>0</v>
      </c>
      <c r="AN443" s="653">
        <v>0</v>
      </c>
      <c r="AO443" s="653">
        <v>0</v>
      </c>
      <c r="AP443" s="653">
        <v>0</v>
      </c>
      <c r="AQ443" s="653">
        <v>0</v>
      </c>
      <c r="AR443" s="653">
        <v>0</v>
      </c>
      <c r="AS443" s="653">
        <v>0</v>
      </c>
      <c r="AT443" s="570">
        <f t="shared" si="329"/>
        <v>6.6000000000000003E-2</v>
      </c>
      <c r="AU443" s="571">
        <v>2</v>
      </c>
      <c r="AV443" s="625">
        <f t="shared" si="368"/>
        <v>0.4</v>
      </c>
      <c r="AW443" s="1003">
        <v>5</v>
      </c>
      <c r="AX443" s="604">
        <f t="shared" si="369"/>
        <v>5</v>
      </c>
      <c r="AY443" s="604">
        <f t="shared" si="370"/>
        <v>250</v>
      </c>
      <c r="AZ443" s="604">
        <f t="shared" si="330"/>
        <v>100</v>
      </c>
      <c r="BA443" s="592">
        <f t="shared" si="331"/>
        <v>6.6000000000000003E-2</v>
      </c>
      <c r="BB443" s="592">
        <f t="shared" si="332"/>
        <v>100</v>
      </c>
      <c r="BC443" s="591">
        <v>100000000</v>
      </c>
      <c r="BD443" s="591">
        <v>0</v>
      </c>
      <c r="BE443" s="591">
        <v>100000000</v>
      </c>
      <c r="BF443" s="591">
        <v>0</v>
      </c>
      <c r="BG443" s="591">
        <v>0</v>
      </c>
      <c r="BH443" s="591">
        <v>0</v>
      </c>
      <c r="BI443" s="591">
        <v>0</v>
      </c>
      <c r="BJ443" s="591">
        <v>0</v>
      </c>
      <c r="BK443" s="624">
        <v>117445080</v>
      </c>
      <c r="BL443" s="589">
        <v>117445080</v>
      </c>
      <c r="BM443" s="589">
        <v>0</v>
      </c>
      <c r="BN443" s="589">
        <v>0</v>
      </c>
      <c r="BO443" s="589">
        <v>0</v>
      </c>
      <c r="BP443" s="589">
        <v>0</v>
      </c>
      <c r="BQ443" s="589">
        <v>0</v>
      </c>
      <c r="BR443" s="589">
        <v>0</v>
      </c>
      <c r="BS443" s="589">
        <v>0</v>
      </c>
      <c r="BT443" s="589">
        <v>0</v>
      </c>
      <c r="BU443" s="589">
        <v>0</v>
      </c>
      <c r="BV443" s="588">
        <f t="shared" si="333"/>
        <v>9.9000000000000005E-2</v>
      </c>
      <c r="BW443" s="588">
        <v>3</v>
      </c>
      <c r="BX443" s="623">
        <f t="shared" si="371"/>
        <v>0.6</v>
      </c>
      <c r="BY443" s="607">
        <v>1</v>
      </c>
      <c r="BZ443" s="629">
        <v>1</v>
      </c>
      <c r="CA443" s="1017">
        <v>1</v>
      </c>
      <c r="CB443" s="557">
        <f t="shared" si="372"/>
        <v>1</v>
      </c>
      <c r="CC443" s="557">
        <f t="shared" si="373"/>
        <v>33.333333333333336</v>
      </c>
      <c r="CD443" s="622">
        <f t="shared" si="334"/>
        <v>33.333333333333336</v>
      </c>
      <c r="CE443" s="621">
        <f t="shared" si="335"/>
        <v>3.3000000000000002E-2</v>
      </c>
      <c r="CF443" s="605">
        <f t="shared" si="336"/>
        <v>33.333333333333336</v>
      </c>
      <c r="CG443" s="621">
        <f t="shared" si="337"/>
        <v>3.3000000000000002E-2</v>
      </c>
      <c r="CH443" s="553">
        <f t="shared" si="338"/>
        <v>0</v>
      </c>
      <c r="CI443" s="552">
        <v>0</v>
      </c>
      <c r="CJ443" s="551">
        <f t="shared" si="374"/>
        <v>0</v>
      </c>
      <c r="CK443" s="874">
        <v>1</v>
      </c>
      <c r="CL443" s="533">
        <f t="shared" si="380"/>
        <v>-1</v>
      </c>
      <c r="CM443" s="619">
        <f t="shared" si="375"/>
        <v>1</v>
      </c>
      <c r="CN443" s="619">
        <f t="shared" si="376"/>
        <v>0</v>
      </c>
      <c r="CO443" s="549">
        <f t="shared" si="339"/>
        <v>0</v>
      </c>
      <c r="CP443" s="619">
        <f t="shared" si="340"/>
        <v>0</v>
      </c>
      <c r="CQ443" s="619">
        <f t="shared" si="341"/>
        <v>0</v>
      </c>
      <c r="CR443" s="546">
        <v>0</v>
      </c>
      <c r="CS443" s="546">
        <v>0</v>
      </c>
      <c r="CT443" s="546">
        <v>0</v>
      </c>
      <c r="CU443" s="546">
        <v>0</v>
      </c>
      <c r="CV443" s="546">
        <v>0</v>
      </c>
      <c r="CW443" s="546">
        <v>0</v>
      </c>
      <c r="CX443" s="546">
        <v>0</v>
      </c>
      <c r="CY443" s="546">
        <v>0</v>
      </c>
      <c r="CZ443" s="618">
        <v>0</v>
      </c>
      <c r="DA443" s="618">
        <v>0</v>
      </c>
      <c r="DB443" s="618">
        <v>0</v>
      </c>
      <c r="DC443" s="618">
        <v>0</v>
      </c>
      <c r="DD443" s="618">
        <v>0</v>
      </c>
      <c r="DE443" s="618">
        <v>0</v>
      </c>
      <c r="DF443" s="618">
        <v>0</v>
      </c>
      <c r="DG443" s="618">
        <v>0</v>
      </c>
      <c r="DH443" s="618">
        <v>0</v>
      </c>
      <c r="DI443" s="618">
        <v>0</v>
      </c>
      <c r="DJ443" s="618">
        <v>0</v>
      </c>
      <c r="DK443" s="1034">
        <f t="shared" si="377"/>
        <v>7</v>
      </c>
      <c r="DL443" s="543">
        <f t="shared" si="342"/>
        <v>0.16500000000000001</v>
      </c>
      <c r="DM443" s="542">
        <f t="shared" si="343"/>
        <v>140</v>
      </c>
      <c r="DN443" s="594">
        <f t="shared" si="344"/>
        <v>100</v>
      </c>
      <c r="DO443" s="540">
        <f t="shared" si="345"/>
        <v>0.16500000000000001</v>
      </c>
      <c r="DP443" s="597">
        <f t="shared" si="379"/>
        <v>0.16500000000000001</v>
      </c>
      <c r="DQ443" s="538">
        <f t="shared" si="346"/>
        <v>0.16500000000000001</v>
      </c>
      <c r="DR443" s="617">
        <f t="shared" si="347"/>
        <v>1</v>
      </c>
      <c r="DS443" s="616">
        <f t="shared" si="348"/>
        <v>0</v>
      </c>
      <c r="DT443" s="259">
        <v>611</v>
      </c>
      <c r="DU443" s="260" t="s">
        <v>256</v>
      </c>
      <c r="DV443" s="259"/>
      <c r="DW443" s="260" t="s">
        <v>242</v>
      </c>
      <c r="DX443" s="259"/>
      <c r="DY443" s="259"/>
      <c r="DZ443" s="259"/>
      <c r="EA443" s="987"/>
      <c r="EB443" s="1041" t="s">
        <v>2746</v>
      </c>
      <c r="EC443" s="802">
        <v>100000000</v>
      </c>
      <c r="EE443" s="1047"/>
    </row>
    <row r="444" spans="4:135" s="534" customFormat="1" ht="60" hidden="1" x14ac:dyDescent="0.3">
      <c r="D444" s="783">
        <v>441</v>
      </c>
      <c r="E444" s="799">
        <v>512</v>
      </c>
      <c r="F444" s="574" t="s">
        <v>203</v>
      </c>
      <c r="G444" s="574" t="s">
        <v>9</v>
      </c>
      <c r="H444" s="574" t="s">
        <v>162</v>
      </c>
      <c r="I444" s="574" t="s">
        <v>1214</v>
      </c>
      <c r="J444" s="573" t="s">
        <v>1469</v>
      </c>
      <c r="K444" s="573" t="s">
        <v>1222</v>
      </c>
      <c r="L444" s="596" t="s">
        <v>2080</v>
      </c>
      <c r="M444" s="571" t="s">
        <v>2017</v>
      </c>
      <c r="N444" s="575">
        <v>0</v>
      </c>
      <c r="O444" s="570">
        <f t="shared" si="378"/>
        <v>1</v>
      </c>
      <c r="P444" s="663">
        <v>1</v>
      </c>
      <c r="Q444" s="631">
        <v>8.8999999999999996E-2</v>
      </c>
      <c r="R444" s="580">
        <f t="shared" si="326"/>
        <v>0</v>
      </c>
      <c r="S444" s="657">
        <v>0</v>
      </c>
      <c r="T444" s="575">
        <f t="shared" si="365"/>
        <v>0</v>
      </c>
      <c r="U444" s="996">
        <v>0</v>
      </c>
      <c r="V444" s="626">
        <f t="shared" si="366"/>
        <v>0</v>
      </c>
      <c r="W444" s="594">
        <f t="shared" si="367"/>
        <v>0</v>
      </c>
      <c r="X444" s="594">
        <f t="shared" si="327"/>
        <v>0</v>
      </c>
      <c r="Y444" s="594">
        <f t="shared" si="364"/>
        <v>0</v>
      </c>
      <c r="Z444" s="594">
        <f t="shared" si="328"/>
        <v>0</v>
      </c>
      <c r="AA444" s="653">
        <v>0</v>
      </c>
      <c r="AB444" s="653">
        <v>0</v>
      </c>
      <c r="AC444" s="653">
        <v>0</v>
      </c>
      <c r="AD444" s="653">
        <v>0</v>
      </c>
      <c r="AE444" s="653">
        <v>0</v>
      </c>
      <c r="AF444" s="653">
        <v>0</v>
      </c>
      <c r="AG444" s="653">
        <v>0</v>
      </c>
      <c r="AH444" s="653">
        <v>0</v>
      </c>
      <c r="AI444" s="653">
        <v>0</v>
      </c>
      <c r="AJ444" s="653">
        <v>0</v>
      </c>
      <c r="AK444" s="653">
        <v>0</v>
      </c>
      <c r="AL444" s="653">
        <v>0</v>
      </c>
      <c r="AM444" s="653">
        <v>0</v>
      </c>
      <c r="AN444" s="653">
        <v>0</v>
      </c>
      <c r="AO444" s="653">
        <v>0</v>
      </c>
      <c r="AP444" s="653">
        <v>0</v>
      </c>
      <c r="AQ444" s="653">
        <v>0</v>
      </c>
      <c r="AR444" s="653">
        <v>0</v>
      </c>
      <c r="AS444" s="653">
        <v>0</v>
      </c>
      <c r="AT444" s="630">
        <f t="shared" si="329"/>
        <v>0</v>
      </c>
      <c r="AU444" s="571">
        <v>0</v>
      </c>
      <c r="AV444" s="625">
        <f t="shared" si="368"/>
        <v>0</v>
      </c>
      <c r="AW444" s="1003">
        <v>0</v>
      </c>
      <c r="AX444" s="604">
        <f t="shared" si="369"/>
        <v>0</v>
      </c>
      <c r="AY444" s="604">
        <f t="shared" si="370"/>
        <v>0</v>
      </c>
      <c r="AZ444" s="604">
        <f t="shared" si="330"/>
        <v>0</v>
      </c>
      <c r="BA444" s="592">
        <f t="shared" si="331"/>
        <v>0</v>
      </c>
      <c r="BB444" s="592">
        <f t="shared" si="332"/>
        <v>0</v>
      </c>
      <c r="BC444" s="591">
        <v>170000000</v>
      </c>
      <c r="BD444" s="591">
        <v>0</v>
      </c>
      <c r="BE444" s="591">
        <v>170000000</v>
      </c>
      <c r="BF444" s="591">
        <v>0</v>
      </c>
      <c r="BG444" s="591">
        <v>0</v>
      </c>
      <c r="BH444" s="591">
        <v>0</v>
      </c>
      <c r="BI444" s="591">
        <v>0</v>
      </c>
      <c r="BJ444" s="591">
        <v>0</v>
      </c>
      <c r="BK444" s="624">
        <v>0</v>
      </c>
      <c r="BL444" s="589">
        <v>0</v>
      </c>
      <c r="BM444" s="589">
        <v>0</v>
      </c>
      <c r="BN444" s="589">
        <v>0</v>
      </c>
      <c r="BO444" s="589">
        <v>0</v>
      </c>
      <c r="BP444" s="589">
        <v>0</v>
      </c>
      <c r="BQ444" s="589">
        <v>0</v>
      </c>
      <c r="BR444" s="589">
        <v>0</v>
      </c>
      <c r="BS444" s="589">
        <v>0</v>
      </c>
      <c r="BT444" s="589">
        <v>0</v>
      </c>
      <c r="BU444" s="589">
        <v>0</v>
      </c>
      <c r="BV444" s="588">
        <f t="shared" si="333"/>
        <v>0</v>
      </c>
      <c r="BW444" s="588">
        <v>0</v>
      </c>
      <c r="BX444" s="623">
        <f t="shared" si="371"/>
        <v>0</v>
      </c>
      <c r="BY444" s="607">
        <v>0</v>
      </c>
      <c r="BZ444" s="629">
        <v>0</v>
      </c>
      <c r="CA444" s="1017">
        <v>0</v>
      </c>
      <c r="CB444" s="557">
        <f t="shared" si="372"/>
        <v>0</v>
      </c>
      <c r="CC444" s="557">
        <f t="shared" si="373"/>
        <v>0</v>
      </c>
      <c r="CD444" s="622">
        <f t="shared" si="334"/>
        <v>0</v>
      </c>
      <c r="CE444" s="621">
        <f t="shared" si="335"/>
        <v>0</v>
      </c>
      <c r="CF444" s="605">
        <f t="shared" si="336"/>
        <v>0</v>
      </c>
      <c r="CG444" s="621">
        <f t="shared" si="337"/>
        <v>0</v>
      </c>
      <c r="CH444" s="553">
        <f t="shared" si="338"/>
        <v>8.8999999999999996E-2</v>
      </c>
      <c r="CI444" s="552">
        <v>1</v>
      </c>
      <c r="CJ444" s="551">
        <f t="shared" si="374"/>
        <v>1</v>
      </c>
      <c r="CK444" s="874">
        <v>3</v>
      </c>
      <c r="CL444" s="533">
        <f t="shared" si="380"/>
        <v>-2</v>
      </c>
      <c r="CM444" s="619">
        <f t="shared" si="375"/>
        <v>3</v>
      </c>
      <c r="CN444" s="619">
        <f t="shared" si="376"/>
        <v>300</v>
      </c>
      <c r="CO444" s="549">
        <f t="shared" si="339"/>
        <v>100</v>
      </c>
      <c r="CP444" s="619">
        <f t="shared" si="340"/>
        <v>8.900000000000001E-2</v>
      </c>
      <c r="CQ444" s="619">
        <f t="shared" si="341"/>
        <v>0.26700000000000002</v>
      </c>
      <c r="CR444" s="546">
        <v>0</v>
      </c>
      <c r="CS444" s="546">
        <v>0</v>
      </c>
      <c r="CT444" s="546">
        <v>0</v>
      </c>
      <c r="CU444" s="546">
        <v>0</v>
      </c>
      <c r="CV444" s="546">
        <v>0</v>
      </c>
      <c r="CW444" s="546">
        <v>0</v>
      </c>
      <c r="CX444" s="546">
        <v>0</v>
      </c>
      <c r="CY444" s="546">
        <v>0</v>
      </c>
      <c r="CZ444" s="618">
        <v>0</v>
      </c>
      <c r="DA444" s="618">
        <v>0</v>
      </c>
      <c r="DB444" s="618">
        <v>0</v>
      </c>
      <c r="DC444" s="618">
        <v>0</v>
      </c>
      <c r="DD444" s="618">
        <v>0</v>
      </c>
      <c r="DE444" s="618">
        <v>0</v>
      </c>
      <c r="DF444" s="618">
        <v>0</v>
      </c>
      <c r="DG444" s="618">
        <v>0</v>
      </c>
      <c r="DH444" s="618">
        <v>0</v>
      </c>
      <c r="DI444" s="618">
        <v>0</v>
      </c>
      <c r="DJ444" s="618">
        <v>0</v>
      </c>
      <c r="DK444" s="1034">
        <f t="shared" si="377"/>
        <v>3</v>
      </c>
      <c r="DL444" s="543">
        <f t="shared" si="342"/>
        <v>8.8999999999999996E-2</v>
      </c>
      <c r="DM444" s="542">
        <f t="shared" si="343"/>
        <v>300</v>
      </c>
      <c r="DN444" s="594">
        <f t="shared" si="344"/>
        <v>100</v>
      </c>
      <c r="DO444" s="540">
        <f t="shared" si="345"/>
        <v>8.900000000000001E-2</v>
      </c>
      <c r="DP444" s="597">
        <f t="shared" si="379"/>
        <v>8.8999999999999996E-2</v>
      </c>
      <c r="DQ444" s="538">
        <f t="shared" si="346"/>
        <v>8.8999999999999996E-2</v>
      </c>
      <c r="DR444" s="617">
        <f t="shared" si="347"/>
        <v>1</v>
      </c>
      <c r="DS444" s="616">
        <f t="shared" si="348"/>
        <v>0</v>
      </c>
      <c r="DT444" s="259">
        <v>611</v>
      </c>
      <c r="DU444" s="260" t="s">
        <v>256</v>
      </c>
      <c r="DV444" s="259"/>
      <c r="DW444" s="260" t="s">
        <v>242</v>
      </c>
      <c r="DX444" s="259"/>
      <c r="DY444" s="259"/>
      <c r="DZ444" s="259"/>
      <c r="EA444" s="987"/>
      <c r="EB444" s="1041" t="s">
        <v>2747</v>
      </c>
      <c r="EC444" s="802">
        <v>0</v>
      </c>
      <c r="EE444" s="1047"/>
    </row>
    <row r="445" spans="4:135" s="534" customFormat="1" ht="89.25" hidden="1" x14ac:dyDescent="0.3">
      <c r="D445" s="783">
        <v>442</v>
      </c>
      <c r="E445" s="799">
        <v>513</v>
      </c>
      <c r="F445" s="739" t="s">
        <v>203</v>
      </c>
      <c r="G445" s="739" t="s">
        <v>9</v>
      </c>
      <c r="H445" s="739" t="s">
        <v>162</v>
      </c>
      <c r="I445" s="676" t="s">
        <v>1223</v>
      </c>
      <c r="J445" s="573" t="s">
        <v>1224</v>
      </c>
      <c r="K445" s="573" t="s">
        <v>1225</v>
      </c>
      <c r="L445" s="596" t="s">
        <v>2079</v>
      </c>
      <c r="M445" s="571" t="s">
        <v>2017</v>
      </c>
      <c r="N445" s="575">
        <v>0</v>
      </c>
      <c r="O445" s="570">
        <f t="shared" si="378"/>
        <v>100</v>
      </c>
      <c r="P445" s="663">
        <v>100</v>
      </c>
      <c r="Q445" s="628">
        <v>0.16500000000000001</v>
      </c>
      <c r="R445" s="580">
        <f t="shared" si="326"/>
        <v>0</v>
      </c>
      <c r="S445" s="657">
        <v>0</v>
      </c>
      <c r="T445" s="575">
        <f t="shared" si="365"/>
        <v>0</v>
      </c>
      <c r="U445" s="996">
        <v>0</v>
      </c>
      <c r="V445" s="626">
        <f t="shared" si="366"/>
        <v>0</v>
      </c>
      <c r="W445" s="594">
        <f t="shared" si="367"/>
        <v>0</v>
      </c>
      <c r="X445" s="594">
        <f t="shared" si="327"/>
        <v>0</v>
      </c>
      <c r="Y445" s="594">
        <f t="shared" si="364"/>
        <v>0</v>
      </c>
      <c r="Z445" s="594">
        <f t="shared" si="328"/>
        <v>0</v>
      </c>
      <c r="AA445" s="653">
        <v>0</v>
      </c>
      <c r="AB445" s="653">
        <v>0</v>
      </c>
      <c r="AC445" s="653">
        <v>0</v>
      </c>
      <c r="AD445" s="653">
        <v>0</v>
      </c>
      <c r="AE445" s="653">
        <v>0</v>
      </c>
      <c r="AF445" s="653">
        <v>0</v>
      </c>
      <c r="AG445" s="653">
        <v>0</v>
      </c>
      <c r="AH445" s="653">
        <v>0</v>
      </c>
      <c r="AI445" s="653">
        <v>0</v>
      </c>
      <c r="AJ445" s="653">
        <v>0</v>
      </c>
      <c r="AK445" s="653">
        <v>0</v>
      </c>
      <c r="AL445" s="653">
        <v>0</v>
      </c>
      <c r="AM445" s="653">
        <v>0</v>
      </c>
      <c r="AN445" s="653">
        <v>0</v>
      </c>
      <c r="AO445" s="653">
        <v>0</v>
      </c>
      <c r="AP445" s="653">
        <v>0</v>
      </c>
      <c r="AQ445" s="653">
        <v>0</v>
      </c>
      <c r="AR445" s="653">
        <v>0</v>
      </c>
      <c r="AS445" s="653">
        <v>0</v>
      </c>
      <c r="AT445" s="570">
        <f t="shared" si="329"/>
        <v>4.9500000000000002E-2</v>
      </c>
      <c r="AU445" s="571">
        <v>30</v>
      </c>
      <c r="AV445" s="625">
        <f t="shared" si="368"/>
        <v>0.3</v>
      </c>
      <c r="AW445" s="1003">
        <v>0</v>
      </c>
      <c r="AX445" s="604">
        <f t="shared" si="369"/>
        <v>0</v>
      </c>
      <c r="AY445" s="604">
        <f t="shared" si="370"/>
        <v>0</v>
      </c>
      <c r="AZ445" s="604">
        <f t="shared" si="330"/>
        <v>0</v>
      </c>
      <c r="BA445" s="592">
        <f t="shared" si="331"/>
        <v>0</v>
      </c>
      <c r="BB445" s="592">
        <f t="shared" si="332"/>
        <v>0</v>
      </c>
      <c r="BC445" s="591">
        <v>50000000</v>
      </c>
      <c r="BD445" s="591">
        <v>0</v>
      </c>
      <c r="BE445" s="591">
        <v>50000000</v>
      </c>
      <c r="BF445" s="591">
        <v>0</v>
      </c>
      <c r="BG445" s="591">
        <v>0</v>
      </c>
      <c r="BH445" s="591">
        <v>0</v>
      </c>
      <c r="BI445" s="591">
        <v>0</v>
      </c>
      <c r="BJ445" s="591">
        <v>0</v>
      </c>
      <c r="BK445" s="624">
        <v>0</v>
      </c>
      <c r="BL445" s="589">
        <v>0</v>
      </c>
      <c r="BM445" s="589">
        <v>0</v>
      </c>
      <c r="BN445" s="589">
        <v>0</v>
      </c>
      <c r="BO445" s="589">
        <v>0</v>
      </c>
      <c r="BP445" s="589">
        <v>0</v>
      </c>
      <c r="BQ445" s="589">
        <v>0</v>
      </c>
      <c r="BR445" s="589">
        <v>0</v>
      </c>
      <c r="BS445" s="589">
        <v>0</v>
      </c>
      <c r="BT445" s="589">
        <v>0</v>
      </c>
      <c r="BU445" s="589">
        <v>0</v>
      </c>
      <c r="BV445" s="588">
        <f t="shared" si="333"/>
        <v>6.6000000000000003E-2</v>
      </c>
      <c r="BW445" s="588">
        <v>40</v>
      </c>
      <c r="BX445" s="623">
        <f t="shared" si="371"/>
        <v>0.4</v>
      </c>
      <c r="BY445" s="607">
        <v>63</v>
      </c>
      <c r="BZ445" s="629">
        <v>63</v>
      </c>
      <c r="CA445" s="1017">
        <v>116</v>
      </c>
      <c r="CB445" s="557">
        <f t="shared" si="372"/>
        <v>116</v>
      </c>
      <c r="CC445" s="557">
        <f t="shared" si="373"/>
        <v>290</v>
      </c>
      <c r="CD445" s="622">
        <f t="shared" si="334"/>
        <v>100</v>
      </c>
      <c r="CE445" s="621">
        <f t="shared" si="335"/>
        <v>6.6000000000000003E-2</v>
      </c>
      <c r="CF445" s="605">
        <f t="shared" si="336"/>
        <v>100</v>
      </c>
      <c r="CG445" s="621">
        <f t="shared" si="337"/>
        <v>0.19140000000000001</v>
      </c>
      <c r="CH445" s="553">
        <f t="shared" si="338"/>
        <v>4.9500000000000002E-2</v>
      </c>
      <c r="CI445" s="552">
        <v>30</v>
      </c>
      <c r="CJ445" s="551">
        <f t="shared" si="374"/>
        <v>0.3</v>
      </c>
      <c r="CK445" s="874">
        <v>2</v>
      </c>
      <c r="CL445" s="533">
        <f t="shared" si="380"/>
        <v>28</v>
      </c>
      <c r="CM445" s="619">
        <f t="shared" si="375"/>
        <v>2</v>
      </c>
      <c r="CN445" s="619">
        <f t="shared" si="376"/>
        <v>6.666666666666667</v>
      </c>
      <c r="CO445" s="549">
        <f t="shared" si="339"/>
        <v>6.666666666666667</v>
      </c>
      <c r="CP445" s="619">
        <f t="shared" si="340"/>
        <v>3.3E-3</v>
      </c>
      <c r="CQ445" s="619">
        <f t="shared" si="341"/>
        <v>3.3E-3</v>
      </c>
      <c r="CR445" s="546">
        <v>80000000</v>
      </c>
      <c r="CS445" s="546">
        <v>80000000</v>
      </c>
      <c r="CT445" s="546">
        <v>0</v>
      </c>
      <c r="CU445" s="546">
        <v>0</v>
      </c>
      <c r="CV445" s="546">
        <v>0</v>
      </c>
      <c r="CW445" s="546">
        <v>0</v>
      </c>
      <c r="CX445" s="546">
        <v>0</v>
      </c>
      <c r="CY445" s="546">
        <v>0</v>
      </c>
      <c r="CZ445" s="618">
        <v>0</v>
      </c>
      <c r="DA445" s="618">
        <v>0</v>
      </c>
      <c r="DB445" s="618">
        <v>0</v>
      </c>
      <c r="DC445" s="618">
        <v>0</v>
      </c>
      <c r="DD445" s="618">
        <v>0</v>
      </c>
      <c r="DE445" s="618">
        <v>0</v>
      </c>
      <c r="DF445" s="618">
        <v>0</v>
      </c>
      <c r="DG445" s="618">
        <v>0</v>
      </c>
      <c r="DH445" s="618">
        <v>0</v>
      </c>
      <c r="DI445" s="618">
        <v>0</v>
      </c>
      <c r="DJ445" s="618">
        <v>0</v>
      </c>
      <c r="DK445" s="1034">
        <f t="shared" si="377"/>
        <v>118</v>
      </c>
      <c r="DL445" s="543">
        <f t="shared" si="342"/>
        <v>0.16500000000000001</v>
      </c>
      <c r="DM445" s="542">
        <f t="shared" si="343"/>
        <v>118</v>
      </c>
      <c r="DN445" s="594">
        <f t="shared" si="344"/>
        <v>100</v>
      </c>
      <c r="DO445" s="540">
        <f t="shared" si="345"/>
        <v>0.16500000000000001</v>
      </c>
      <c r="DP445" s="597">
        <f t="shared" si="379"/>
        <v>0.16500000000000001</v>
      </c>
      <c r="DQ445" s="538">
        <f t="shared" si="346"/>
        <v>0.16500000000000001</v>
      </c>
      <c r="DR445" s="617">
        <f t="shared" si="347"/>
        <v>1</v>
      </c>
      <c r="DS445" s="616">
        <f t="shared" si="348"/>
        <v>0</v>
      </c>
      <c r="DT445" s="259">
        <v>611</v>
      </c>
      <c r="DU445" s="260" t="s">
        <v>256</v>
      </c>
      <c r="DV445" s="259"/>
      <c r="DW445" s="260" t="s">
        <v>242</v>
      </c>
      <c r="DX445" s="259"/>
      <c r="DY445" s="259"/>
      <c r="DZ445" s="259"/>
      <c r="EA445" s="987"/>
      <c r="EB445" s="1041" t="s">
        <v>2748</v>
      </c>
      <c r="EC445" s="802">
        <v>80000000</v>
      </c>
      <c r="EE445" s="1047"/>
    </row>
    <row r="446" spans="4:135" s="534" customFormat="1" ht="89.25" hidden="1" x14ac:dyDescent="0.3">
      <c r="D446" s="783">
        <v>443</v>
      </c>
      <c r="E446" s="799">
        <v>514</v>
      </c>
      <c r="F446" s="739" t="s">
        <v>203</v>
      </c>
      <c r="G446" s="739" t="s">
        <v>9</v>
      </c>
      <c r="H446" s="739" t="s">
        <v>162</v>
      </c>
      <c r="I446" s="676" t="s">
        <v>1223</v>
      </c>
      <c r="J446" s="573" t="s">
        <v>1226</v>
      </c>
      <c r="K446" s="573" t="s">
        <v>1227</v>
      </c>
      <c r="L446" s="596" t="s">
        <v>2078</v>
      </c>
      <c r="M446" s="571" t="s">
        <v>2017</v>
      </c>
      <c r="N446" s="575">
        <v>0</v>
      </c>
      <c r="O446" s="570">
        <f t="shared" si="378"/>
        <v>116</v>
      </c>
      <c r="P446" s="663">
        <v>116</v>
      </c>
      <c r="Q446" s="628">
        <v>8.8999999999999996E-2</v>
      </c>
      <c r="R446" s="580">
        <f t="shared" si="326"/>
        <v>0</v>
      </c>
      <c r="S446" s="657">
        <v>0</v>
      </c>
      <c r="T446" s="575">
        <f t="shared" si="365"/>
        <v>0</v>
      </c>
      <c r="U446" s="996">
        <v>59</v>
      </c>
      <c r="V446" s="626">
        <f t="shared" si="366"/>
        <v>59</v>
      </c>
      <c r="W446" s="594">
        <f t="shared" si="367"/>
        <v>0</v>
      </c>
      <c r="X446" s="594">
        <f t="shared" si="327"/>
        <v>0</v>
      </c>
      <c r="Y446" s="594">
        <f t="shared" si="364"/>
        <v>0</v>
      </c>
      <c r="Z446" s="594">
        <f t="shared" si="328"/>
        <v>100</v>
      </c>
      <c r="AA446" s="653">
        <v>0</v>
      </c>
      <c r="AB446" s="653">
        <v>0</v>
      </c>
      <c r="AC446" s="653">
        <v>0</v>
      </c>
      <c r="AD446" s="653">
        <v>0</v>
      </c>
      <c r="AE446" s="653">
        <v>0</v>
      </c>
      <c r="AF446" s="653">
        <v>0</v>
      </c>
      <c r="AG446" s="653">
        <v>0</v>
      </c>
      <c r="AH446" s="653">
        <v>0</v>
      </c>
      <c r="AI446" s="653">
        <v>0</v>
      </c>
      <c r="AJ446" s="653">
        <v>0</v>
      </c>
      <c r="AK446" s="653">
        <v>0</v>
      </c>
      <c r="AL446" s="653">
        <v>0</v>
      </c>
      <c r="AM446" s="653">
        <v>0</v>
      </c>
      <c r="AN446" s="653">
        <v>0</v>
      </c>
      <c r="AO446" s="653">
        <v>0</v>
      </c>
      <c r="AP446" s="653">
        <v>0</v>
      </c>
      <c r="AQ446" s="653">
        <v>0</v>
      </c>
      <c r="AR446" s="653">
        <v>0</v>
      </c>
      <c r="AS446" s="653">
        <v>0</v>
      </c>
      <c r="AT446" s="570">
        <f t="shared" si="329"/>
        <v>0</v>
      </c>
      <c r="AU446" s="571">
        <v>0</v>
      </c>
      <c r="AV446" s="625">
        <f t="shared" si="368"/>
        <v>0</v>
      </c>
      <c r="AW446" s="1003">
        <v>116</v>
      </c>
      <c r="AX446" s="604">
        <f t="shared" si="369"/>
        <v>116</v>
      </c>
      <c r="AY446" s="604">
        <f t="shared" si="370"/>
        <v>0</v>
      </c>
      <c r="AZ446" s="604">
        <f t="shared" si="330"/>
        <v>0</v>
      </c>
      <c r="BA446" s="592">
        <f t="shared" si="331"/>
        <v>0</v>
      </c>
      <c r="BB446" s="592">
        <f t="shared" si="332"/>
        <v>100</v>
      </c>
      <c r="BC446" s="591">
        <v>0</v>
      </c>
      <c r="BD446" s="591">
        <v>0</v>
      </c>
      <c r="BE446" s="591">
        <v>0</v>
      </c>
      <c r="BF446" s="591">
        <v>0</v>
      </c>
      <c r="BG446" s="591">
        <v>0</v>
      </c>
      <c r="BH446" s="591">
        <v>0</v>
      </c>
      <c r="BI446" s="591">
        <v>0</v>
      </c>
      <c r="BJ446" s="591">
        <v>0</v>
      </c>
      <c r="BK446" s="624">
        <v>0</v>
      </c>
      <c r="BL446" s="589">
        <v>0</v>
      </c>
      <c r="BM446" s="589">
        <v>0</v>
      </c>
      <c r="BN446" s="589">
        <v>0</v>
      </c>
      <c r="BO446" s="589">
        <v>0</v>
      </c>
      <c r="BP446" s="589">
        <v>0</v>
      </c>
      <c r="BQ446" s="589">
        <v>0</v>
      </c>
      <c r="BR446" s="589">
        <v>0</v>
      </c>
      <c r="BS446" s="589">
        <v>0</v>
      </c>
      <c r="BT446" s="589">
        <v>0</v>
      </c>
      <c r="BU446" s="589">
        <v>0</v>
      </c>
      <c r="BV446" s="588">
        <f t="shared" si="333"/>
        <v>8.8999999999999996E-2</v>
      </c>
      <c r="BW446" s="588">
        <v>116</v>
      </c>
      <c r="BX446" s="623">
        <f t="shared" si="371"/>
        <v>1</v>
      </c>
      <c r="BY446" s="607">
        <v>116</v>
      </c>
      <c r="BZ446" s="629">
        <v>116</v>
      </c>
      <c r="CA446" s="1017">
        <v>116</v>
      </c>
      <c r="CB446" s="557">
        <f t="shared" si="372"/>
        <v>116</v>
      </c>
      <c r="CC446" s="557">
        <f t="shared" si="373"/>
        <v>100</v>
      </c>
      <c r="CD446" s="622">
        <f t="shared" si="334"/>
        <v>100</v>
      </c>
      <c r="CE446" s="621">
        <f t="shared" si="335"/>
        <v>8.900000000000001E-2</v>
      </c>
      <c r="CF446" s="605">
        <f t="shared" si="336"/>
        <v>100</v>
      </c>
      <c r="CG446" s="621">
        <f t="shared" si="337"/>
        <v>8.900000000000001E-2</v>
      </c>
      <c r="CH446" s="553">
        <f t="shared" si="338"/>
        <v>0</v>
      </c>
      <c r="CI446" s="552">
        <v>0</v>
      </c>
      <c r="CJ446" s="551">
        <f t="shared" si="374"/>
        <v>0</v>
      </c>
      <c r="CK446" s="874">
        <v>116</v>
      </c>
      <c r="CL446" s="533">
        <f t="shared" si="380"/>
        <v>-116</v>
      </c>
      <c r="CM446" s="619">
        <f t="shared" si="375"/>
        <v>116</v>
      </c>
      <c r="CN446" s="619">
        <f t="shared" si="376"/>
        <v>0</v>
      </c>
      <c r="CO446" s="549">
        <f t="shared" si="339"/>
        <v>0</v>
      </c>
      <c r="CP446" s="619">
        <f t="shared" si="340"/>
        <v>0</v>
      </c>
      <c r="CQ446" s="619">
        <f t="shared" si="341"/>
        <v>0</v>
      </c>
      <c r="CR446" s="546">
        <v>0</v>
      </c>
      <c r="CS446" s="546">
        <v>0</v>
      </c>
      <c r="CT446" s="546">
        <v>0</v>
      </c>
      <c r="CU446" s="546">
        <v>0</v>
      </c>
      <c r="CV446" s="546">
        <v>0</v>
      </c>
      <c r="CW446" s="546">
        <v>0</v>
      </c>
      <c r="CX446" s="546">
        <v>0</v>
      </c>
      <c r="CY446" s="546">
        <v>0</v>
      </c>
      <c r="CZ446" s="618">
        <v>0</v>
      </c>
      <c r="DA446" s="618">
        <v>0</v>
      </c>
      <c r="DB446" s="618">
        <v>0</v>
      </c>
      <c r="DC446" s="618">
        <v>0</v>
      </c>
      <c r="DD446" s="618">
        <v>0</v>
      </c>
      <c r="DE446" s="618">
        <v>0</v>
      </c>
      <c r="DF446" s="618">
        <v>0</v>
      </c>
      <c r="DG446" s="618">
        <v>0</v>
      </c>
      <c r="DH446" s="618">
        <v>0</v>
      </c>
      <c r="DI446" s="618">
        <v>0</v>
      </c>
      <c r="DJ446" s="618">
        <v>0</v>
      </c>
      <c r="DK446" s="1034">
        <f t="shared" si="377"/>
        <v>407</v>
      </c>
      <c r="DL446" s="543">
        <f t="shared" si="342"/>
        <v>8.8999999999999996E-2</v>
      </c>
      <c r="DM446" s="542">
        <f t="shared" si="343"/>
        <v>350.86206896551727</v>
      </c>
      <c r="DN446" s="594">
        <f t="shared" si="344"/>
        <v>100</v>
      </c>
      <c r="DO446" s="540">
        <f t="shared" si="345"/>
        <v>8.900000000000001E-2</v>
      </c>
      <c r="DP446" s="597">
        <f t="shared" si="379"/>
        <v>8.8999999999999996E-2</v>
      </c>
      <c r="DQ446" s="538">
        <f t="shared" si="346"/>
        <v>8.8999999999999996E-2</v>
      </c>
      <c r="DR446" s="617">
        <f t="shared" si="347"/>
        <v>1</v>
      </c>
      <c r="DS446" s="616">
        <f t="shared" si="348"/>
        <v>0</v>
      </c>
      <c r="DT446" s="259">
        <v>611</v>
      </c>
      <c r="DU446" s="260" t="s">
        <v>256</v>
      </c>
      <c r="DV446" s="259"/>
      <c r="DW446" s="260" t="s">
        <v>242</v>
      </c>
      <c r="DX446" s="259"/>
      <c r="DY446" s="259"/>
      <c r="DZ446" s="259"/>
      <c r="EA446" s="987"/>
      <c r="EB446" s="1041" t="s">
        <v>2749</v>
      </c>
      <c r="EC446" s="802">
        <v>90000000</v>
      </c>
      <c r="EE446" s="1047"/>
    </row>
    <row r="447" spans="4:135" s="534" customFormat="1" ht="102" hidden="1" x14ac:dyDescent="0.3">
      <c r="D447" s="783">
        <v>444</v>
      </c>
      <c r="E447" s="799">
        <v>515</v>
      </c>
      <c r="F447" s="739" t="s">
        <v>203</v>
      </c>
      <c r="G447" s="739" t="s">
        <v>9</v>
      </c>
      <c r="H447" s="739" t="s">
        <v>162</v>
      </c>
      <c r="I447" s="676" t="s">
        <v>1223</v>
      </c>
      <c r="J447" s="573" t="s">
        <v>1228</v>
      </c>
      <c r="K447" s="573" t="s">
        <v>1229</v>
      </c>
      <c r="L447" s="647" t="s">
        <v>2077</v>
      </c>
      <c r="M447" s="571" t="s">
        <v>2017</v>
      </c>
      <c r="N447" s="575">
        <v>0</v>
      </c>
      <c r="O447" s="570">
        <f t="shared" si="378"/>
        <v>1</v>
      </c>
      <c r="P447" s="663">
        <v>1</v>
      </c>
      <c r="Q447" s="628">
        <v>0.16500000000000001</v>
      </c>
      <c r="R447" s="580">
        <f t="shared" si="326"/>
        <v>0.16500000000000001</v>
      </c>
      <c r="S447" s="657">
        <v>1</v>
      </c>
      <c r="T447" s="575">
        <f t="shared" si="365"/>
        <v>1</v>
      </c>
      <c r="U447" s="996">
        <v>0</v>
      </c>
      <c r="V447" s="626">
        <f t="shared" si="366"/>
        <v>0</v>
      </c>
      <c r="W447" s="594">
        <f t="shared" si="367"/>
        <v>0</v>
      </c>
      <c r="X447" s="594">
        <f t="shared" si="327"/>
        <v>0</v>
      </c>
      <c r="Y447" s="594">
        <f t="shared" si="364"/>
        <v>0</v>
      </c>
      <c r="Z447" s="594">
        <f t="shared" si="328"/>
        <v>0</v>
      </c>
      <c r="AA447" s="653">
        <v>0</v>
      </c>
      <c r="AB447" s="653">
        <v>0</v>
      </c>
      <c r="AC447" s="653">
        <v>0</v>
      </c>
      <c r="AD447" s="653">
        <v>0</v>
      </c>
      <c r="AE447" s="653">
        <v>0</v>
      </c>
      <c r="AF447" s="653">
        <v>0</v>
      </c>
      <c r="AG447" s="653">
        <v>0</v>
      </c>
      <c r="AH447" s="653">
        <v>0</v>
      </c>
      <c r="AI447" s="653">
        <v>0</v>
      </c>
      <c r="AJ447" s="653">
        <v>0</v>
      </c>
      <c r="AK447" s="653">
        <v>0</v>
      </c>
      <c r="AL447" s="653">
        <v>0</v>
      </c>
      <c r="AM447" s="653">
        <v>0</v>
      </c>
      <c r="AN447" s="653">
        <v>0</v>
      </c>
      <c r="AO447" s="653">
        <v>0</v>
      </c>
      <c r="AP447" s="653">
        <v>0</v>
      </c>
      <c r="AQ447" s="653">
        <v>0</v>
      </c>
      <c r="AR447" s="653">
        <v>0</v>
      </c>
      <c r="AS447" s="653">
        <v>0</v>
      </c>
      <c r="AT447" s="570">
        <f t="shared" si="329"/>
        <v>0</v>
      </c>
      <c r="AU447" s="571">
        <v>0</v>
      </c>
      <c r="AV447" s="625">
        <f t="shared" si="368"/>
        <v>0</v>
      </c>
      <c r="AW447" s="1003">
        <v>1</v>
      </c>
      <c r="AX447" s="604">
        <f t="shared" si="369"/>
        <v>1</v>
      </c>
      <c r="AY447" s="604">
        <f t="shared" si="370"/>
        <v>0</v>
      </c>
      <c r="AZ447" s="604">
        <f t="shared" si="330"/>
        <v>0</v>
      </c>
      <c r="BA447" s="592">
        <f t="shared" si="331"/>
        <v>0</v>
      </c>
      <c r="BB447" s="592">
        <f t="shared" si="332"/>
        <v>100</v>
      </c>
      <c r="BC447" s="591">
        <v>0</v>
      </c>
      <c r="BD447" s="591">
        <v>0</v>
      </c>
      <c r="BE447" s="591">
        <v>0</v>
      </c>
      <c r="BF447" s="591">
        <v>0</v>
      </c>
      <c r="BG447" s="591">
        <v>0</v>
      </c>
      <c r="BH447" s="591">
        <v>0</v>
      </c>
      <c r="BI447" s="591">
        <v>0</v>
      </c>
      <c r="BJ447" s="591">
        <v>0</v>
      </c>
      <c r="BK447" s="624">
        <v>0</v>
      </c>
      <c r="BL447" s="589">
        <v>0</v>
      </c>
      <c r="BM447" s="589">
        <v>0</v>
      </c>
      <c r="BN447" s="589">
        <v>0</v>
      </c>
      <c r="BO447" s="589">
        <v>0</v>
      </c>
      <c r="BP447" s="589">
        <v>0</v>
      </c>
      <c r="BQ447" s="589">
        <v>0</v>
      </c>
      <c r="BR447" s="589">
        <v>0</v>
      </c>
      <c r="BS447" s="589">
        <v>0</v>
      </c>
      <c r="BT447" s="589">
        <v>0</v>
      </c>
      <c r="BU447" s="589">
        <v>0</v>
      </c>
      <c r="BV447" s="588">
        <f t="shared" si="333"/>
        <v>0</v>
      </c>
      <c r="BW447" s="588">
        <v>0</v>
      </c>
      <c r="BX447" s="623">
        <f t="shared" si="371"/>
        <v>0</v>
      </c>
      <c r="BY447" s="639">
        <v>0</v>
      </c>
      <c r="BZ447" s="638">
        <v>0</v>
      </c>
      <c r="CA447" s="1018">
        <v>0</v>
      </c>
      <c r="CB447" s="557">
        <f t="shared" si="372"/>
        <v>0</v>
      </c>
      <c r="CC447" s="557">
        <f t="shared" si="373"/>
        <v>0</v>
      </c>
      <c r="CD447" s="622">
        <f t="shared" si="334"/>
        <v>0</v>
      </c>
      <c r="CE447" s="621">
        <f t="shared" si="335"/>
        <v>0</v>
      </c>
      <c r="CF447" s="605">
        <f t="shared" si="336"/>
        <v>0</v>
      </c>
      <c r="CG447" s="621">
        <f t="shared" si="337"/>
        <v>0</v>
      </c>
      <c r="CH447" s="553">
        <f t="shared" si="338"/>
        <v>0</v>
      </c>
      <c r="CI447" s="552">
        <v>0</v>
      </c>
      <c r="CJ447" s="551">
        <f t="shared" si="374"/>
        <v>0</v>
      </c>
      <c r="CK447" s="871">
        <v>0</v>
      </c>
      <c r="CL447" s="533">
        <f t="shared" si="380"/>
        <v>0</v>
      </c>
      <c r="CM447" s="619">
        <f t="shared" si="375"/>
        <v>0</v>
      </c>
      <c r="CN447" s="619">
        <f t="shared" si="376"/>
        <v>0</v>
      </c>
      <c r="CO447" s="549">
        <f t="shared" si="339"/>
        <v>0</v>
      </c>
      <c r="CP447" s="619">
        <f t="shared" si="340"/>
        <v>0</v>
      </c>
      <c r="CQ447" s="619">
        <f t="shared" si="341"/>
        <v>0</v>
      </c>
      <c r="CR447" s="546">
        <v>0</v>
      </c>
      <c r="CS447" s="546">
        <v>0</v>
      </c>
      <c r="CT447" s="546">
        <v>0</v>
      </c>
      <c r="CU447" s="546">
        <v>0</v>
      </c>
      <c r="CV447" s="546">
        <v>0</v>
      </c>
      <c r="CW447" s="546">
        <v>0</v>
      </c>
      <c r="CX447" s="546">
        <v>0</v>
      </c>
      <c r="CY447" s="546">
        <v>0</v>
      </c>
      <c r="CZ447" s="618">
        <v>0</v>
      </c>
      <c r="DA447" s="618">
        <v>0</v>
      </c>
      <c r="DB447" s="618">
        <v>0</v>
      </c>
      <c r="DC447" s="618">
        <v>0</v>
      </c>
      <c r="DD447" s="618">
        <v>0</v>
      </c>
      <c r="DE447" s="618">
        <v>0</v>
      </c>
      <c r="DF447" s="618">
        <v>0</v>
      </c>
      <c r="DG447" s="618">
        <v>0</v>
      </c>
      <c r="DH447" s="618">
        <v>0</v>
      </c>
      <c r="DI447" s="618">
        <v>0</v>
      </c>
      <c r="DJ447" s="618">
        <v>0</v>
      </c>
      <c r="DK447" s="1034">
        <f t="shared" si="377"/>
        <v>1</v>
      </c>
      <c r="DL447" s="543">
        <f t="shared" si="342"/>
        <v>0.16500000000000001</v>
      </c>
      <c r="DM447" s="542">
        <f t="shared" si="343"/>
        <v>100</v>
      </c>
      <c r="DN447" s="594">
        <f t="shared" si="344"/>
        <v>100</v>
      </c>
      <c r="DO447" s="540">
        <f t="shared" si="345"/>
        <v>0.16500000000000001</v>
      </c>
      <c r="DP447" s="597">
        <f t="shared" si="379"/>
        <v>0.16500000000000001</v>
      </c>
      <c r="DQ447" s="538">
        <f t="shared" si="346"/>
        <v>0.16500000000000001</v>
      </c>
      <c r="DR447" s="617">
        <f t="shared" si="347"/>
        <v>1</v>
      </c>
      <c r="DS447" s="616">
        <f t="shared" si="348"/>
        <v>0</v>
      </c>
      <c r="DT447" s="259">
        <v>611</v>
      </c>
      <c r="DU447" s="260" t="s">
        <v>256</v>
      </c>
      <c r="DV447" s="259"/>
      <c r="DW447" s="260" t="s">
        <v>242</v>
      </c>
      <c r="DX447" s="259"/>
      <c r="DY447" s="259"/>
      <c r="DZ447" s="259"/>
      <c r="EA447" s="987"/>
      <c r="EB447" s="1041" t="s">
        <v>2750</v>
      </c>
      <c r="EC447" s="802">
        <v>0</v>
      </c>
      <c r="EE447" s="1047"/>
    </row>
    <row r="448" spans="4:135" s="534" customFormat="1" ht="89.25" hidden="1" x14ac:dyDescent="0.3">
      <c r="D448" s="783">
        <v>445</v>
      </c>
      <c r="E448" s="799">
        <v>516</v>
      </c>
      <c r="F448" s="739" t="s">
        <v>203</v>
      </c>
      <c r="G448" s="739" t="s">
        <v>9</v>
      </c>
      <c r="H448" s="739" t="s">
        <v>162</v>
      </c>
      <c r="I448" s="676" t="s">
        <v>1223</v>
      </c>
      <c r="J448" s="573" t="s">
        <v>1230</v>
      </c>
      <c r="K448" s="573" t="s">
        <v>1231</v>
      </c>
      <c r="L448" s="647" t="s">
        <v>1593</v>
      </c>
      <c r="M448" s="571" t="s">
        <v>2017</v>
      </c>
      <c r="N448" s="575">
        <v>0</v>
      </c>
      <c r="O448" s="570">
        <f t="shared" si="378"/>
        <v>116</v>
      </c>
      <c r="P448" s="663">
        <v>116</v>
      </c>
      <c r="Q448" s="628">
        <v>0.16500000000000001</v>
      </c>
      <c r="R448" s="580">
        <f t="shared" si="326"/>
        <v>0</v>
      </c>
      <c r="S448" s="657">
        <v>0</v>
      </c>
      <c r="T448" s="575">
        <f t="shared" si="365"/>
        <v>0</v>
      </c>
      <c r="U448" s="996">
        <v>0</v>
      </c>
      <c r="V448" s="626">
        <f t="shared" si="366"/>
        <v>0</v>
      </c>
      <c r="W448" s="594">
        <f t="shared" si="367"/>
        <v>0</v>
      </c>
      <c r="X448" s="594">
        <f t="shared" si="327"/>
        <v>0</v>
      </c>
      <c r="Y448" s="594">
        <f t="shared" si="364"/>
        <v>0</v>
      </c>
      <c r="Z448" s="594">
        <f t="shared" si="328"/>
        <v>0</v>
      </c>
      <c r="AA448" s="653">
        <v>50000000</v>
      </c>
      <c r="AB448" s="653">
        <v>50000000</v>
      </c>
      <c r="AC448" s="653">
        <v>0</v>
      </c>
      <c r="AD448" s="653">
        <v>0</v>
      </c>
      <c r="AE448" s="653">
        <v>0</v>
      </c>
      <c r="AF448" s="653">
        <v>0</v>
      </c>
      <c r="AG448" s="653">
        <v>0</v>
      </c>
      <c r="AH448" s="653">
        <v>0</v>
      </c>
      <c r="AI448" s="653">
        <v>0</v>
      </c>
      <c r="AJ448" s="653">
        <v>0</v>
      </c>
      <c r="AK448" s="653">
        <v>0</v>
      </c>
      <c r="AL448" s="653">
        <v>0</v>
      </c>
      <c r="AM448" s="653">
        <v>0</v>
      </c>
      <c r="AN448" s="653">
        <v>0</v>
      </c>
      <c r="AO448" s="653">
        <v>0</v>
      </c>
      <c r="AP448" s="653">
        <v>0</v>
      </c>
      <c r="AQ448" s="653">
        <v>0</v>
      </c>
      <c r="AR448" s="653">
        <v>0</v>
      </c>
      <c r="AS448" s="653">
        <v>0</v>
      </c>
      <c r="AT448" s="570">
        <f t="shared" si="329"/>
        <v>3.5560344827586209E-2</v>
      </c>
      <c r="AU448" s="571">
        <v>25</v>
      </c>
      <c r="AV448" s="625">
        <f t="shared" si="368"/>
        <v>0.21551724137931033</v>
      </c>
      <c r="AW448" s="1003">
        <v>0</v>
      </c>
      <c r="AX448" s="604">
        <f t="shared" si="369"/>
        <v>0</v>
      </c>
      <c r="AY448" s="604">
        <f t="shared" si="370"/>
        <v>0</v>
      </c>
      <c r="AZ448" s="604">
        <f t="shared" si="330"/>
        <v>0</v>
      </c>
      <c r="BA448" s="592">
        <f t="shared" si="331"/>
        <v>0</v>
      </c>
      <c r="BB448" s="592">
        <f t="shared" si="332"/>
        <v>0</v>
      </c>
      <c r="BC448" s="591">
        <v>20000000</v>
      </c>
      <c r="BD448" s="591">
        <v>0</v>
      </c>
      <c r="BE448" s="591">
        <v>20000000</v>
      </c>
      <c r="BF448" s="591">
        <v>0</v>
      </c>
      <c r="BG448" s="591">
        <v>0</v>
      </c>
      <c r="BH448" s="591">
        <v>0</v>
      </c>
      <c r="BI448" s="591">
        <v>0</v>
      </c>
      <c r="BJ448" s="591">
        <v>0</v>
      </c>
      <c r="BK448" s="624">
        <v>0</v>
      </c>
      <c r="BL448" s="589">
        <v>0</v>
      </c>
      <c r="BM448" s="589">
        <v>0</v>
      </c>
      <c r="BN448" s="589">
        <v>0</v>
      </c>
      <c r="BO448" s="589">
        <v>0</v>
      </c>
      <c r="BP448" s="589">
        <v>0</v>
      </c>
      <c r="BQ448" s="589">
        <v>0</v>
      </c>
      <c r="BR448" s="589">
        <v>0</v>
      </c>
      <c r="BS448" s="589">
        <v>0</v>
      </c>
      <c r="BT448" s="589">
        <v>0</v>
      </c>
      <c r="BU448" s="589">
        <v>0</v>
      </c>
      <c r="BV448" s="588">
        <f t="shared" si="333"/>
        <v>5.6896551724137941E-2</v>
      </c>
      <c r="BW448" s="588">
        <v>40</v>
      </c>
      <c r="BX448" s="623">
        <f t="shared" si="371"/>
        <v>0.34482758620689657</v>
      </c>
      <c r="BY448" s="607">
        <v>50</v>
      </c>
      <c r="BZ448" s="629">
        <v>50</v>
      </c>
      <c r="CA448" s="1017">
        <v>58</v>
      </c>
      <c r="CB448" s="557">
        <f t="shared" si="372"/>
        <v>58</v>
      </c>
      <c r="CC448" s="557">
        <f t="shared" si="373"/>
        <v>145</v>
      </c>
      <c r="CD448" s="622">
        <f t="shared" si="334"/>
        <v>100</v>
      </c>
      <c r="CE448" s="621">
        <f t="shared" si="335"/>
        <v>5.6896551724137948E-2</v>
      </c>
      <c r="CF448" s="605">
        <f t="shared" si="336"/>
        <v>100</v>
      </c>
      <c r="CG448" s="621">
        <f t="shared" si="337"/>
        <v>8.2500000000000018E-2</v>
      </c>
      <c r="CH448" s="553">
        <f t="shared" si="338"/>
        <v>7.2543103448275859E-2</v>
      </c>
      <c r="CI448" s="552">
        <v>51</v>
      </c>
      <c r="CJ448" s="551">
        <f t="shared" si="374"/>
        <v>0.43965517241379309</v>
      </c>
      <c r="CK448" s="874">
        <v>24</v>
      </c>
      <c r="CL448" s="533">
        <f t="shared" si="380"/>
        <v>27</v>
      </c>
      <c r="CM448" s="619">
        <f t="shared" si="375"/>
        <v>24</v>
      </c>
      <c r="CN448" s="619">
        <f t="shared" si="376"/>
        <v>47.058823529411768</v>
      </c>
      <c r="CO448" s="549">
        <f t="shared" si="339"/>
        <v>47.058823529411768</v>
      </c>
      <c r="CP448" s="619">
        <f t="shared" si="340"/>
        <v>3.413793103448276E-2</v>
      </c>
      <c r="CQ448" s="619">
        <f t="shared" si="341"/>
        <v>3.413793103448276E-2</v>
      </c>
      <c r="CR448" s="546">
        <v>40000000</v>
      </c>
      <c r="CS448" s="546">
        <v>40000000</v>
      </c>
      <c r="CT448" s="546">
        <v>0</v>
      </c>
      <c r="CU448" s="546">
        <v>0</v>
      </c>
      <c r="CV448" s="546">
        <v>0</v>
      </c>
      <c r="CW448" s="546">
        <v>0</v>
      </c>
      <c r="CX448" s="546">
        <v>0</v>
      </c>
      <c r="CY448" s="546">
        <v>0</v>
      </c>
      <c r="CZ448" s="618">
        <v>0</v>
      </c>
      <c r="DA448" s="618">
        <v>0</v>
      </c>
      <c r="DB448" s="618">
        <v>0</v>
      </c>
      <c r="DC448" s="618">
        <v>0</v>
      </c>
      <c r="DD448" s="618">
        <v>0</v>
      </c>
      <c r="DE448" s="618">
        <v>0</v>
      </c>
      <c r="DF448" s="618">
        <v>0</v>
      </c>
      <c r="DG448" s="618">
        <v>0</v>
      </c>
      <c r="DH448" s="618">
        <v>0</v>
      </c>
      <c r="DI448" s="618">
        <v>0</v>
      </c>
      <c r="DJ448" s="618">
        <v>0</v>
      </c>
      <c r="DK448" s="1034">
        <f t="shared" si="377"/>
        <v>82</v>
      </c>
      <c r="DL448" s="543">
        <f t="shared" si="342"/>
        <v>0.16500000000000001</v>
      </c>
      <c r="DM448" s="542">
        <f t="shared" si="343"/>
        <v>70.689655172413794</v>
      </c>
      <c r="DN448" s="594">
        <f t="shared" si="344"/>
        <v>70.689655172413794</v>
      </c>
      <c r="DO448" s="540">
        <f t="shared" si="345"/>
        <v>0.11663793103448276</v>
      </c>
      <c r="DP448" s="597">
        <f t="shared" si="379"/>
        <v>0.11663793103448276</v>
      </c>
      <c r="DQ448" s="538">
        <f t="shared" si="346"/>
        <v>0.11663793103448276</v>
      </c>
      <c r="DR448" s="617">
        <f t="shared" si="347"/>
        <v>1</v>
      </c>
      <c r="DS448" s="616">
        <f t="shared" si="348"/>
        <v>0</v>
      </c>
      <c r="DT448" s="259">
        <v>269</v>
      </c>
      <c r="DU448" s="260" t="s">
        <v>275</v>
      </c>
      <c r="DV448" s="259"/>
      <c r="DW448" s="260" t="s">
        <v>242</v>
      </c>
      <c r="DX448" s="259"/>
      <c r="DY448" s="259"/>
      <c r="DZ448" s="259"/>
      <c r="EA448" s="987"/>
      <c r="EB448" s="1041" t="s">
        <v>2751</v>
      </c>
      <c r="EC448" s="802">
        <v>30000000</v>
      </c>
      <c r="EE448" s="1047"/>
    </row>
    <row r="449" spans="4:135" s="534" customFormat="1" ht="76.5" hidden="1" x14ac:dyDescent="0.3">
      <c r="D449" s="783">
        <v>446</v>
      </c>
      <c r="E449" s="799">
        <v>517</v>
      </c>
      <c r="F449" s="739" t="s">
        <v>203</v>
      </c>
      <c r="G449" s="739" t="s">
        <v>9</v>
      </c>
      <c r="H449" s="739" t="s">
        <v>162</v>
      </c>
      <c r="I449" s="676" t="s">
        <v>1223</v>
      </c>
      <c r="J449" s="573" t="s">
        <v>1232</v>
      </c>
      <c r="K449" s="573" t="s">
        <v>1233</v>
      </c>
      <c r="L449" s="647" t="s">
        <v>2072</v>
      </c>
      <c r="M449" s="571" t="s">
        <v>2017</v>
      </c>
      <c r="N449" s="575">
        <v>0</v>
      </c>
      <c r="O449" s="570">
        <f t="shared" si="378"/>
        <v>1</v>
      </c>
      <c r="P449" s="663">
        <v>1</v>
      </c>
      <c r="Q449" s="628">
        <v>0.16500000000000001</v>
      </c>
      <c r="R449" s="580">
        <f t="shared" si="326"/>
        <v>0</v>
      </c>
      <c r="S449" s="657">
        <v>0</v>
      </c>
      <c r="T449" s="575">
        <f t="shared" si="365"/>
        <v>0</v>
      </c>
      <c r="U449" s="996">
        <v>0</v>
      </c>
      <c r="V449" s="626">
        <f t="shared" si="366"/>
        <v>0</v>
      </c>
      <c r="W449" s="594">
        <f t="shared" si="367"/>
        <v>0</v>
      </c>
      <c r="X449" s="594">
        <f t="shared" si="327"/>
        <v>0</v>
      </c>
      <c r="Y449" s="594">
        <f t="shared" si="364"/>
        <v>0</v>
      </c>
      <c r="Z449" s="594">
        <f t="shared" si="328"/>
        <v>0</v>
      </c>
      <c r="AA449" s="653">
        <v>50000000</v>
      </c>
      <c r="AB449" s="653">
        <v>50000000</v>
      </c>
      <c r="AC449" s="653">
        <v>0</v>
      </c>
      <c r="AD449" s="653">
        <v>0</v>
      </c>
      <c r="AE449" s="653">
        <v>0</v>
      </c>
      <c r="AF449" s="653">
        <v>0</v>
      </c>
      <c r="AG449" s="653">
        <v>0</v>
      </c>
      <c r="AH449" s="653">
        <v>0</v>
      </c>
      <c r="AI449" s="653">
        <v>0</v>
      </c>
      <c r="AJ449" s="653">
        <v>0</v>
      </c>
      <c r="AK449" s="653">
        <v>0</v>
      </c>
      <c r="AL449" s="653">
        <v>0</v>
      </c>
      <c r="AM449" s="653">
        <v>0</v>
      </c>
      <c r="AN449" s="653">
        <v>0</v>
      </c>
      <c r="AO449" s="653">
        <v>0</v>
      </c>
      <c r="AP449" s="653">
        <v>0</v>
      </c>
      <c r="AQ449" s="653">
        <v>0</v>
      </c>
      <c r="AR449" s="653">
        <v>0</v>
      </c>
      <c r="AS449" s="653">
        <v>0</v>
      </c>
      <c r="AT449" s="570">
        <f t="shared" si="329"/>
        <v>4.1250000000000002E-2</v>
      </c>
      <c r="AU449" s="571">
        <v>0.25</v>
      </c>
      <c r="AV449" s="625">
        <f t="shared" si="368"/>
        <v>0.25</v>
      </c>
      <c r="AW449" s="1003">
        <v>0</v>
      </c>
      <c r="AX449" s="604">
        <f t="shared" si="369"/>
        <v>0</v>
      </c>
      <c r="AY449" s="604">
        <f t="shared" si="370"/>
        <v>0</v>
      </c>
      <c r="AZ449" s="604">
        <f t="shared" si="330"/>
        <v>0</v>
      </c>
      <c r="BA449" s="592">
        <f t="shared" si="331"/>
        <v>0</v>
      </c>
      <c r="BB449" s="592">
        <f t="shared" si="332"/>
        <v>0</v>
      </c>
      <c r="BC449" s="591">
        <v>20000000</v>
      </c>
      <c r="BD449" s="591">
        <v>0</v>
      </c>
      <c r="BE449" s="591">
        <v>20000000</v>
      </c>
      <c r="BF449" s="591">
        <v>0</v>
      </c>
      <c r="BG449" s="591">
        <v>0</v>
      </c>
      <c r="BH449" s="591">
        <v>0</v>
      </c>
      <c r="BI449" s="591">
        <v>0</v>
      </c>
      <c r="BJ449" s="591">
        <v>0</v>
      </c>
      <c r="BK449" s="624">
        <v>0</v>
      </c>
      <c r="BL449" s="589">
        <v>0</v>
      </c>
      <c r="BM449" s="589">
        <v>0</v>
      </c>
      <c r="BN449" s="589">
        <v>0</v>
      </c>
      <c r="BO449" s="589">
        <v>0</v>
      </c>
      <c r="BP449" s="589">
        <v>0</v>
      </c>
      <c r="BQ449" s="589">
        <v>0</v>
      </c>
      <c r="BR449" s="589">
        <v>0</v>
      </c>
      <c r="BS449" s="589">
        <v>0</v>
      </c>
      <c r="BT449" s="589">
        <v>0</v>
      </c>
      <c r="BU449" s="589">
        <v>0</v>
      </c>
      <c r="BV449" s="588">
        <f t="shared" si="333"/>
        <v>6.6000000000000003E-2</v>
      </c>
      <c r="BW449" s="588">
        <v>0.4</v>
      </c>
      <c r="BX449" s="623">
        <f t="shared" si="371"/>
        <v>0.4</v>
      </c>
      <c r="BY449" s="607">
        <v>0</v>
      </c>
      <c r="BZ449" s="629">
        <v>1</v>
      </c>
      <c r="CA449" s="1017">
        <v>1</v>
      </c>
      <c r="CB449" s="557">
        <f t="shared" si="372"/>
        <v>1</v>
      </c>
      <c r="CC449" s="557">
        <f t="shared" si="373"/>
        <v>250</v>
      </c>
      <c r="CD449" s="622">
        <f t="shared" si="334"/>
        <v>100</v>
      </c>
      <c r="CE449" s="621">
        <f t="shared" si="335"/>
        <v>6.6000000000000003E-2</v>
      </c>
      <c r="CF449" s="605">
        <f t="shared" si="336"/>
        <v>100</v>
      </c>
      <c r="CG449" s="621">
        <f t="shared" si="337"/>
        <v>0.16500000000000001</v>
      </c>
      <c r="CH449" s="553">
        <f t="shared" si="338"/>
        <v>5.7749999999999996E-2</v>
      </c>
      <c r="CI449" s="552">
        <v>0.35</v>
      </c>
      <c r="CJ449" s="551">
        <f t="shared" si="374"/>
        <v>0.35</v>
      </c>
      <c r="CK449" s="874">
        <v>0</v>
      </c>
      <c r="CL449" s="533">
        <f t="shared" si="380"/>
        <v>0.35</v>
      </c>
      <c r="CM449" s="619">
        <f t="shared" si="375"/>
        <v>0</v>
      </c>
      <c r="CN449" s="619">
        <f t="shared" si="376"/>
        <v>0</v>
      </c>
      <c r="CO449" s="549">
        <f t="shared" si="339"/>
        <v>0</v>
      </c>
      <c r="CP449" s="619">
        <f t="shared" si="340"/>
        <v>0</v>
      </c>
      <c r="CQ449" s="619">
        <f t="shared" si="341"/>
        <v>0</v>
      </c>
      <c r="CR449" s="546">
        <v>35000000</v>
      </c>
      <c r="CS449" s="546">
        <v>35000000</v>
      </c>
      <c r="CT449" s="546">
        <v>0</v>
      </c>
      <c r="CU449" s="546">
        <v>0</v>
      </c>
      <c r="CV449" s="546">
        <v>0</v>
      </c>
      <c r="CW449" s="546">
        <v>0</v>
      </c>
      <c r="CX449" s="546">
        <v>0</v>
      </c>
      <c r="CY449" s="546">
        <v>0</v>
      </c>
      <c r="CZ449" s="618">
        <v>0</v>
      </c>
      <c r="DA449" s="618">
        <v>0</v>
      </c>
      <c r="DB449" s="618">
        <v>0</v>
      </c>
      <c r="DC449" s="618">
        <v>0</v>
      </c>
      <c r="DD449" s="618">
        <v>0</v>
      </c>
      <c r="DE449" s="618">
        <v>0</v>
      </c>
      <c r="DF449" s="618">
        <v>0</v>
      </c>
      <c r="DG449" s="618">
        <v>0</v>
      </c>
      <c r="DH449" s="618">
        <v>0</v>
      </c>
      <c r="DI449" s="618">
        <v>0</v>
      </c>
      <c r="DJ449" s="618">
        <v>0</v>
      </c>
      <c r="DK449" s="1034">
        <f t="shared" si="377"/>
        <v>1</v>
      </c>
      <c r="DL449" s="543">
        <f t="shared" si="342"/>
        <v>0.16500000000000001</v>
      </c>
      <c r="DM449" s="542">
        <f t="shared" si="343"/>
        <v>100</v>
      </c>
      <c r="DN449" s="594">
        <f t="shared" si="344"/>
        <v>100</v>
      </c>
      <c r="DO449" s="540">
        <f t="shared" si="345"/>
        <v>0.16500000000000001</v>
      </c>
      <c r="DP449" s="597">
        <f t="shared" si="379"/>
        <v>0.16500000000000001</v>
      </c>
      <c r="DQ449" s="538">
        <f t="shared" si="346"/>
        <v>0.16500000000000001</v>
      </c>
      <c r="DR449" s="617">
        <f t="shared" si="347"/>
        <v>1</v>
      </c>
      <c r="DS449" s="616">
        <f t="shared" si="348"/>
        <v>0</v>
      </c>
      <c r="DT449" s="259">
        <v>269</v>
      </c>
      <c r="DU449" s="260" t="s">
        <v>275</v>
      </c>
      <c r="DV449" s="259"/>
      <c r="DW449" s="260" t="s">
        <v>242</v>
      </c>
      <c r="DX449" s="259"/>
      <c r="DY449" s="259"/>
      <c r="DZ449" s="259"/>
      <c r="EA449" s="987"/>
      <c r="EB449" s="1041" t="s">
        <v>2752</v>
      </c>
      <c r="EC449" s="802">
        <v>35000000</v>
      </c>
      <c r="EE449" s="1047"/>
    </row>
    <row r="450" spans="4:135" s="534" customFormat="1" ht="127.5" hidden="1" x14ac:dyDescent="0.3">
      <c r="D450" s="783">
        <v>447</v>
      </c>
      <c r="E450" s="799">
        <v>518</v>
      </c>
      <c r="F450" s="739" t="s">
        <v>203</v>
      </c>
      <c r="G450" s="739" t="s">
        <v>26</v>
      </c>
      <c r="H450" s="739" t="s">
        <v>156</v>
      </c>
      <c r="I450" s="676" t="s">
        <v>1234</v>
      </c>
      <c r="J450" s="573" t="s">
        <v>1235</v>
      </c>
      <c r="K450" s="573" t="s">
        <v>1236</v>
      </c>
      <c r="L450" s="596" t="s">
        <v>2049</v>
      </c>
      <c r="M450" s="571" t="s">
        <v>2017</v>
      </c>
      <c r="N450" s="571">
        <v>0</v>
      </c>
      <c r="O450" s="570">
        <f t="shared" si="378"/>
        <v>1</v>
      </c>
      <c r="P450" s="569">
        <v>1</v>
      </c>
      <c r="Q450" s="628">
        <v>0.16500000000000001</v>
      </c>
      <c r="R450" s="580">
        <f t="shared" si="326"/>
        <v>9.9000000000000005E-2</v>
      </c>
      <c r="S450" s="627">
        <v>0.6</v>
      </c>
      <c r="T450" s="575">
        <f t="shared" si="365"/>
        <v>0.6</v>
      </c>
      <c r="U450" s="992">
        <v>0.6</v>
      </c>
      <c r="V450" s="626">
        <f t="shared" si="366"/>
        <v>0.6</v>
      </c>
      <c r="W450" s="594">
        <f t="shared" si="367"/>
        <v>100</v>
      </c>
      <c r="X450" s="594">
        <f t="shared" si="327"/>
        <v>100</v>
      </c>
      <c r="Y450" s="594">
        <f t="shared" si="364"/>
        <v>9.9000000000000005E-2</v>
      </c>
      <c r="Z450" s="594">
        <f t="shared" si="328"/>
        <v>100</v>
      </c>
      <c r="AA450" s="593">
        <v>0</v>
      </c>
      <c r="AB450" s="593">
        <v>0</v>
      </c>
      <c r="AC450" s="593">
        <v>0</v>
      </c>
      <c r="AD450" s="593">
        <v>0</v>
      </c>
      <c r="AE450" s="593">
        <v>0</v>
      </c>
      <c r="AF450" s="593">
        <v>0</v>
      </c>
      <c r="AG450" s="593">
        <v>0</v>
      </c>
      <c r="AH450" s="593">
        <v>0</v>
      </c>
      <c r="AI450" s="593">
        <v>0</v>
      </c>
      <c r="AJ450" s="593">
        <v>0</v>
      </c>
      <c r="AK450" s="593">
        <v>0</v>
      </c>
      <c r="AL450" s="593">
        <v>0</v>
      </c>
      <c r="AM450" s="593">
        <v>0</v>
      </c>
      <c r="AN450" s="593">
        <v>0</v>
      </c>
      <c r="AO450" s="593">
        <v>0</v>
      </c>
      <c r="AP450" s="593">
        <v>0</v>
      </c>
      <c r="AQ450" s="593">
        <v>0</v>
      </c>
      <c r="AR450" s="593">
        <v>0</v>
      </c>
      <c r="AS450" s="593">
        <v>0</v>
      </c>
      <c r="AT450" s="570">
        <f t="shared" si="329"/>
        <v>6.6000000000000003E-2</v>
      </c>
      <c r="AU450" s="571">
        <v>0.4</v>
      </c>
      <c r="AV450" s="625">
        <f t="shared" si="368"/>
        <v>0.4</v>
      </c>
      <c r="AW450" s="1003">
        <v>0.4</v>
      </c>
      <c r="AX450" s="604">
        <f t="shared" si="369"/>
        <v>0.4</v>
      </c>
      <c r="AY450" s="604">
        <f t="shared" si="370"/>
        <v>100</v>
      </c>
      <c r="AZ450" s="604">
        <f t="shared" si="330"/>
        <v>100</v>
      </c>
      <c r="BA450" s="592">
        <f t="shared" si="331"/>
        <v>6.6000000000000003E-2</v>
      </c>
      <c r="BB450" s="592">
        <f t="shared" si="332"/>
        <v>100</v>
      </c>
      <c r="BC450" s="591">
        <v>0</v>
      </c>
      <c r="BD450" s="591">
        <v>0</v>
      </c>
      <c r="BE450" s="591">
        <v>0</v>
      </c>
      <c r="BF450" s="591">
        <v>0</v>
      </c>
      <c r="BG450" s="591">
        <v>0</v>
      </c>
      <c r="BH450" s="591">
        <v>0</v>
      </c>
      <c r="BI450" s="591">
        <v>0</v>
      </c>
      <c r="BJ450" s="591">
        <v>0</v>
      </c>
      <c r="BK450" s="624">
        <v>0</v>
      </c>
      <c r="BL450" s="589">
        <v>0</v>
      </c>
      <c r="BM450" s="589">
        <v>0</v>
      </c>
      <c r="BN450" s="589">
        <v>0</v>
      </c>
      <c r="BO450" s="589">
        <v>0</v>
      </c>
      <c r="BP450" s="589">
        <v>0</v>
      </c>
      <c r="BQ450" s="589">
        <v>0</v>
      </c>
      <c r="BR450" s="589">
        <v>0</v>
      </c>
      <c r="BS450" s="589">
        <v>0</v>
      </c>
      <c r="BT450" s="589">
        <v>0</v>
      </c>
      <c r="BU450" s="589">
        <v>0</v>
      </c>
      <c r="BV450" s="588">
        <f t="shared" si="333"/>
        <v>0</v>
      </c>
      <c r="BW450" s="588">
        <v>0</v>
      </c>
      <c r="BX450" s="623">
        <f t="shared" si="371"/>
        <v>0</v>
      </c>
      <c r="BY450" s="607">
        <v>0</v>
      </c>
      <c r="BZ450" s="629">
        <v>0</v>
      </c>
      <c r="CA450" s="1017">
        <v>0</v>
      </c>
      <c r="CB450" s="557">
        <f t="shared" si="372"/>
        <v>0</v>
      </c>
      <c r="CC450" s="557">
        <f t="shared" si="373"/>
        <v>0</v>
      </c>
      <c r="CD450" s="622">
        <f t="shared" si="334"/>
        <v>0</v>
      </c>
      <c r="CE450" s="621">
        <f t="shared" si="335"/>
        <v>0</v>
      </c>
      <c r="CF450" s="605">
        <f t="shared" si="336"/>
        <v>0</v>
      </c>
      <c r="CG450" s="621">
        <f t="shared" si="337"/>
        <v>0</v>
      </c>
      <c r="CH450" s="553">
        <f t="shared" si="338"/>
        <v>0</v>
      </c>
      <c r="CI450" s="552">
        <v>0</v>
      </c>
      <c r="CJ450" s="551">
        <f t="shared" si="374"/>
        <v>0</v>
      </c>
      <c r="CK450" s="874">
        <v>0</v>
      </c>
      <c r="CL450" s="533">
        <f t="shared" si="380"/>
        <v>0</v>
      </c>
      <c r="CM450" s="619">
        <f t="shared" si="375"/>
        <v>0</v>
      </c>
      <c r="CN450" s="619">
        <f t="shared" si="376"/>
        <v>0</v>
      </c>
      <c r="CO450" s="549">
        <f t="shared" si="339"/>
        <v>0</v>
      </c>
      <c r="CP450" s="619">
        <f t="shared" si="340"/>
        <v>0</v>
      </c>
      <c r="CQ450" s="619">
        <f t="shared" si="341"/>
        <v>0</v>
      </c>
      <c r="CR450" s="546">
        <v>0</v>
      </c>
      <c r="CS450" s="546">
        <v>0</v>
      </c>
      <c r="CT450" s="546">
        <v>0</v>
      </c>
      <c r="CU450" s="546">
        <v>0</v>
      </c>
      <c r="CV450" s="546">
        <v>0</v>
      </c>
      <c r="CW450" s="546">
        <v>0</v>
      </c>
      <c r="CX450" s="546">
        <v>0</v>
      </c>
      <c r="CY450" s="546">
        <v>0</v>
      </c>
      <c r="CZ450" s="618">
        <v>0</v>
      </c>
      <c r="DA450" s="618">
        <v>0</v>
      </c>
      <c r="DB450" s="618">
        <v>0</v>
      </c>
      <c r="DC450" s="618">
        <v>0</v>
      </c>
      <c r="DD450" s="618">
        <v>0</v>
      </c>
      <c r="DE450" s="618">
        <v>0</v>
      </c>
      <c r="DF450" s="618">
        <v>0</v>
      </c>
      <c r="DG450" s="618">
        <v>0</v>
      </c>
      <c r="DH450" s="618">
        <v>0</v>
      </c>
      <c r="DI450" s="618">
        <v>0</v>
      </c>
      <c r="DJ450" s="618">
        <v>0</v>
      </c>
      <c r="DK450" s="1034">
        <f t="shared" si="377"/>
        <v>1</v>
      </c>
      <c r="DL450" s="543">
        <f t="shared" si="342"/>
        <v>0.16500000000000001</v>
      </c>
      <c r="DM450" s="542">
        <f t="shared" si="343"/>
        <v>100</v>
      </c>
      <c r="DN450" s="594">
        <f t="shared" si="344"/>
        <v>100</v>
      </c>
      <c r="DO450" s="540">
        <f t="shared" si="345"/>
        <v>0.16500000000000001</v>
      </c>
      <c r="DP450" s="597">
        <f t="shared" si="379"/>
        <v>0.16500000000000001</v>
      </c>
      <c r="DQ450" s="538">
        <f t="shared" si="346"/>
        <v>0.16500000000000001</v>
      </c>
      <c r="DR450" s="617">
        <f t="shared" si="347"/>
        <v>1</v>
      </c>
      <c r="DS450" s="616">
        <f t="shared" si="348"/>
        <v>0</v>
      </c>
      <c r="DT450" s="259">
        <v>615</v>
      </c>
      <c r="DU450" s="260" t="s">
        <v>252</v>
      </c>
      <c r="DV450" s="259"/>
      <c r="DW450" s="260" t="s">
        <v>242</v>
      </c>
      <c r="DX450" s="259"/>
      <c r="DY450" s="259"/>
      <c r="DZ450" s="259"/>
      <c r="EA450" s="987"/>
      <c r="EB450" s="1041" t="s">
        <v>2753</v>
      </c>
      <c r="EC450" s="802">
        <v>0</v>
      </c>
      <c r="EE450" s="1047"/>
    </row>
    <row r="451" spans="4:135" s="534" customFormat="1" ht="127.5" hidden="1" x14ac:dyDescent="0.3">
      <c r="D451" s="783">
        <v>448</v>
      </c>
      <c r="E451" s="799">
        <v>519</v>
      </c>
      <c r="F451" s="739" t="s">
        <v>203</v>
      </c>
      <c r="G451" s="739" t="s">
        <v>26</v>
      </c>
      <c r="H451" s="739" t="s">
        <v>156</v>
      </c>
      <c r="I451" s="676" t="s">
        <v>1234</v>
      </c>
      <c r="J451" s="573" t="s">
        <v>1237</v>
      </c>
      <c r="K451" s="573" t="s">
        <v>1238</v>
      </c>
      <c r="L451" s="596" t="s">
        <v>2049</v>
      </c>
      <c r="M451" s="571" t="s">
        <v>2017</v>
      </c>
      <c r="N451" s="575">
        <v>0</v>
      </c>
      <c r="O451" s="570">
        <f t="shared" si="378"/>
        <v>1</v>
      </c>
      <c r="P451" s="663">
        <v>1</v>
      </c>
      <c r="Q451" s="628">
        <v>0.16500000000000001</v>
      </c>
      <c r="R451" s="580">
        <f t="shared" si="326"/>
        <v>4.1250000000000002E-2</v>
      </c>
      <c r="S451" s="657">
        <v>0.25</v>
      </c>
      <c r="T451" s="575">
        <f t="shared" si="365"/>
        <v>0.25</v>
      </c>
      <c r="U451" s="996">
        <v>0.25</v>
      </c>
      <c r="V451" s="626">
        <f t="shared" si="366"/>
        <v>0.25</v>
      </c>
      <c r="W451" s="594">
        <f t="shared" si="367"/>
        <v>100</v>
      </c>
      <c r="X451" s="594">
        <f t="shared" si="327"/>
        <v>100</v>
      </c>
      <c r="Y451" s="594">
        <f t="shared" si="364"/>
        <v>4.1250000000000002E-2</v>
      </c>
      <c r="Z451" s="594">
        <f t="shared" si="328"/>
        <v>100</v>
      </c>
      <c r="AA451" s="653">
        <v>101000000</v>
      </c>
      <c r="AB451" s="653">
        <v>101000000</v>
      </c>
      <c r="AC451" s="653">
        <v>0</v>
      </c>
      <c r="AD451" s="653">
        <v>0</v>
      </c>
      <c r="AE451" s="653">
        <v>0</v>
      </c>
      <c r="AF451" s="653">
        <v>0</v>
      </c>
      <c r="AG451" s="653">
        <v>0</v>
      </c>
      <c r="AH451" s="653">
        <v>0</v>
      </c>
      <c r="AI451" s="653">
        <v>90305000</v>
      </c>
      <c r="AJ451" s="653">
        <v>90305000</v>
      </c>
      <c r="AK451" s="653">
        <v>0</v>
      </c>
      <c r="AL451" s="653">
        <v>0</v>
      </c>
      <c r="AM451" s="653">
        <v>0</v>
      </c>
      <c r="AN451" s="653">
        <v>0</v>
      </c>
      <c r="AO451" s="653">
        <v>0</v>
      </c>
      <c r="AP451" s="653">
        <v>0</v>
      </c>
      <c r="AQ451" s="653">
        <v>0</v>
      </c>
      <c r="AR451" s="653">
        <v>0</v>
      </c>
      <c r="AS451" s="653">
        <v>0</v>
      </c>
      <c r="AT451" s="570">
        <f t="shared" si="329"/>
        <v>8.2500000000000004E-2</v>
      </c>
      <c r="AU451" s="571">
        <v>0.5</v>
      </c>
      <c r="AV451" s="625">
        <f t="shared" si="368"/>
        <v>0.5</v>
      </c>
      <c r="AW451" s="1003">
        <v>0.5</v>
      </c>
      <c r="AX451" s="604">
        <f t="shared" si="369"/>
        <v>0.5</v>
      </c>
      <c r="AY451" s="604">
        <f t="shared" si="370"/>
        <v>100</v>
      </c>
      <c r="AZ451" s="604">
        <f t="shared" si="330"/>
        <v>100</v>
      </c>
      <c r="BA451" s="592">
        <f t="shared" si="331"/>
        <v>8.2500000000000004E-2</v>
      </c>
      <c r="BB451" s="592">
        <f t="shared" si="332"/>
        <v>100</v>
      </c>
      <c r="BC451" s="591">
        <v>26000000</v>
      </c>
      <c r="BD451" s="591">
        <v>0</v>
      </c>
      <c r="BE451" s="591">
        <v>26000000</v>
      </c>
      <c r="BF451" s="591">
        <v>0</v>
      </c>
      <c r="BG451" s="591">
        <v>0</v>
      </c>
      <c r="BH451" s="591">
        <v>0</v>
      </c>
      <c r="BI451" s="591">
        <v>0</v>
      </c>
      <c r="BJ451" s="591">
        <v>0</v>
      </c>
      <c r="BK451" s="624">
        <v>105850000</v>
      </c>
      <c r="BL451" s="589">
        <v>105850000</v>
      </c>
      <c r="BM451" s="589">
        <v>0</v>
      </c>
      <c r="BN451" s="589">
        <v>0</v>
      </c>
      <c r="BO451" s="589">
        <v>0</v>
      </c>
      <c r="BP451" s="589">
        <v>0</v>
      </c>
      <c r="BQ451" s="589">
        <v>0</v>
      </c>
      <c r="BR451" s="589">
        <v>0</v>
      </c>
      <c r="BS451" s="589">
        <v>0</v>
      </c>
      <c r="BT451" s="589">
        <v>0</v>
      </c>
      <c r="BU451" s="589">
        <v>0</v>
      </c>
      <c r="BV451" s="588">
        <f t="shared" si="333"/>
        <v>2.4750000000000001E-2</v>
      </c>
      <c r="BW451" s="588">
        <v>0.15</v>
      </c>
      <c r="BX451" s="623">
        <f t="shared" si="371"/>
        <v>0.15</v>
      </c>
      <c r="BY451" s="607">
        <v>0.25</v>
      </c>
      <c r="BZ451" s="629">
        <v>0.25</v>
      </c>
      <c r="CA451" s="1017">
        <v>0.15</v>
      </c>
      <c r="CB451" s="557">
        <f t="shared" si="372"/>
        <v>0.15</v>
      </c>
      <c r="CC451" s="557">
        <f t="shared" si="373"/>
        <v>100</v>
      </c>
      <c r="CD451" s="622">
        <f t="shared" si="334"/>
        <v>100</v>
      </c>
      <c r="CE451" s="621">
        <f t="shared" si="335"/>
        <v>2.4750000000000001E-2</v>
      </c>
      <c r="CF451" s="605">
        <f t="shared" si="336"/>
        <v>100</v>
      </c>
      <c r="CG451" s="621">
        <f t="shared" si="337"/>
        <v>2.4750000000000001E-2</v>
      </c>
      <c r="CH451" s="553">
        <f t="shared" si="338"/>
        <v>1.6500000000000001E-2</v>
      </c>
      <c r="CI451" s="658">
        <v>0.1</v>
      </c>
      <c r="CJ451" s="551">
        <f t="shared" si="374"/>
        <v>0.1</v>
      </c>
      <c r="CK451" s="874">
        <v>0.05</v>
      </c>
      <c r="CL451" s="533">
        <f t="shared" si="380"/>
        <v>0.05</v>
      </c>
      <c r="CM451" s="619">
        <f t="shared" si="375"/>
        <v>0.05</v>
      </c>
      <c r="CN451" s="619">
        <f t="shared" si="376"/>
        <v>50</v>
      </c>
      <c r="CO451" s="549">
        <f t="shared" si="339"/>
        <v>50</v>
      </c>
      <c r="CP451" s="619">
        <f t="shared" si="340"/>
        <v>8.2500000000000004E-3</v>
      </c>
      <c r="CQ451" s="619">
        <f t="shared" si="341"/>
        <v>8.2500000000000004E-3</v>
      </c>
      <c r="CR451" s="546">
        <v>60000000</v>
      </c>
      <c r="CS451" s="546">
        <v>60000000</v>
      </c>
      <c r="CT451" s="546">
        <v>0</v>
      </c>
      <c r="CU451" s="546">
        <v>0</v>
      </c>
      <c r="CV451" s="546">
        <v>0</v>
      </c>
      <c r="CW451" s="546">
        <v>0</v>
      </c>
      <c r="CX451" s="546">
        <v>0</v>
      </c>
      <c r="CY451" s="546">
        <v>0</v>
      </c>
      <c r="CZ451" s="618">
        <v>0</v>
      </c>
      <c r="DA451" s="618">
        <v>0</v>
      </c>
      <c r="DB451" s="618">
        <v>0</v>
      </c>
      <c r="DC451" s="618">
        <v>0</v>
      </c>
      <c r="DD451" s="618">
        <v>0</v>
      </c>
      <c r="DE451" s="618">
        <v>0</v>
      </c>
      <c r="DF451" s="618">
        <v>0</v>
      </c>
      <c r="DG451" s="618">
        <v>0</v>
      </c>
      <c r="DH451" s="618">
        <v>0</v>
      </c>
      <c r="DI451" s="618">
        <v>0</v>
      </c>
      <c r="DJ451" s="618">
        <v>0</v>
      </c>
      <c r="DK451" s="1034">
        <f t="shared" si="377"/>
        <v>0.95000000000000007</v>
      </c>
      <c r="DL451" s="543">
        <f t="shared" si="342"/>
        <v>0.16499999999999998</v>
      </c>
      <c r="DM451" s="542">
        <f t="shared" si="343"/>
        <v>95</v>
      </c>
      <c r="DN451" s="594">
        <f t="shared" si="344"/>
        <v>95</v>
      </c>
      <c r="DO451" s="540">
        <f t="shared" si="345"/>
        <v>0.15675</v>
      </c>
      <c r="DP451" s="597">
        <f t="shared" si="379"/>
        <v>0.15675</v>
      </c>
      <c r="DQ451" s="538">
        <f t="shared" si="346"/>
        <v>0.15675</v>
      </c>
      <c r="DR451" s="617">
        <f t="shared" si="347"/>
        <v>1</v>
      </c>
      <c r="DS451" s="616">
        <f t="shared" si="348"/>
        <v>0</v>
      </c>
      <c r="DT451" s="259">
        <v>613</v>
      </c>
      <c r="DU451" s="260" t="s">
        <v>254</v>
      </c>
      <c r="DV451" s="259"/>
      <c r="DW451" s="260" t="s">
        <v>242</v>
      </c>
      <c r="DX451" s="259"/>
      <c r="DY451" s="259"/>
      <c r="DZ451" s="259"/>
      <c r="EA451" s="987"/>
      <c r="EB451" s="1041" t="s">
        <v>2754</v>
      </c>
      <c r="EC451" s="802">
        <v>60000000</v>
      </c>
      <c r="EE451" s="1047"/>
    </row>
    <row r="452" spans="4:135" s="534" customFormat="1" ht="76.5" hidden="1" x14ac:dyDescent="0.3">
      <c r="D452" s="783">
        <v>449</v>
      </c>
      <c r="E452" s="799">
        <v>520</v>
      </c>
      <c r="F452" s="739" t="s">
        <v>203</v>
      </c>
      <c r="G452" s="739" t="s">
        <v>10</v>
      </c>
      <c r="H452" s="739" t="s">
        <v>156</v>
      </c>
      <c r="I452" s="676" t="s">
        <v>1234</v>
      </c>
      <c r="J452" s="573" t="s">
        <v>1239</v>
      </c>
      <c r="K452" s="573" t="s">
        <v>1240</v>
      </c>
      <c r="L452" s="596" t="s">
        <v>2049</v>
      </c>
      <c r="M452" s="571" t="s">
        <v>2017</v>
      </c>
      <c r="N452" s="575">
        <v>0</v>
      </c>
      <c r="O452" s="570">
        <f t="shared" si="378"/>
        <v>1</v>
      </c>
      <c r="P452" s="663">
        <v>1</v>
      </c>
      <c r="Q452" s="628">
        <v>0.16500000000000001</v>
      </c>
      <c r="R452" s="580">
        <f t="shared" si="326"/>
        <v>1.6500000000000001E-2</v>
      </c>
      <c r="S452" s="657">
        <v>0.1</v>
      </c>
      <c r="T452" s="575">
        <f t="shared" si="365"/>
        <v>0.1</v>
      </c>
      <c r="U452" s="996">
        <v>0.1</v>
      </c>
      <c r="V452" s="626">
        <f t="shared" si="366"/>
        <v>0.1</v>
      </c>
      <c r="W452" s="594">
        <f t="shared" si="367"/>
        <v>100</v>
      </c>
      <c r="X452" s="594">
        <f t="shared" si="327"/>
        <v>100</v>
      </c>
      <c r="Y452" s="594">
        <f t="shared" si="364"/>
        <v>1.6500000000000001E-2</v>
      </c>
      <c r="Z452" s="594">
        <f t="shared" si="328"/>
        <v>100</v>
      </c>
      <c r="AA452" s="653">
        <v>4586000000</v>
      </c>
      <c r="AB452" s="653">
        <v>3196000000</v>
      </c>
      <c r="AC452" s="653">
        <v>1390000000</v>
      </c>
      <c r="AD452" s="653">
        <v>0</v>
      </c>
      <c r="AE452" s="653">
        <v>0</v>
      </c>
      <c r="AF452" s="653">
        <v>0</v>
      </c>
      <c r="AG452" s="653">
        <v>0</v>
      </c>
      <c r="AH452" s="653">
        <v>0</v>
      </c>
      <c r="AI452" s="653">
        <v>35662747000</v>
      </c>
      <c r="AJ452" s="653">
        <v>10012404000</v>
      </c>
      <c r="AK452" s="653">
        <v>0</v>
      </c>
      <c r="AL452" s="653">
        <v>0</v>
      </c>
      <c r="AM452" s="653">
        <v>0</v>
      </c>
      <c r="AN452" s="653">
        <v>0</v>
      </c>
      <c r="AO452" s="653">
        <v>0</v>
      </c>
      <c r="AP452" s="653">
        <v>25650343000</v>
      </c>
      <c r="AQ452" s="653">
        <v>0</v>
      </c>
      <c r="AR452" s="653">
        <v>0</v>
      </c>
      <c r="AS452" s="653">
        <v>0</v>
      </c>
      <c r="AT452" s="570">
        <f t="shared" si="329"/>
        <v>4.9500000000000002E-2</v>
      </c>
      <c r="AU452" s="571">
        <v>0.3</v>
      </c>
      <c r="AV452" s="625">
        <f t="shared" si="368"/>
        <v>0.3</v>
      </c>
      <c r="AW452" s="1011">
        <v>0.13</v>
      </c>
      <c r="AX452" s="604">
        <f t="shared" si="369"/>
        <v>0.13</v>
      </c>
      <c r="AY452" s="604">
        <f t="shared" si="370"/>
        <v>43.333333333333336</v>
      </c>
      <c r="AZ452" s="604">
        <f t="shared" si="330"/>
        <v>43.333333333333336</v>
      </c>
      <c r="BA452" s="592">
        <f t="shared" si="331"/>
        <v>2.145E-2</v>
      </c>
      <c r="BB452" s="592">
        <f t="shared" si="332"/>
        <v>43.333333333333336</v>
      </c>
      <c r="BC452" s="591">
        <v>3271000000</v>
      </c>
      <c r="BD452" s="591">
        <v>897000000</v>
      </c>
      <c r="BE452" s="591">
        <v>2374000000</v>
      </c>
      <c r="BF452" s="591">
        <v>0</v>
      </c>
      <c r="BG452" s="591">
        <v>0</v>
      </c>
      <c r="BH452" s="591">
        <v>0</v>
      </c>
      <c r="BI452" s="591">
        <v>0</v>
      </c>
      <c r="BJ452" s="591">
        <v>0</v>
      </c>
      <c r="BK452" s="624">
        <v>5393360644</v>
      </c>
      <c r="BL452" s="589">
        <v>4242546731</v>
      </c>
      <c r="BM452" s="589">
        <v>1080813913</v>
      </c>
      <c r="BN452" s="589">
        <v>70000000</v>
      </c>
      <c r="BO452" s="589">
        <v>0</v>
      </c>
      <c r="BP452" s="589">
        <v>0</v>
      </c>
      <c r="BQ452" s="589">
        <v>0</v>
      </c>
      <c r="BR452" s="589">
        <v>0</v>
      </c>
      <c r="BS452" s="589">
        <v>0</v>
      </c>
      <c r="BT452" s="589">
        <v>0</v>
      </c>
      <c r="BU452" s="589">
        <v>0</v>
      </c>
      <c r="BV452" s="588">
        <f t="shared" si="333"/>
        <v>4.9500000000000002E-2</v>
      </c>
      <c r="BW452" s="588">
        <v>0.3</v>
      </c>
      <c r="BX452" s="623">
        <f t="shared" si="371"/>
        <v>0.3</v>
      </c>
      <c r="BY452" s="607">
        <v>0.30000001192092896</v>
      </c>
      <c r="BZ452" s="629">
        <v>0.30000001192092896</v>
      </c>
      <c r="CA452" s="1017">
        <v>0.30000001192092896</v>
      </c>
      <c r="CB452" s="557">
        <f t="shared" si="372"/>
        <v>0.30000001192092896</v>
      </c>
      <c r="CC452" s="557">
        <f t="shared" si="373"/>
        <v>100.00000397364299</v>
      </c>
      <c r="CD452" s="622">
        <f t="shared" si="334"/>
        <v>100</v>
      </c>
      <c r="CE452" s="621">
        <f t="shared" si="335"/>
        <v>4.9500000000000002E-2</v>
      </c>
      <c r="CF452" s="605">
        <f t="shared" si="336"/>
        <v>100</v>
      </c>
      <c r="CG452" s="621">
        <f t="shared" si="337"/>
        <v>4.9500001966953283E-2</v>
      </c>
      <c r="CH452" s="553">
        <f t="shared" si="338"/>
        <v>4.9500000000000002E-2</v>
      </c>
      <c r="CI452" s="552">
        <v>0.3</v>
      </c>
      <c r="CJ452" s="551">
        <f t="shared" si="374"/>
        <v>0.3</v>
      </c>
      <c r="CK452" s="874">
        <v>0.25</v>
      </c>
      <c r="CL452" s="533">
        <f t="shared" si="380"/>
        <v>4.9999999999999989E-2</v>
      </c>
      <c r="CM452" s="619">
        <f t="shared" si="375"/>
        <v>0.25</v>
      </c>
      <c r="CN452" s="619">
        <f t="shared" si="376"/>
        <v>83.333333333333343</v>
      </c>
      <c r="CO452" s="549">
        <f t="shared" si="339"/>
        <v>83.333333333333343</v>
      </c>
      <c r="CP452" s="619">
        <f t="shared" si="340"/>
        <v>4.1250000000000009E-2</v>
      </c>
      <c r="CQ452" s="619">
        <f t="shared" si="341"/>
        <v>4.1250000000000009E-2</v>
      </c>
      <c r="CR452" s="546">
        <v>6375000000</v>
      </c>
      <c r="CS452" s="546">
        <v>5478000000</v>
      </c>
      <c r="CT452" s="546">
        <v>897000000</v>
      </c>
      <c r="CU452" s="546">
        <v>0</v>
      </c>
      <c r="CV452" s="546">
        <v>0</v>
      </c>
      <c r="CW452" s="546">
        <v>0</v>
      </c>
      <c r="CX452" s="546">
        <v>0</v>
      </c>
      <c r="CY452" s="546">
        <v>0</v>
      </c>
      <c r="CZ452" s="618">
        <v>0</v>
      </c>
      <c r="DA452" s="618">
        <v>0</v>
      </c>
      <c r="DB452" s="618">
        <v>0</v>
      </c>
      <c r="DC452" s="618">
        <v>0</v>
      </c>
      <c r="DD452" s="618">
        <v>0</v>
      </c>
      <c r="DE452" s="618">
        <v>0</v>
      </c>
      <c r="DF452" s="618">
        <v>0</v>
      </c>
      <c r="DG452" s="618">
        <v>0</v>
      </c>
      <c r="DH452" s="618">
        <v>0</v>
      </c>
      <c r="DI452" s="618">
        <v>0</v>
      </c>
      <c r="DJ452" s="618">
        <v>0</v>
      </c>
      <c r="DK452" s="1034">
        <f t="shared" si="377"/>
        <v>0.78000001192092894</v>
      </c>
      <c r="DL452" s="543">
        <f t="shared" si="342"/>
        <v>0.16500000000000001</v>
      </c>
      <c r="DM452" s="542">
        <f t="shared" si="343"/>
        <v>78.000001192092896</v>
      </c>
      <c r="DN452" s="594">
        <f t="shared" si="344"/>
        <v>78.000001192092896</v>
      </c>
      <c r="DO452" s="540">
        <f t="shared" si="345"/>
        <v>0.12870000196695328</v>
      </c>
      <c r="DP452" s="597">
        <f t="shared" si="379"/>
        <v>0.12870000196695328</v>
      </c>
      <c r="DQ452" s="538">
        <f t="shared" si="346"/>
        <v>0.12870000196695328</v>
      </c>
      <c r="DR452" s="617">
        <f t="shared" si="347"/>
        <v>1</v>
      </c>
      <c r="DS452" s="616">
        <f t="shared" si="348"/>
        <v>0</v>
      </c>
      <c r="DT452" s="259">
        <v>612</v>
      </c>
      <c r="DU452" s="260" t="s">
        <v>255</v>
      </c>
      <c r="DV452" s="259"/>
      <c r="DW452" s="260" t="s">
        <v>242</v>
      </c>
      <c r="DX452" s="259"/>
      <c r="DY452" s="259"/>
      <c r="DZ452" s="259"/>
      <c r="EA452" s="987"/>
      <c r="EB452" s="1041" t="s">
        <v>2755</v>
      </c>
      <c r="EC452" s="802">
        <v>6375000000</v>
      </c>
      <c r="EE452" s="1047"/>
    </row>
    <row r="453" spans="4:135" s="534" customFormat="1" ht="76.5" hidden="1" x14ac:dyDescent="0.3">
      <c r="D453" s="783">
        <v>450</v>
      </c>
      <c r="E453" s="799">
        <v>521</v>
      </c>
      <c r="F453" s="574" t="s">
        <v>203</v>
      </c>
      <c r="G453" s="574" t="s">
        <v>8</v>
      </c>
      <c r="H453" s="574" t="s">
        <v>156</v>
      </c>
      <c r="I453" s="574" t="s">
        <v>1415</v>
      </c>
      <c r="J453" s="573" t="s">
        <v>257</v>
      </c>
      <c r="K453" s="573" t="s">
        <v>1496</v>
      </c>
      <c r="L453" s="596" t="s">
        <v>2076</v>
      </c>
      <c r="M453" s="571" t="s">
        <v>2017</v>
      </c>
      <c r="N453" s="571">
        <v>0</v>
      </c>
      <c r="O453" s="570">
        <f t="shared" si="378"/>
        <v>5</v>
      </c>
      <c r="P453" s="569">
        <v>5</v>
      </c>
      <c r="Q453" s="668">
        <v>0.22264</v>
      </c>
      <c r="R453" s="580">
        <f t="shared" ref="R453:R516" si="381">+Q453*T453</f>
        <v>4.4528000000000005E-2</v>
      </c>
      <c r="S453" s="627">
        <v>1</v>
      </c>
      <c r="T453" s="642">
        <f t="shared" si="365"/>
        <v>0.2</v>
      </c>
      <c r="U453" s="1000">
        <v>3</v>
      </c>
      <c r="V453" s="665">
        <f t="shared" si="366"/>
        <v>3</v>
      </c>
      <c r="W453" s="548">
        <f t="shared" si="367"/>
        <v>300</v>
      </c>
      <c r="X453" s="548">
        <f t="shared" ref="X453:X516" si="382">+IF(W453&lt;100,W453,100)</f>
        <v>100</v>
      </c>
      <c r="Y453" s="548">
        <f t="shared" si="364"/>
        <v>4.4528000000000005E-2</v>
      </c>
      <c r="Z453" s="548">
        <f t="shared" ref="Z453:Z516" si="383">+IF(U453&gt;S453,100,X453)</f>
        <v>100</v>
      </c>
      <c r="AA453" s="548">
        <v>0</v>
      </c>
      <c r="AB453" s="548">
        <v>0</v>
      </c>
      <c r="AC453" s="548">
        <v>0</v>
      </c>
      <c r="AD453" s="548">
        <v>0</v>
      </c>
      <c r="AE453" s="548">
        <v>0</v>
      </c>
      <c r="AF453" s="548">
        <v>0</v>
      </c>
      <c r="AG453" s="548">
        <v>0</v>
      </c>
      <c r="AH453" s="548">
        <v>0</v>
      </c>
      <c r="AI453" s="548">
        <v>0</v>
      </c>
      <c r="AJ453" s="548">
        <v>0</v>
      </c>
      <c r="AK453" s="548">
        <v>0</v>
      </c>
      <c r="AL453" s="548">
        <v>0</v>
      </c>
      <c r="AM453" s="548">
        <v>0</v>
      </c>
      <c r="AN453" s="548">
        <v>0</v>
      </c>
      <c r="AO453" s="548">
        <v>0</v>
      </c>
      <c r="AP453" s="548">
        <v>0</v>
      </c>
      <c r="AQ453" s="548">
        <v>0</v>
      </c>
      <c r="AR453" s="548">
        <v>0</v>
      </c>
      <c r="AS453" s="548">
        <v>0</v>
      </c>
      <c r="AT453" s="630">
        <f t="shared" ref="AT453:AT516" si="384">+Q453*AV453</f>
        <v>4.4528000000000005E-2</v>
      </c>
      <c r="AU453" s="578">
        <v>1</v>
      </c>
      <c r="AV453" s="625">
        <f t="shared" si="368"/>
        <v>0.2</v>
      </c>
      <c r="AW453" s="1005">
        <v>1</v>
      </c>
      <c r="AX453" s="667">
        <f t="shared" si="369"/>
        <v>1</v>
      </c>
      <c r="AY453" s="667">
        <f t="shared" si="370"/>
        <v>100</v>
      </c>
      <c r="AZ453" s="667">
        <f t="shared" ref="AZ453:AZ516" si="385">+IF(AY453&lt;100,AY453,100)</f>
        <v>100</v>
      </c>
      <c r="BA453" s="561">
        <f t="shared" ref="BA453:BA516" si="386">+(AZ453*AT453)/100</f>
        <v>4.4528000000000005E-2</v>
      </c>
      <c r="BB453" s="561">
        <f t="shared" ref="BB453:BB516" si="387">+IF(AW453&gt;AU453,100,AZ453)</f>
        <v>100</v>
      </c>
      <c r="BC453" s="561">
        <f>SUBTOTAL(9,BD453:BJ453)</f>
        <v>0</v>
      </c>
      <c r="BD453" s="561">
        <v>11000000</v>
      </c>
      <c r="BE453" s="561">
        <v>0</v>
      </c>
      <c r="BF453" s="561">
        <v>0</v>
      </c>
      <c r="BG453" s="561">
        <v>0</v>
      </c>
      <c r="BH453" s="561">
        <v>0</v>
      </c>
      <c r="BI453" s="561">
        <v>0</v>
      </c>
      <c r="BJ453" s="561">
        <v>0</v>
      </c>
      <c r="BK453" s="666">
        <v>0</v>
      </c>
      <c r="BL453" s="561">
        <v>0</v>
      </c>
      <c r="BM453" s="561">
        <v>0</v>
      </c>
      <c r="BN453" s="561">
        <v>0</v>
      </c>
      <c r="BO453" s="561">
        <v>0</v>
      </c>
      <c r="BP453" s="561">
        <v>0</v>
      </c>
      <c r="BQ453" s="561">
        <v>0</v>
      </c>
      <c r="BR453" s="561">
        <v>0</v>
      </c>
      <c r="BS453" s="561">
        <v>0</v>
      </c>
      <c r="BT453" s="561">
        <v>0</v>
      </c>
      <c r="BU453" s="561">
        <v>0</v>
      </c>
      <c r="BV453" s="588">
        <f t="shared" ref="BV453:BV516" si="388">+Q453*BX453</f>
        <v>4.4528000000000005E-2</v>
      </c>
      <c r="BW453" s="561">
        <v>1</v>
      </c>
      <c r="BX453" s="623">
        <f t="shared" si="371"/>
        <v>0.2</v>
      </c>
      <c r="BY453" s="561">
        <v>0</v>
      </c>
      <c r="BZ453" s="666">
        <v>1</v>
      </c>
      <c r="CA453" s="1029">
        <v>1</v>
      </c>
      <c r="CB453" s="557">
        <f t="shared" si="372"/>
        <v>1</v>
      </c>
      <c r="CC453" s="557">
        <f t="shared" si="373"/>
        <v>100</v>
      </c>
      <c r="CD453" s="622">
        <f t="shared" ref="CD453:CD516" si="389">+IF(CC453&lt;100,CC453,100)</f>
        <v>100</v>
      </c>
      <c r="CE453" s="621">
        <f t="shared" ref="CE453:CE516" si="390">+(CD453*BV453)/100</f>
        <v>4.4528000000000005E-2</v>
      </c>
      <c r="CF453" s="605">
        <f t="shared" ref="CF453:CF516" si="391">+IF(BZ453&gt;BW453,100,CD453)</f>
        <v>100</v>
      </c>
      <c r="CG453" s="621">
        <f t="shared" ref="CG453:CG516" si="392">(CC453*BV453)/100</f>
        <v>4.4528000000000005E-2</v>
      </c>
      <c r="CH453" s="553">
        <f t="shared" ref="CH453:CH516" si="393">+Q453*CJ453</f>
        <v>8.905600000000001E-2</v>
      </c>
      <c r="CI453" s="552">
        <v>2</v>
      </c>
      <c r="CJ453" s="551">
        <f t="shared" si="374"/>
        <v>0.4</v>
      </c>
      <c r="CK453" s="874">
        <v>0</v>
      </c>
      <c r="CL453" s="533">
        <f t="shared" si="380"/>
        <v>2</v>
      </c>
      <c r="CM453" s="619">
        <f t="shared" si="375"/>
        <v>0</v>
      </c>
      <c r="CN453" s="619">
        <f t="shared" si="376"/>
        <v>0</v>
      </c>
      <c r="CO453" s="549">
        <f t="shared" ref="CO453:CO516" si="394">+IF(CN453&lt;100,CN453,100)</f>
        <v>0</v>
      </c>
      <c r="CP453" s="619">
        <f t="shared" ref="CP453:CP516" si="395">+(CO453*CH453)/100</f>
        <v>0</v>
      </c>
      <c r="CQ453" s="619">
        <f t="shared" ref="CQ453:CQ516" si="396">+(CN453*CH453)/100</f>
        <v>0</v>
      </c>
      <c r="CR453" s="548">
        <v>4750000000</v>
      </c>
      <c r="CS453" s="548">
        <v>1350000000</v>
      </c>
      <c r="CT453" s="548">
        <v>0</v>
      </c>
      <c r="CU453" s="548">
        <v>0</v>
      </c>
      <c r="CV453" s="548">
        <v>0</v>
      </c>
      <c r="CW453" s="548">
        <v>0</v>
      </c>
      <c r="CX453" s="548">
        <v>0</v>
      </c>
      <c r="CY453" s="548">
        <v>3400000000</v>
      </c>
      <c r="CZ453" s="665">
        <v>2046</v>
      </c>
      <c r="DA453" s="665">
        <v>0.22803000000000001</v>
      </c>
      <c r="DB453" s="665">
        <v>68.2</v>
      </c>
      <c r="DC453" s="665">
        <v>68.2</v>
      </c>
      <c r="DD453" s="665">
        <v>0.22505999999999998</v>
      </c>
      <c r="DE453" s="665">
        <v>0</v>
      </c>
      <c r="DF453" s="665">
        <v>0</v>
      </c>
      <c r="DG453" s="665">
        <v>0</v>
      </c>
      <c r="DH453" s="665">
        <v>0</v>
      </c>
      <c r="DI453" s="665">
        <v>0</v>
      </c>
      <c r="DJ453" s="665">
        <v>0</v>
      </c>
      <c r="DK453" s="1034">
        <f t="shared" si="377"/>
        <v>5</v>
      </c>
      <c r="DL453" s="543">
        <f t="shared" ref="DL453:DL516" si="397">+R453+AT453+BV453+CH453</f>
        <v>0.22264</v>
      </c>
      <c r="DM453" s="542">
        <f t="shared" ref="DM453:DM516" si="398">+DK453*100/P453</f>
        <v>100</v>
      </c>
      <c r="DN453" s="594">
        <f t="shared" ref="DN453:DN516" si="399">+IF(DM453&lt;100,DM453,100)</f>
        <v>100</v>
      </c>
      <c r="DO453" s="540">
        <f t="shared" ref="DO453:DO516" si="400">+(DN453*Q453)/100</f>
        <v>0.22264</v>
      </c>
      <c r="DP453" s="597">
        <f t="shared" si="379"/>
        <v>0.22264</v>
      </c>
      <c r="DQ453" s="538">
        <f t="shared" ref="DQ453:DQ516" si="401">+IF(DL453&lt;DP453,DL453,DP453)</f>
        <v>0.22264</v>
      </c>
      <c r="DR453" s="617">
        <f t="shared" ref="DR453:DR516" si="402">+T453+AV453+BX453+CJ453</f>
        <v>1</v>
      </c>
      <c r="DS453" s="616">
        <f t="shared" ref="DS453:DS516" si="403">+Q453-R453-AT453-BV453-CH453</f>
        <v>0</v>
      </c>
      <c r="DT453"/>
      <c r="DU453"/>
      <c r="DV453"/>
      <c r="DW453"/>
      <c r="DX453"/>
      <c r="DY453"/>
      <c r="DZ453"/>
      <c r="EA453"/>
      <c r="EB453" s="1042"/>
      <c r="EC453" s="831">
        <v>0</v>
      </c>
      <c r="EE453" s="1047"/>
    </row>
    <row r="454" spans="4:135" s="534" customFormat="1" ht="51" hidden="1" x14ac:dyDescent="0.3">
      <c r="D454" s="783">
        <v>451</v>
      </c>
      <c r="E454" s="799">
        <v>522</v>
      </c>
      <c r="F454" s="574" t="s">
        <v>203</v>
      </c>
      <c r="G454" s="574" t="s">
        <v>26</v>
      </c>
      <c r="H454" s="574" t="s">
        <v>156</v>
      </c>
      <c r="I454" s="574" t="s">
        <v>1234</v>
      </c>
      <c r="J454" s="573" t="s">
        <v>1470</v>
      </c>
      <c r="K454" s="573" t="s">
        <v>1241</v>
      </c>
      <c r="L454" s="596" t="s">
        <v>2040</v>
      </c>
      <c r="M454" s="571" t="s">
        <v>2017</v>
      </c>
      <c r="N454" s="575">
        <v>0</v>
      </c>
      <c r="O454" s="570">
        <f t="shared" si="378"/>
        <v>35</v>
      </c>
      <c r="P454" s="663">
        <v>35</v>
      </c>
      <c r="Q454" s="631">
        <v>0.16500000000000001</v>
      </c>
      <c r="R454" s="580">
        <f t="shared" si="381"/>
        <v>4.7142857142857139E-2</v>
      </c>
      <c r="S454" s="657">
        <v>10</v>
      </c>
      <c r="T454" s="664">
        <f t="shared" si="365"/>
        <v>0.2857142857142857</v>
      </c>
      <c r="U454" s="996">
        <v>37</v>
      </c>
      <c r="V454" s="626">
        <f t="shared" si="366"/>
        <v>37</v>
      </c>
      <c r="W454" s="594">
        <f t="shared" si="367"/>
        <v>370</v>
      </c>
      <c r="X454" s="594">
        <f t="shared" si="382"/>
        <v>100</v>
      </c>
      <c r="Y454" s="594">
        <f t="shared" si="364"/>
        <v>4.7142857142857132E-2</v>
      </c>
      <c r="Z454" s="594">
        <f t="shared" si="383"/>
        <v>100</v>
      </c>
      <c r="AA454" s="653">
        <v>0</v>
      </c>
      <c r="AB454" s="653">
        <v>0</v>
      </c>
      <c r="AC454" s="653">
        <v>0</v>
      </c>
      <c r="AD454" s="653">
        <v>0</v>
      </c>
      <c r="AE454" s="653">
        <v>0</v>
      </c>
      <c r="AF454" s="653">
        <v>0</v>
      </c>
      <c r="AG454" s="653">
        <v>0</v>
      </c>
      <c r="AH454" s="653">
        <v>0</v>
      </c>
      <c r="AI454" s="653">
        <v>0</v>
      </c>
      <c r="AJ454" s="653">
        <v>0</v>
      </c>
      <c r="AK454" s="653">
        <v>0</v>
      </c>
      <c r="AL454" s="653">
        <v>0</v>
      </c>
      <c r="AM454" s="653">
        <v>0</v>
      </c>
      <c r="AN454" s="653">
        <v>0</v>
      </c>
      <c r="AO454" s="653">
        <v>0</v>
      </c>
      <c r="AP454" s="653">
        <v>0</v>
      </c>
      <c r="AQ454" s="653">
        <v>0</v>
      </c>
      <c r="AR454" s="653">
        <v>0</v>
      </c>
      <c r="AS454" s="653">
        <v>0</v>
      </c>
      <c r="AT454" s="630">
        <f t="shared" si="384"/>
        <v>4.7142857142857139E-2</v>
      </c>
      <c r="AU454" s="571">
        <v>10</v>
      </c>
      <c r="AV454" s="625">
        <f t="shared" si="368"/>
        <v>0.2857142857142857</v>
      </c>
      <c r="AW454" s="1014">
        <v>47</v>
      </c>
      <c r="AX454" s="604">
        <f t="shared" si="369"/>
        <v>47</v>
      </c>
      <c r="AY454" s="604">
        <f t="shared" si="370"/>
        <v>470</v>
      </c>
      <c r="AZ454" s="604">
        <f t="shared" si="385"/>
        <v>100</v>
      </c>
      <c r="BA454" s="592">
        <f t="shared" si="386"/>
        <v>4.7142857142857132E-2</v>
      </c>
      <c r="BB454" s="592">
        <f t="shared" si="387"/>
        <v>100</v>
      </c>
      <c r="BC454" s="591">
        <v>0</v>
      </c>
      <c r="BD454" s="591">
        <v>0</v>
      </c>
      <c r="BE454" s="591">
        <v>0</v>
      </c>
      <c r="BF454" s="591">
        <v>0</v>
      </c>
      <c r="BG454" s="591">
        <v>0</v>
      </c>
      <c r="BH454" s="591">
        <v>0</v>
      </c>
      <c r="BI454" s="591">
        <v>0</v>
      </c>
      <c r="BJ454" s="591">
        <v>0</v>
      </c>
      <c r="BK454" s="624">
        <v>91800000</v>
      </c>
      <c r="BL454" s="589">
        <v>0</v>
      </c>
      <c r="BM454" s="589">
        <v>0</v>
      </c>
      <c r="BN454" s="589">
        <v>0</v>
      </c>
      <c r="BO454" s="589">
        <v>0</v>
      </c>
      <c r="BP454" s="589">
        <v>91800000</v>
      </c>
      <c r="BQ454" s="589">
        <v>0</v>
      </c>
      <c r="BR454" s="589">
        <v>0</v>
      </c>
      <c r="BS454" s="589">
        <v>0</v>
      </c>
      <c r="BT454" s="589">
        <v>0</v>
      </c>
      <c r="BU454" s="589">
        <v>0</v>
      </c>
      <c r="BV454" s="588">
        <f t="shared" si="388"/>
        <v>4.7142857142857139E-2</v>
      </c>
      <c r="BW454" s="588">
        <v>10</v>
      </c>
      <c r="BX454" s="623">
        <f t="shared" si="371"/>
        <v>0.2857142857142857</v>
      </c>
      <c r="BY454" s="640">
        <v>24</v>
      </c>
      <c r="BZ454" s="656">
        <v>40</v>
      </c>
      <c r="CA454" s="1019">
        <v>50</v>
      </c>
      <c r="CB454" s="557">
        <f t="shared" si="372"/>
        <v>50</v>
      </c>
      <c r="CC454" s="557">
        <f t="shared" si="373"/>
        <v>500</v>
      </c>
      <c r="CD454" s="622">
        <f t="shared" si="389"/>
        <v>100</v>
      </c>
      <c r="CE454" s="621">
        <f t="shared" si="390"/>
        <v>4.7142857142857132E-2</v>
      </c>
      <c r="CF454" s="605">
        <f t="shared" si="391"/>
        <v>100</v>
      </c>
      <c r="CG454" s="621">
        <f t="shared" si="392"/>
        <v>0.23571428571428568</v>
      </c>
      <c r="CH454" s="553">
        <f t="shared" si="393"/>
        <v>2.357142857142857E-2</v>
      </c>
      <c r="CI454" s="552">
        <v>5</v>
      </c>
      <c r="CJ454" s="551">
        <f t="shared" si="374"/>
        <v>0.14285714285714285</v>
      </c>
      <c r="CK454" s="874">
        <v>25</v>
      </c>
      <c r="CL454" s="533">
        <f t="shared" si="380"/>
        <v>-20</v>
      </c>
      <c r="CM454" s="619">
        <f t="shared" si="375"/>
        <v>25</v>
      </c>
      <c r="CN454" s="619">
        <f t="shared" si="376"/>
        <v>500</v>
      </c>
      <c r="CO454" s="549">
        <f t="shared" si="394"/>
        <v>100</v>
      </c>
      <c r="CP454" s="619">
        <f t="shared" si="395"/>
        <v>2.3571428571428566E-2</v>
      </c>
      <c r="CQ454" s="619">
        <f t="shared" si="396"/>
        <v>0.11785714285714284</v>
      </c>
      <c r="CR454" s="546">
        <v>0</v>
      </c>
      <c r="CS454" s="546">
        <v>0</v>
      </c>
      <c r="CT454" s="546">
        <v>0</v>
      </c>
      <c r="CU454" s="546">
        <v>0</v>
      </c>
      <c r="CV454" s="546">
        <v>0</v>
      </c>
      <c r="CW454" s="546">
        <v>0</v>
      </c>
      <c r="CX454" s="546">
        <v>0</v>
      </c>
      <c r="CY454" s="546">
        <v>0</v>
      </c>
      <c r="CZ454" s="618">
        <v>0</v>
      </c>
      <c r="DA454" s="618">
        <v>0</v>
      </c>
      <c r="DB454" s="618">
        <v>0</v>
      </c>
      <c r="DC454" s="618">
        <v>0</v>
      </c>
      <c r="DD454" s="618">
        <v>0</v>
      </c>
      <c r="DE454" s="618">
        <v>0</v>
      </c>
      <c r="DF454" s="618">
        <v>0</v>
      </c>
      <c r="DG454" s="618">
        <v>0</v>
      </c>
      <c r="DH454" s="618">
        <v>0</v>
      </c>
      <c r="DI454" s="618">
        <v>0</v>
      </c>
      <c r="DJ454" s="618">
        <v>0</v>
      </c>
      <c r="DK454" s="1034">
        <f t="shared" si="377"/>
        <v>159</v>
      </c>
      <c r="DL454" s="543">
        <f t="shared" si="397"/>
        <v>0.16499999999999998</v>
      </c>
      <c r="DM454" s="542">
        <f t="shared" si="398"/>
        <v>454.28571428571428</v>
      </c>
      <c r="DN454" s="594">
        <f t="shared" si="399"/>
        <v>100</v>
      </c>
      <c r="DO454" s="540">
        <f t="shared" si="400"/>
        <v>0.16500000000000001</v>
      </c>
      <c r="DP454" s="597">
        <f t="shared" si="379"/>
        <v>0.16500000000000001</v>
      </c>
      <c r="DQ454" s="538">
        <f t="shared" si="401"/>
        <v>0.16500000000000001</v>
      </c>
      <c r="DR454" s="617">
        <f t="shared" si="402"/>
        <v>1</v>
      </c>
      <c r="DS454" s="616">
        <f t="shared" si="403"/>
        <v>0</v>
      </c>
      <c r="DT454" s="259">
        <v>613</v>
      </c>
      <c r="DU454" s="260" t="s">
        <v>254</v>
      </c>
      <c r="DV454" s="259"/>
      <c r="DW454" s="260" t="s">
        <v>242</v>
      </c>
      <c r="DX454" s="259"/>
      <c r="DY454" s="259"/>
      <c r="DZ454" s="259"/>
      <c r="EA454" s="987"/>
      <c r="EB454" s="1041" t="s">
        <v>2756</v>
      </c>
      <c r="EC454" s="802">
        <v>0</v>
      </c>
      <c r="EE454" s="1047"/>
    </row>
    <row r="455" spans="4:135" s="534" customFormat="1" ht="51" hidden="1" x14ac:dyDescent="0.3">
      <c r="D455" s="783">
        <v>452</v>
      </c>
      <c r="E455" s="799">
        <v>523</v>
      </c>
      <c r="F455" s="739" t="s">
        <v>203</v>
      </c>
      <c r="G455" s="739" t="s">
        <v>10</v>
      </c>
      <c r="H455" s="739" t="s">
        <v>156</v>
      </c>
      <c r="I455" s="676" t="s">
        <v>1234</v>
      </c>
      <c r="J455" s="573" t="s">
        <v>1242</v>
      </c>
      <c r="K455" s="573" t="s">
        <v>1243</v>
      </c>
      <c r="L455" s="647" t="s">
        <v>2075</v>
      </c>
      <c r="M455" s="571" t="s">
        <v>2017</v>
      </c>
      <c r="N455" s="575">
        <v>0</v>
      </c>
      <c r="O455" s="570">
        <f t="shared" si="378"/>
        <v>3</v>
      </c>
      <c r="P455" s="663">
        <v>3</v>
      </c>
      <c r="Q455" s="628">
        <v>0.16500000000000001</v>
      </c>
      <c r="R455" s="580">
        <f t="shared" si="381"/>
        <v>0</v>
      </c>
      <c r="S455" s="657">
        <v>0</v>
      </c>
      <c r="T455" s="575">
        <f t="shared" si="365"/>
        <v>0</v>
      </c>
      <c r="U455" s="996">
        <v>4</v>
      </c>
      <c r="V455" s="626">
        <f t="shared" si="366"/>
        <v>4</v>
      </c>
      <c r="W455" s="594">
        <f t="shared" si="367"/>
        <v>0</v>
      </c>
      <c r="X455" s="594">
        <f t="shared" si="382"/>
        <v>0</v>
      </c>
      <c r="Y455" s="594">
        <f t="shared" si="364"/>
        <v>0</v>
      </c>
      <c r="Z455" s="594">
        <f t="shared" si="383"/>
        <v>100</v>
      </c>
      <c r="AA455" s="653">
        <v>5000000000</v>
      </c>
      <c r="AB455" s="653">
        <v>5000000000</v>
      </c>
      <c r="AC455" s="653">
        <v>0</v>
      </c>
      <c r="AD455" s="653">
        <v>0</v>
      </c>
      <c r="AE455" s="653">
        <v>0</v>
      </c>
      <c r="AF455" s="653">
        <v>0</v>
      </c>
      <c r="AG455" s="653">
        <v>0</v>
      </c>
      <c r="AH455" s="653">
        <v>0</v>
      </c>
      <c r="AI455" s="653">
        <v>27890260000</v>
      </c>
      <c r="AJ455" s="653">
        <v>27890260000</v>
      </c>
      <c r="AK455" s="653">
        <v>0</v>
      </c>
      <c r="AL455" s="653">
        <v>0</v>
      </c>
      <c r="AM455" s="653">
        <v>0</v>
      </c>
      <c r="AN455" s="653">
        <v>0</v>
      </c>
      <c r="AO455" s="653">
        <v>0</v>
      </c>
      <c r="AP455" s="653">
        <v>0</v>
      </c>
      <c r="AQ455" s="653">
        <v>0</v>
      </c>
      <c r="AR455" s="653">
        <v>0</v>
      </c>
      <c r="AS455" s="653">
        <v>0</v>
      </c>
      <c r="AT455" s="570">
        <f t="shared" si="384"/>
        <v>5.5E-2</v>
      </c>
      <c r="AU455" s="571">
        <v>1</v>
      </c>
      <c r="AV455" s="625">
        <f t="shared" si="368"/>
        <v>0.33333333333333331</v>
      </c>
      <c r="AW455" s="1003">
        <v>3</v>
      </c>
      <c r="AX455" s="604">
        <f t="shared" si="369"/>
        <v>3</v>
      </c>
      <c r="AY455" s="604">
        <f t="shared" si="370"/>
        <v>300</v>
      </c>
      <c r="AZ455" s="604">
        <f t="shared" si="385"/>
        <v>100</v>
      </c>
      <c r="BA455" s="592">
        <f t="shared" si="386"/>
        <v>5.5E-2</v>
      </c>
      <c r="BB455" s="592">
        <f t="shared" si="387"/>
        <v>100</v>
      </c>
      <c r="BC455" s="591">
        <v>4036000000</v>
      </c>
      <c r="BD455" s="591">
        <v>0</v>
      </c>
      <c r="BE455" s="591">
        <v>4036000000</v>
      </c>
      <c r="BF455" s="591">
        <v>0</v>
      </c>
      <c r="BG455" s="591">
        <v>0</v>
      </c>
      <c r="BH455" s="591">
        <v>0</v>
      </c>
      <c r="BI455" s="591">
        <v>0</v>
      </c>
      <c r="BJ455" s="591">
        <v>0</v>
      </c>
      <c r="BK455" s="624">
        <v>5000000000</v>
      </c>
      <c r="BL455" s="589">
        <v>5000000000</v>
      </c>
      <c r="BM455" s="589">
        <v>0</v>
      </c>
      <c r="BN455" s="589">
        <v>0</v>
      </c>
      <c r="BO455" s="589">
        <v>0</v>
      </c>
      <c r="BP455" s="589">
        <v>0</v>
      </c>
      <c r="BQ455" s="589">
        <v>0</v>
      </c>
      <c r="BR455" s="589">
        <v>0</v>
      </c>
      <c r="BS455" s="589">
        <v>0</v>
      </c>
      <c r="BT455" s="589">
        <v>0</v>
      </c>
      <c r="BU455" s="589">
        <v>0</v>
      </c>
      <c r="BV455" s="588">
        <f t="shared" si="388"/>
        <v>5.5E-2</v>
      </c>
      <c r="BW455" s="588">
        <v>1</v>
      </c>
      <c r="BX455" s="623">
        <f t="shared" si="371"/>
        <v>0.33333333333333331</v>
      </c>
      <c r="BY455" s="633">
        <v>1</v>
      </c>
      <c r="BZ455" s="641">
        <v>0</v>
      </c>
      <c r="CA455" s="1019">
        <v>1</v>
      </c>
      <c r="CB455" s="557">
        <f t="shared" si="372"/>
        <v>1</v>
      </c>
      <c r="CC455" s="557">
        <f t="shared" si="373"/>
        <v>100</v>
      </c>
      <c r="CD455" s="622">
        <f t="shared" si="389"/>
        <v>100</v>
      </c>
      <c r="CE455" s="621">
        <f t="shared" si="390"/>
        <v>5.5E-2</v>
      </c>
      <c r="CF455" s="605">
        <f t="shared" si="391"/>
        <v>100</v>
      </c>
      <c r="CG455" s="621">
        <f t="shared" si="392"/>
        <v>5.5E-2</v>
      </c>
      <c r="CH455" s="553">
        <f t="shared" si="393"/>
        <v>5.5E-2</v>
      </c>
      <c r="CI455" s="552">
        <v>1</v>
      </c>
      <c r="CJ455" s="551">
        <f t="shared" si="374"/>
        <v>0.33333333333333331</v>
      </c>
      <c r="CK455" s="875">
        <v>1</v>
      </c>
      <c r="CL455" s="533">
        <f t="shared" si="380"/>
        <v>0</v>
      </c>
      <c r="CM455" s="619">
        <f t="shared" si="375"/>
        <v>1</v>
      </c>
      <c r="CN455" s="619">
        <f t="shared" si="376"/>
        <v>100</v>
      </c>
      <c r="CO455" s="549">
        <f t="shared" si="394"/>
        <v>100</v>
      </c>
      <c r="CP455" s="619">
        <f t="shared" si="395"/>
        <v>5.5E-2</v>
      </c>
      <c r="CQ455" s="619">
        <f t="shared" si="396"/>
        <v>5.5E-2</v>
      </c>
      <c r="CR455" s="546">
        <v>45000000000</v>
      </c>
      <c r="CS455" s="546">
        <v>45000000</v>
      </c>
      <c r="CT455" s="546">
        <v>0</v>
      </c>
      <c r="CU455" s="546">
        <v>0</v>
      </c>
      <c r="CV455" s="546">
        <v>0</v>
      </c>
      <c r="CW455" s="546">
        <v>0</v>
      </c>
      <c r="CX455" s="546">
        <v>0</v>
      </c>
      <c r="CY455" s="546">
        <v>0</v>
      </c>
      <c r="CZ455" s="618">
        <v>0</v>
      </c>
      <c r="DA455" s="618">
        <v>0</v>
      </c>
      <c r="DB455" s="618">
        <v>0</v>
      </c>
      <c r="DC455" s="618">
        <v>0</v>
      </c>
      <c r="DD455" s="618">
        <v>0</v>
      </c>
      <c r="DE455" s="618">
        <v>0</v>
      </c>
      <c r="DF455" s="618">
        <v>0</v>
      </c>
      <c r="DG455" s="618">
        <v>0</v>
      </c>
      <c r="DH455" s="618">
        <v>0</v>
      </c>
      <c r="DI455" s="618">
        <v>0</v>
      </c>
      <c r="DJ455" s="618">
        <v>0</v>
      </c>
      <c r="DK455" s="1034">
        <f t="shared" si="377"/>
        <v>9</v>
      </c>
      <c r="DL455" s="543">
        <f t="shared" si="397"/>
        <v>0.16500000000000001</v>
      </c>
      <c r="DM455" s="542">
        <f t="shared" si="398"/>
        <v>300</v>
      </c>
      <c r="DN455" s="594">
        <f t="shared" si="399"/>
        <v>100</v>
      </c>
      <c r="DO455" s="540">
        <f t="shared" si="400"/>
        <v>0.16500000000000001</v>
      </c>
      <c r="DP455" s="597">
        <f t="shared" si="379"/>
        <v>0.16500000000000001</v>
      </c>
      <c r="DQ455" s="538">
        <f t="shared" si="401"/>
        <v>0.16500000000000001</v>
      </c>
      <c r="DR455" s="617">
        <f t="shared" si="402"/>
        <v>1</v>
      </c>
      <c r="DS455" s="616">
        <f t="shared" si="403"/>
        <v>0</v>
      </c>
      <c r="DT455" s="259">
        <v>612</v>
      </c>
      <c r="DU455" s="260" t="s">
        <v>255</v>
      </c>
      <c r="DV455" s="259"/>
      <c r="DW455" s="260" t="s">
        <v>242</v>
      </c>
      <c r="DX455" s="259"/>
      <c r="DY455" s="259"/>
      <c r="DZ455" s="259"/>
      <c r="EA455" s="987"/>
      <c r="EB455" s="1041" t="s">
        <v>242</v>
      </c>
      <c r="EC455" s="802">
        <v>45000000000</v>
      </c>
      <c r="EE455" s="1047"/>
    </row>
    <row r="456" spans="4:135" s="534" customFormat="1" ht="127.5" hidden="1" x14ac:dyDescent="0.3">
      <c r="D456" s="783">
        <v>453</v>
      </c>
      <c r="E456" s="799">
        <v>524</v>
      </c>
      <c r="F456" s="739" t="s">
        <v>203</v>
      </c>
      <c r="G456" s="739" t="s">
        <v>27</v>
      </c>
      <c r="H456" s="739" t="s">
        <v>156</v>
      </c>
      <c r="I456" s="676" t="s">
        <v>1234</v>
      </c>
      <c r="J456" s="573" t="s">
        <v>1244</v>
      </c>
      <c r="K456" s="573" t="s">
        <v>1245</v>
      </c>
      <c r="L456" s="647" t="s">
        <v>2030</v>
      </c>
      <c r="M456" s="571" t="s">
        <v>2017</v>
      </c>
      <c r="N456" s="571">
        <v>0</v>
      </c>
      <c r="O456" s="570">
        <f t="shared" si="378"/>
        <v>1</v>
      </c>
      <c r="P456" s="569">
        <v>1</v>
      </c>
      <c r="Q456" s="628">
        <v>8.8999999999999996E-2</v>
      </c>
      <c r="R456" s="580">
        <f t="shared" si="381"/>
        <v>0</v>
      </c>
      <c r="S456" s="627">
        <v>0</v>
      </c>
      <c r="T456" s="575">
        <f t="shared" si="365"/>
        <v>0</v>
      </c>
      <c r="U456" s="992">
        <v>0</v>
      </c>
      <c r="V456" s="626">
        <f t="shared" si="366"/>
        <v>0</v>
      </c>
      <c r="W456" s="594">
        <f t="shared" si="367"/>
        <v>0</v>
      </c>
      <c r="X456" s="594">
        <f t="shared" si="382"/>
        <v>0</v>
      </c>
      <c r="Y456" s="594">
        <f t="shared" si="364"/>
        <v>0</v>
      </c>
      <c r="Z456" s="594">
        <f t="shared" si="383"/>
        <v>0</v>
      </c>
      <c r="AA456" s="593">
        <v>0</v>
      </c>
      <c r="AB456" s="593">
        <v>0</v>
      </c>
      <c r="AC456" s="593">
        <v>0</v>
      </c>
      <c r="AD456" s="593">
        <v>0</v>
      </c>
      <c r="AE456" s="593">
        <v>0</v>
      </c>
      <c r="AF456" s="593">
        <v>0</v>
      </c>
      <c r="AG456" s="593">
        <v>0</v>
      </c>
      <c r="AH456" s="593">
        <v>0</v>
      </c>
      <c r="AI456" s="593">
        <v>0</v>
      </c>
      <c r="AJ456" s="593">
        <v>0</v>
      </c>
      <c r="AK456" s="593">
        <v>0</v>
      </c>
      <c r="AL456" s="593">
        <v>0</v>
      </c>
      <c r="AM456" s="593">
        <v>0</v>
      </c>
      <c r="AN456" s="593">
        <v>0</v>
      </c>
      <c r="AO456" s="593">
        <v>0</v>
      </c>
      <c r="AP456" s="593">
        <v>0</v>
      </c>
      <c r="AQ456" s="593">
        <v>0</v>
      </c>
      <c r="AR456" s="593">
        <v>0</v>
      </c>
      <c r="AS456" s="593">
        <v>0</v>
      </c>
      <c r="AT456" s="570">
        <f t="shared" si="384"/>
        <v>4.895E-2</v>
      </c>
      <c r="AU456" s="571">
        <v>0.55000000000000004</v>
      </c>
      <c r="AV456" s="625">
        <f t="shared" si="368"/>
        <v>0.55000000000000004</v>
      </c>
      <c r="AW456" s="1003">
        <v>0.67</v>
      </c>
      <c r="AX456" s="604">
        <f t="shared" si="369"/>
        <v>0.67</v>
      </c>
      <c r="AY456" s="604">
        <f t="shared" si="370"/>
        <v>121.81818181818181</v>
      </c>
      <c r="AZ456" s="604">
        <f t="shared" si="385"/>
        <v>100</v>
      </c>
      <c r="BA456" s="592">
        <f t="shared" si="386"/>
        <v>4.8950000000000007E-2</v>
      </c>
      <c r="BB456" s="592">
        <f t="shared" si="387"/>
        <v>100</v>
      </c>
      <c r="BC456" s="591">
        <v>109000000</v>
      </c>
      <c r="BD456" s="591">
        <v>0</v>
      </c>
      <c r="BE456" s="591">
        <v>109000000</v>
      </c>
      <c r="BF456" s="591">
        <v>0</v>
      </c>
      <c r="BG456" s="591">
        <v>0</v>
      </c>
      <c r="BH456" s="591">
        <v>0</v>
      </c>
      <c r="BI456" s="591">
        <v>0</v>
      </c>
      <c r="BJ456" s="591">
        <v>0</v>
      </c>
      <c r="BK456" s="624">
        <v>0</v>
      </c>
      <c r="BL456" s="589">
        <v>0</v>
      </c>
      <c r="BM456" s="589">
        <v>0</v>
      </c>
      <c r="BN456" s="589">
        <v>0</v>
      </c>
      <c r="BO456" s="589">
        <v>0</v>
      </c>
      <c r="BP456" s="589">
        <v>0</v>
      </c>
      <c r="BQ456" s="589">
        <v>0</v>
      </c>
      <c r="BR456" s="589">
        <v>0</v>
      </c>
      <c r="BS456" s="589">
        <v>0</v>
      </c>
      <c r="BT456" s="589">
        <v>0</v>
      </c>
      <c r="BU456" s="589">
        <v>0</v>
      </c>
      <c r="BV456" s="588">
        <f t="shared" si="388"/>
        <v>4.0050000000000002E-2</v>
      </c>
      <c r="BW456" s="588">
        <v>0.45</v>
      </c>
      <c r="BX456" s="623">
        <f t="shared" si="371"/>
        <v>0.45</v>
      </c>
      <c r="BY456" s="607">
        <v>0.33</v>
      </c>
      <c r="BZ456" s="629">
        <v>0.1128</v>
      </c>
      <c r="CA456" s="1017">
        <v>0.17000000178813934</v>
      </c>
      <c r="CB456" s="557">
        <f t="shared" si="372"/>
        <v>0.17000000178813934</v>
      </c>
      <c r="CC456" s="557">
        <f t="shared" si="373"/>
        <v>37.777778175142075</v>
      </c>
      <c r="CD456" s="622">
        <f t="shared" si="389"/>
        <v>37.777778175142075</v>
      </c>
      <c r="CE456" s="621">
        <f t="shared" si="390"/>
        <v>1.5130000159144402E-2</v>
      </c>
      <c r="CF456" s="605">
        <f t="shared" si="391"/>
        <v>37.777778175142075</v>
      </c>
      <c r="CG456" s="621">
        <f t="shared" si="392"/>
        <v>1.5130000159144402E-2</v>
      </c>
      <c r="CH456" s="553">
        <f t="shared" si="393"/>
        <v>0</v>
      </c>
      <c r="CI456" s="552">
        <v>0</v>
      </c>
      <c r="CJ456" s="551">
        <f t="shared" si="374"/>
        <v>0</v>
      </c>
      <c r="CK456" s="874">
        <v>7.9999998211860657E-2</v>
      </c>
      <c r="CL456" s="533">
        <f t="shared" si="380"/>
        <v>-7.9999998211860657E-2</v>
      </c>
      <c r="CM456" s="619">
        <f t="shared" si="375"/>
        <v>7.9999998211860657E-2</v>
      </c>
      <c r="CN456" s="619">
        <f t="shared" si="376"/>
        <v>0</v>
      </c>
      <c r="CO456" s="549">
        <f t="shared" si="394"/>
        <v>0</v>
      </c>
      <c r="CP456" s="619">
        <f t="shared" si="395"/>
        <v>0</v>
      </c>
      <c r="CQ456" s="619">
        <f t="shared" si="396"/>
        <v>0</v>
      </c>
      <c r="CR456" s="546">
        <v>0</v>
      </c>
      <c r="CS456" s="546">
        <v>0</v>
      </c>
      <c r="CT456" s="546">
        <v>0</v>
      </c>
      <c r="CU456" s="546">
        <v>0</v>
      </c>
      <c r="CV456" s="546">
        <v>0</v>
      </c>
      <c r="CW456" s="546">
        <v>0</v>
      </c>
      <c r="CX456" s="546">
        <v>0</v>
      </c>
      <c r="CY456" s="546">
        <v>0</v>
      </c>
      <c r="CZ456" s="618">
        <v>0</v>
      </c>
      <c r="DA456" s="618">
        <v>0</v>
      </c>
      <c r="DB456" s="618">
        <v>0</v>
      </c>
      <c r="DC456" s="618">
        <v>0</v>
      </c>
      <c r="DD456" s="618">
        <v>0</v>
      </c>
      <c r="DE456" s="618">
        <v>0</v>
      </c>
      <c r="DF456" s="618">
        <v>0</v>
      </c>
      <c r="DG456" s="618">
        <v>0</v>
      </c>
      <c r="DH456" s="618">
        <v>0</v>
      </c>
      <c r="DI456" s="618">
        <v>0</v>
      </c>
      <c r="DJ456" s="618">
        <v>0</v>
      </c>
      <c r="DK456" s="1034">
        <f t="shared" si="377"/>
        <v>0.92</v>
      </c>
      <c r="DL456" s="543">
        <f t="shared" si="397"/>
        <v>8.8999999999999996E-2</v>
      </c>
      <c r="DM456" s="542">
        <f t="shared" si="398"/>
        <v>92</v>
      </c>
      <c r="DN456" s="594">
        <f t="shared" si="399"/>
        <v>92</v>
      </c>
      <c r="DO456" s="540">
        <f t="shared" si="400"/>
        <v>8.1879999999999994E-2</v>
      </c>
      <c r="DP456" s="597">
        <f t="shared" si="379"/>
        <v>8.1879999999999994E-2</v>
      </c>
      <c r="DQ456" s="538">
        <f t="shared" si="401"/>
        <v>8.1879999999999994E-2</v>
      </c>
      <c r="DR456" s="617">
        <f t="shared" si="402"/>
        <v>1</v>
      </c>
      <c r="DS456" s="616">
        <f t="shared" si="403"/>
        <v>-6.9388939039072284E-18</v>
      </c>
      <c r="DT456" s="259">
        <v>614</v>
      </c>
      <c r="DU456" s="260" t="s">
        <v>253</v>
      </c>
      <c r="DV456" s="259"/>
      <c r="DW456" s="260" t="s">
        <v>242</v>
      </c>
      <c r="DX456" s="259"/>
      <c r="DY456" s="259"/>
      <c r="DZ456" s="259"/>
      <c r="EA456" s="987"/>
      <c r="EB456" s="1041" t="s">
        <v>2757</v>
      </c>
      <c r="EC456" s="802">
        <v>109000000</v>
      </c>
      <c r="EE456" s="1047"/>
    </row>
    <row r="457" spans="4:135" s="534" customFormat="1" ht="89.25" hidden="1" x14ac:dyDescent="0.3">
      <c r="D457" s="783">
        <v>454</v>
      </c>
      <c r="E457" s="799">
        <v>525</v>
      </c>
      <c r="F457" s="739" t="s">
        <v>203</v>
      </c>
      <c r="G457" s="739" t="s">
        <v>27</v>
      </c>
      <c r="H457" s="739" t="s">
        <v>156</v>
      </c>
      <c r="I457" s="676" t="s">
        <v>1234</v>
      </c>
      <c r="J457" s="573" t="s">
        <v>1246</v>
      </c>
      <c r="K457" s="573" t="s">
        <v>1247</v>
      </c>
      <c r="L457" s="647" t="s">
        <v>1</v>
      </c>
      <c r="M457" s="571" t="s">
        <v>2017</v>
      </c>
      <c r="N457" s="571">
        <v>0</v>
      </c>
      <c r="O457" s="570">
        <f t="shared" si="378"/>
        <v>1</v>
      </c>
      <c r="P457" s="569">
        <v>1</v>
      </c>
      <c r="Q457" s="628">
        <v>8.8999999999999996E-2</v>
      </c>
      <c r="R457" s="580">
        <f t="shared" si="381"/>
        <v>0</v>
      </c>
      <c r="S457" s="627">
        <v>0</v>
      </c>
      <c r="T457" s="575">
        <f t="shared" si="365"/>
        <v>0</v>
      </c>
      <c r="U457" s="992">
        <v>0</v>
      </c>
      <c r="V457" s="626">
        <f t="shared" si="366"/>
        <v>0</v>
      </c>
      <c r="W457" s="594">
        <f t="shared" si="367"/>
        <v>0</v>
      </c>
      <c r="X457" s="594">
        <f t="shared" si="382"/>
        <v>0</v>
      </c>
      <c r="Y457" s="594">
        <f t="shared" si="364"/>
        <v>0</v>
      </c>
      <c r="Z457" s="594">
        <f t="shared" si="383"/>
        <v>0</v>
      </c>
      <c r="AA457" s="593">
        <v>0</v>
      </c>
      <c r="AB457" s="593">
        <v>0</v>
      </c>
      <c r="AC457" s="593">
        <v>0</v>
      </c>
      <c r="AD457" s="593">
        <v>0</v>
      </c>
      <c r="AE457" s="593">
        <v>0</v>
      </c>
      <c r="AF457" s="593">
        <v>0</v>
      </c>
      <c r="AG457" s="593">
        <v>0</v>
      </c>
      <c r="AH457" s="593">
        <v>0</v>
      </c>
      <c r="AI457" s="593">
        <v>0</v>
      </c>
      <c r="AJ457" s="593">
        <v>0</v>
      </c>
      <c r="AK457" s="593">
        <v>0</v>
      </c>
      <c r="AL457" s="593">
        <v>0</v>
      </c>
      <c r="AM457" s="593">
        <v>0</v>
      </c>
      <c r="AN457" s="593">
        <v>0</v>
      </c>
      <c r="AO457" s="593">
        <v>0</v>
      </c>
      <c r="AP457" s="593">
        <v>0</v>
      </c>
      <c r="AQ457" s="593">
        <v>0</v>
      </c>
      <c r="AR457" s="593">
        <v>0</v>
      </c>
      <c r="AS457" s="593">
        <v>0</v>
      </c>
      <c r="AT457" s="570">
        <f t="shared" si="384"/>
        <v>1.78E-2</v>
      </c>
      <c r="AU457" s="571">
        <v>0.2</v>
      </c>
      <c r="AV457" s="625">
        <f t="shared" si="368"/>
        <v>0.2</v>
      </c>
      <c r="AW457" s="1003">
        <v>0.93500000000000005</v>
      </c>
      <c r="AX457" s="604">
        <f t="shared" si="369"/>
        <v>0.93500000000000005</v>
      </c>
      <c r="AY457" s="604">
        <f t="shared" si="370"/>
        <v>467.5</v>
      </c>
      <c r="AZ457" s="604">
        <f t="shared" si="385"/>
        <v>100</v>
      </c>
      <c r="BA457" s="592">
        <f t="shared" si="386"/>
        <v>1.78E-2</v>
      </c>
      <c r="BB457" s="592">
        <f t="shared" si="387"/>
        <v>100</v>
      </c>
      <c r="BC457" s="591">
        <v>27000000</v>
      </c>
      <c r="BD457" s="591">
        <v>0</v>
      </c>
      <c r="BE457" s="591">
        <v>27000000</v>
      </c>
      <c r="BF457" s="591">
        <v>0</v>
      </c>
      <c r="BG457" s="591">
        <v>0</v>
      </c>
      <c r="BH457" s="591">
        <v>0</v>
      </c>
      <c r="BI457" s="591">
        <v>0</v>
      </c>
      <c r="BJ457" s="591">
        <v>0</v>
      </c>
      <c r="BK457" s="624">
        <v>92230000</v>
      </c>
      <c r="BL457" s="589">
        <v>92230000</v>
      </c>
      <c r="BM457" s="589">
        <v>0</v>
      </c>
      <c r="BN457" s="589">
        <v>0</v>
      </c>
      <c r="BO457" s="589">
        <v>0</v>
      </c>
      <c r="BP457" s="589">
        <v>0</v>
      </c>
      <c r="BQ457" s="589">
        <v>0</v>
      </c>
      <c r="BR457" s="589">
        <v>0</v>
      </c>
      <c r="BS457" s="589">
        <v>0</v>
      </c>
      <c r="BT457" s="589">
        <v>0</v>
      </c>
      <c r="BU457" s="589">
        <v>0</v>
      </c>
      <c r="BV457" s="588">
        <f t="shared" si="388"/>
        <v>3.56E-2</v>
      </c>
      <c r="BW457" s="588">
        <v>0.4</v>
      </c>
      <c r="BX457" s="623">
        <f t="shared" si="371"/>
        <v>0.4</v>
      </c>
      <c r="BY457" s="607">
        <v>0.09</v>
      </c>
      <c r="BZ457" s="629">
        <v>9.1999999999999998E-2</v>
      </c>
      <c r="CA457" s="1030">
        <v>2.3E-2</v>
      </c>
      <c r="CB457" s="557">
        <f t="shared" si="372"/>
        <v>2.3E-2</v>
      </c>
      <c r="CC457" s="557">
        <f t="shared" si="373"/>
        <v>5.7499999999999991</v>
      </c>
      <c r="CD457" s="622">
        <f t="shared" si="389"/>
        <v>5.7499999999999991</v>
      </c>
      <c r="CE457" s="621">
        <f t="shared" si="390"/>
        <v>2.0469999999999998E-3</v>
      </c>
      <c r="CF457" s="605">
        <f t="shared" si="391"/>
        <v>5.7499999999999991</v>
      </c>
      <c r="CG457" s="621">
        <f t="shared" si="392"/>
        <v>2.0469999999999998E-3</v>
      </c>
      <c r="CH457" s="553">
        <f t="shared" si="393"/>
        <v>3.56E-2</v>
      </c>
      <c r="CI457" s="634">
        <v>0.4</v>
      </c>
      <c r="CJ457" s="551">
        <f t="shared" si="374"/>
        <v>0.4</v>
      </c>
      <c r="CK457" s="876">
        <v>1.7399999999999999E-2</v>
      </c>
      <c r="CL457" s="533">
        <f t="shared" si="380"/>
        <v>0.38260000000000005</v>
      </c>
      <c r="CM457" s="619">
        <f t="shared" si="375"/>
        <v>1.7399999999999999E-2</v>
      </c>
      <c r="CN457" s="619">
        <f t="shared" si="376"/>
        <v>4.3499999999999988</v>
      </c>
      <c r="CO457" s="549">
        <f t="shared" si="394"/>
        <v>4.3499999999999988</v>
      </c>
      <c r="CP457" s="619">
        <f t="shared" si="395"/>
        <v>1.5485999999999994E-3</v>
      </c>
      <c r="CQ457" s="619">
        <f t="shared" si="396"/>
        <v>1.5485999999999994E-3</v>
      </c>
      <c r="CR457" s="546">
        <v>100000000</v>
      </c>
      <c r="CS457" s="546">
        <v>100000000</v>
      </c>
      <c r="CT457" s="546">
        <v>0</v>
      </c>
      <c r="CU457" s="546">
        <v>0</v>
      </c>
      <c r="CV457" s="546">
        <v>0</v>
      </c>
      <c r="CW457" s="546">
        <v>0</v>
      </c>
      <c r="CX457" s="546">
        <v>0</v>
      </c>
      <c r="CY457" s="546">
        <v>0</v>
      </c>
      <c r="CZ457" s="618">
        <v>0</v>
      </c>
      <c r="DA457" s="618">
        <v>0</v>
      </c>
      <c r="DB457" s="618">
        <v>0</v>
      </c>
      <c r="DC457" s="618">
        <v>0</v>
      </c>
      <c r="DD457" s="618">
        <v>0</v>
      </c>
      <c r="DE457" s="618">
        <v>0</v>
      </c>
      <c r="DF457" s="618">
        <v>0</v>
      </c>
      <c r="DG457" s="618">
        <v>0</v>
      </c>
      <c r="DH457" s="618">
        <v>0</v>
      </c>
      <c r="DI457" s="618">
        <v>0</v>
      </c>
      <c r="DJ457" s="618">
        <v>0</v>
      </c>
      <c r="DK457" s="1036">
        <f t="shared" si="377"/>
        <v>0.97540000000000004</v>
      </c>
      <c r="DL457" s="543">
        <f t="shared" si="397"/>
        <v>8.8999999999999996E-2</v>
      </c>
      <c r="DM457" s="542">
        <f t="shared" si="398"/>
        <v>97.54</v>
      </c>
      <c r="DN457" s="594">
        <f t="shared" si="399"/>
        <v>97.54</v>
      </c>
      <c r="DO457" s="540">
        <f t="shared" si="400"/>
        <v>8.6810600000000002E-2</v>
      </c>
      <c r="DP457" s="597">
        <f t="shared" si="379"/>
        <v>8.6810600000000002E-2</v>
      </c>
      <c r="DQ457" s="538">
        <f t="shared" si="401"/>
        <v>8.6810600000000002E-2</v>
      </c>
      <c r="DR457" s="617">
        <f t="shared" si="402"/>
        <v>1</v>
      </c>
      <c r="DS457" s="616">
        <f t="shared" si="403"/>
        <v>0</v>
      </c>
      <c r="DT457" s="259">
        <v>614</v>
      </c>
      <c r="DU457" s="260" t="s">
        <v>253</v>
      </c>
      <c r="DV457" s="259"/>
      <c r="DW457" s="260" t="s">
        <v>242</v>
      </c>
      <c r="DX457" s="259"/>
      <c r="DY457" s="259"/>
      <c r="DZ457" s="259"/>
      <c r="EA457" s="987"/>
      <c r="EB457" s="1041" t="s">
        <v>2758</v>
      </c>
      <c r="EC457" s="802">
        <v>100000000</v>
      </c>
      <c r="EE457" s="1047"/>
    </row>
    <row r="458" spans="4:135" s="534" customFormat="1" ht="102" hidden="1" x14ac:dyDescent="0.3">
      <c r="D458" s="783">
        <v>455</v>
      </c>
      <c r="E458" s="799">
        <v>526</v>
      </c>
      <c r="F458" s="574" t="s">
        <v>203</v>
      </c>
      <c r="G458" s="574" t="s">
        <v>27</v>
      </c>
      <c r="H458" s="574" t="s">
        <v>156</v>
      </c>
      <c r="I458" s="574" t="s">
        <v>1234</v>
      </c>
      <c r="J458" s="573" t="s">
        <v>1471</v>
      </c>
      <c r="K458" s="573" t="s">
        <v>1248</v>
      </c>
      <c r="L458" s="647" t="s">
        <v>2074</v>
      </c>
      <c r="M458" s="571" t="s">
        <v>2017</v>
      </c>
      <c r="N458" s="575">
        <v>0</v>
      </c>
      <c r="O458" s="570">
        <f t="shared" si="378"/>
        <v>35</v>
      </c>
      <c r="P458" s="569">
        <v>35</v>
      </c>
      <c r="Q458" s="631">
        <v>8.8999999999999996E-2</v>
      </c>
      <c r="R458" s="659">
        <f t="shared" si="381"/>
        <v>5.0857142857142854E-3</v>
      </c>
      <c r="S458" s="627">
        <v>2</v>
      </c>
      <c r="T458" s="664">
        <f t="shared" si="365"/>
        <v>5.7142857142857141E-2</v>
      </c>
      <c r="U458" s="996">
        <v>2</v>
      </c>
      <c r="V458" s="626">
        <f t="shared" si="366"/>
        <v>2</v>
      </c>
      <c r="W458" s="594">
        <f t="shared" si="367"/>
        <v>100</v>
      </c>
      <c r="X458" s="594">
        <f t="shared" si="382"/>
        <v>100</v>
      </c>
      <c r="Y458" s="594">
        <f t="shared" si="364"/>
        <v>5.0857142857142854E-3</v>
      </c>
      <c r="Z458" s="594">
        <f t="shared" si="383"/>
        <v>100</v>
      </c>
      <c r="AA458" s="653">
        <v>11510000000</v>
      </c>
      <c r="AB458" s="653">
        <v>11510000000</v>
      </c>
      <c r="AC458" s="653">
        <v>0</v>
      </c>
      <c r="AD458" s="653">
        <v>0</v>
      </c>
      <c r="AE458" s="653">
        <v>0</v>
      </c>
      <c r="AF458" s="653">
        <v>0</v>
      </c>
      <c r="AG458" s="653">
        <v>0</v>
      </c>
      <c r="AH458" s="653">
        <v>0</v>
      </c>
      <c r="AI458" s="653">
        <v>4081266000</v>
      </c>
      <c r="AJ458" s="653">
        <v>4081266000</v>
      </c>
      <c r="AK458" s="653">
        <v>0</v>
      </c>
      <c r="AL458" s="653">
        <v>0</v>
      </c>
      <c r="AM458" s="653">
        <v>0</v>
      </c>
      <c r="AN458" s="653">
        <v>0</v>
      </c>
      <c r="AO458" s="653">
        <v>0</v>
      </c>
      <c r="AP458" s="653">
        <v>0</v>
      </c>
      <c r="AQ458" s="653">
        <v>0</v>
      </c>
      <c r="AR458" s="653">
        <v>0</v>
      </c>
      <c r="AS458" s="653">
        <v>0</v>
      </c>
      <c r="AT458" s="630">
        <f t="shared" si="384"/>
        <v>3.0514285714285713E-2</v>
      </c>
      <c r="AU458" s="571">
        <v>12</v>
      </c>
      <c r="AV458" s="625">
        <f t="shared" si="368"/>
        <v>0.34285714285714286</v>
      </c>
      <c r="AW458" s="1003">
        <v>12</v>
      </c>
      <c r="AX458" s="604">
        <f t="shared" si="369"/>
        <v>12</v>
      </c>
      <c r="AY458" s="604">
        <f t="shared" si="370"/>
        <v>100</v>
      </c>
      <c r="AZ458" s="604">
        <f t="shared" si="385"/>
        <v>100</v>
      </c>
      <c r="BA458" s="592">
        <f t="shared" si="386"/>
        <v>3.0514285714285713E-2</v>
      </c>
      <c r="BB458" s="592">
        <f t="shared" si="387"/>
        <v>100</v>
      </c>
      <c r="BC458" s="591">
        <v>830000000</v>
      </c>
      <c r="BD458" s="591">
        <v>0</v>
      </c>
      <c r="BE458" s="591">
        <v>830000000</v>
      </c>
      <c r="BF458" s="591">
        <v>0</v>
      </c>
      <c r="BG458" s="591">
        <v>0</v>
      </c>
      <c r="BH458" s="591">
        <v>0</v>
      </c>
      <c r="BI458" s="591">
        <v>0</v>
      </c>
      <c r="BJ458" s="591">
        <v>0</v>
      </c>
      <c r="BK458" s="624">
        <v>9526071408</v>
      </c>
      <c r="BL458" s="589">
        <v>9526071408</v>
      </c>
      <c r="BM458" s="589">
        <v>0</v>
      </c>
      <c r="BN458" s="589">
        <v>0</v>
      </c>
      <c r="BO458" s="589">
        <v>0</v>
      </c>
      <c r="BP458" s="589">
        <v>0</v>
      </c>
      <c r="BQ458" s="589">
        <v>0</v>
      </c>
      <c r="BR458" s="589">
        <v>0</v>
      </c>
      <c r="BS458" s="589">
        <v>0</v>
      </c>
      <c r="BT458" s="589">
        <v>0</v>
      </c>
      <c r="BU458" s="589">
        <v>0</v>
      </c>
      <c r="BV458" s="588">
        <f t="shared" si="388"/>
        <v>3.0514285714285713E-2</v>
      </c>
      <c r="BW458" s="588">
        <v>12</v>
      </c>
      <c r="BX458" s="623">
        <f t="shared" si="371"/>
        <v>0.34285714285714286</v>
      </c>
      <c r="BY458" s="607">
        <v>3</v>
      </c>
      <c r="BZ458" s="629">
        <v>11</v>
      </c>
      <c r="CA458" s="1017">
        <v>13</v>
      </c>
      <c r="CB458" s="557">
        <f t="shared" si="372"/>
        <v>13</v>
      </c>
      <c r="CC458" s="557">
        <f t="shared" si="373"/>
        <v>108.33333333333333</v>
      </c>
      <c r="CD458" s="622">
        <f t="shared" si="389"/>
        <v>100</v>
      </c>
      <c r="CE458" s="621">
        <f t="shared" si="390"/>
        <v>3.0514285714285713E-2</v>
      </c>
      <c r="CF458" s="605">
        <f t="shared" si="391"/>
        <v>100</v>
      </c>
      <c r="CG458" s="621">
        <f t="shared" si="392"/>
        <v>3.3057142857142854E-2</v>
      </c>
      <c r="CH458" s="553">
        <f t="shared" si="393"/>
        <v>2.2885714285714284E-2</v>
      </c>
      <c r="CI458" s="552">
        <v>9</v>
      </c>
      <c r="CJ458" s="551">
        <f t="shared" si="374"/>
        <v>0.25714285714285712</v>
      </c>
      <c r="CK458" s="874">
        <v>2</v>
      </c>
      <c r="CL458" s="533">
        <f t="shared" si="380"/>
        <v>7</v>
      </c>
      <c r="CM458" s="619">
        <f t="shared" si="375"/>
        <v>2</v>
      </c>
      <c r="CN458" s="619">
        <f t="shared" si="376"/>
        <v>22.222222222222221</v>
      </c>
      <c r="CO458" s="549">
        <f t="shared" si="394"/>
        <v>22.222222222222221</v>
      </c>
      <c r="CP458" s="619">
        <f t="shared" si="395"/>
        <v>5.0857142857142846E-3</v>
      </c>
      <c r="CQ458" s="619">
        <f t="shared" si="396"/>
        <v>5.0857142857142846E-3</v>
      </c>
      <c r="CR458" s="546">
        <v>5500000000</v>
      </c>
      <c r="CS458" s="546">
        <v>5500000000</v>
      </c>
      <c r="CT458" s="546">
        <v>0</v>
      </c>
      <c r="CU458" s="546">
        <v>0</v>
      </c>
      <c r="CV458" s="546">
        <v>0</v>
      </c>
      <c r="CW458" s="546">
        <v>0</v>
      </c>
      <c r="CX458" s="546">
        <v>0</v>
      </c>
      <c r="CY458" s="546">
        <v>0</v>
      </c>
      <c r="CZ458" s="618">
        <v>0</v>
      </c>
      <c r="DA458" s="618">
        <v>0</v>
      </c>
      <c r="DB458" s="618">
        <v>0</v>
      </c>
      <c r="DC458" s="618">
        <v>0</v>
      </c>
      <c r="DD458" s="618">
        <v>0</v>
      </c>
      <c r="DE458" s="618">
        <v>0</v>
      </c>
      <c r="DF458" s="618">
        <v>0</v>
      </c>
      <c r="DG458" s="618">
        <v>0</v>
      </c>
      <c r="DH458" s="618">
        <v>0</v>
      </c>
      <c r="DI458" s="618">
        <v>0</v>
      </c>
      <c r="DJ458" s="618">
        <v>0</v>
      </c>
      <c r="DK458" s="1034">
        <f t="shared" si="377"/>
        <v>29</v>
      </c>
      <c r="DL458" s="543">
        <f t="shared" si="397"/>
        <v>8.8999999999999996E-2</v>
      </c>
      <c r="DM458" s="542">
        <f t="shared" si="398"/>
        <v>82.857142857142861</v>
      </c>
      <c r="DN458" s="594">
        <f t="shared" si="399"/>
        <v>82.857142857142861</v>
      </c>
      <c r="DO458" s="540">
        <f t="shared" si="400"/>
        <v>7.3742857142857152E-2</v>
      </c>
      <c r="DP458" s="597">
        <f t="shared" si="379"/>
        <v>7.3742857142857152E-2</v>
      </c>
      <c r="DQ458" s="538">
        <f t="shared" si="401"/>
        <v>7.3742857142857152E-2</v>
      </c>
      <c r="DR458" s="617">
        <f t="shared" si="402"/>
        <v>1</v>
      </c>
      <c r="DS458" s="616">
        <f t="shared" si="403"/>
        <v>0</v>
      </c>
      <c r="DT458" s="259">
        <v>613</v>
      </c>
      <c r="DU458" s="260" t="s">
        <v>254</v>
      </c>
      <c r="DV458" s="259"/>
      <c r="DW458" s="260" t="s">
        <v>242</v>
      </c>
      <c r="DX458" s="259"/>
      <c r="DY458" s="259"/>
      <c r="DZ458" s="259"/>
      <c r="EA458" s="987"/>
      <c r="EB458" s="1041" t="s">
        <v>2759</v>
      </c>
      <c r="EC458" s="802">
        <v>5500000000</v>
      </c>
      <c r="EE458" s="1047"/>
    </row>
    <row r="459" spans="4:135" s="534" customFormat="1" ht="102" hidden="1" x14ac:dyDescent="0.3">
      <c r="D459" s="783">
        <v>456</v>
      </c>
      <c r="E459" s="799">
        <v>527</v>
      </c>
      <c r="F459" s="739" t="s">
        <v>203</v>
      </c>
      <c r="G459" s="739" t="s">
        <v>10</v>
      </c>
      <c r="H459" s="739" t="s">
        <v>156</v>
      </c>
      <c r="I459" s="676" t="s">
        <v>1234</v>
      </c>
      <c r="J459" s="573" t="s">
        <v>1249</v>
      </c>
      <c r="K459" s="573" t="s">
        <v>1250</v>
      </c>
      <c r="L459" s="596" t="s">
        <v>2012</v>
      </c>
      <c r="M459" s="571" t="s">
        <v>2017</v>
      </c>
      <c r="N459" s="575">
        <v>0</v>
      </c>
      <c r="O459" s="570">
        <f t="shared" si="378"/>
        <v>8</v>
      </c>
      <c r="P459" s="663">
        <v>8</v>
      </c>
      <c r="Q459" s="628">
        <v>0.25</v>
      </c>
      <c r="R459" s="580">
        <f t="shared" si="381"/>
        <v>3.125E-2</v>
      </c>
      <c r="S459" s="657">
        <v>1</v>
      </c>
      <c r="T459" s="575">
        <f t="shared" si="365"/>
        <v>0.125</v>
      </c>
      <c r="U459" s="996">
        <v>0</v>
      </c>
      <c r="V459" s="626">
        <f t="shared" si="366"/>
        <v>0</v>
      </c>
      <c r="W459" s="594">
        <f t="shared" si="367"/>
        <v>0</v>
      </c>
      <c r="X459" s="594">
        <f t="shared" si="382"/>
        <v>0</v>
      </c>
      <c r="Y459" s="594">
        <f t="shared" si="364"/>
        <v>0</v>
      </c>
      <c r="Z459" s="594">
        <f t="shared" si="383"/>
        <v>0</v>
      </c>
      <c r="AA459" s="653">
        <v>0</v>
      </c>
      <c r="AB459" s="653">
        <v>0</v>
      </c>
      <c r="AC459" s="653">
        <v>0</v>
      </c>
      <c r="AD459" s="653">
        <v>0</v>
      </c>
      <c r="AE459" s="653">
        <v>0</v>
      </c>
      <c r="AF459" s="653">
        <v>0</v>
      </c>
      <c r="AG459" s="653">
        <v>0</v>
      </c>
      <c r="AH459" s="653">
        <v>0</v>
      </c>
      <c r="AI459" s="653">
        <v>26220170000</v>
      </c>
      <c r="AJ459" s="653">
        <v>22028449000</v>
      </c>
      <c r="AK459" s="653">
        <v>0</v>
      </c>
      <c r="AL459" s="653">
        <v>0</v>
      </c>
      <c r="AM459" s="653">
        <v>0</v>
      </c>
      <c r="AN459" s="653">
        <v>0</v>
      </c>
      <c r="AO459" s="653">
        <v>0</v>
      </c>
      <c r="AP459" s="653">
        <v>4191721000</v>
      </c>
      <c r="AQ459" s="653">
        <v>0</v>
      </c>
      <c r="AR459" s="653">
        <v>0</v>
      </c>
      <c r="AS459" s="653">
        <v>0</v>
      </c>
      <c r="AT459" s="570">
        <f t="shared" si="384"/>
        <v>9.375E-2</v>
      </c>
      <c r="AU459" s="571">
        <v>3</v>
      </c>
      <c r="AV459" s="625">
        <f t="shared" si="368"/>
        <v>0.375</v>
      </c>
      <c r="AW459" s="1003">
        <v>6</v>
      </c>
      <c r="AX459" s="604">
        <f t="shared" si="369"/>
        <v>6</v>
      </c>
      <c r="AY459" s="604">
        <f t="shared" si="370"/>
        <v>200</v>
      </c>
      <c r="AZ459" s="604">
        <f t="shared" si="385"/>
        <v>100</v>
      </c>
      <c r="BA459" s="592">
        <f t="shared" si="386"/>
        <v>9.375E-2</v>
      </c>
      <c r="BB459" s="592">
        <f t="shared" si="387"/>
        <v>100</v>
      </c>
      <c r="BC459" s="591">
        <v>34083000000</v>
      </c>
      <c r="BD459" s="591">
        <v>5200000000</v>
      </c>
      <c r="BE459" s="591">
        <v>28883000</v>
      </c>
      <c r="BF459" s="591">
        <v>0</v>
      </c>
      <c r="BG459" s="591">
        <v>0</v>
      </c>
      <c r="BH459" s="591">
        <v>0</v>
      </c>
      <c r="BI459" s="591">
        <v>0</v>
      </c>
      <c r="BJ459" s="591">
        <v>0</v>
      </c>
      <c r="BK459" s="624">
        <v>107388947018</v>
      </c>
      <c r="BL459" s="589">
        <v>107388947018</v>
      </c>
      <c r="BM459" s="589">
        <v>0</v>
      </c>
      <c r="BN459" s="589">
        <v>0</v>
      </c>
      <c r="BO459" s="589">
        <v>0</v>
      </c>
      <c r="BP459" s="589">
        <v>0</v>
      </c>
      <c r="BQ459" s="589">
        <v>0</v>
      </c>
      <c r="BR459" s="589">
        <v>0</v>
      </c>
      <c r="BS459" s="589">
        <v>0</v>
      </c>
      <c r="BT459" s="589">
        <v>0</v>
      </c>
      <c r="BU459" s="589">
        <v>0</v>
      </c>
      <c r="BV459" s="588">
        <f t="shared" si="388"/>
        <v>9.375E-2</v>
      </c>
      <c r="BW459" s="588">
        <v>3</v>
      </c>
      <c r="BX459" s="623">
        <f t="shared" si="371"/>
        <v>0.375</v>
      </c>
      <c r="BY459" s="607">
        <v>0</v>
      </c>
      <c r="BZ459" s="629">
        <v>3</v>
      </c>
      <c r="CA459" s="1017">
        <v>10</v>
      </c>
      <c r="CB459" s="557">
        <f t="shared" si="372"/>
        <v>10</v>
      </c>
      <c r="CC459" s="557">
        <f t="shared" si="373"/>
        <v>333.33333333333331</v>
      </c>
      <c r="CD459" s="622">
        <f t="shared" si="389"/>
        <v>100</v>
      </c>
      <c r="CE459" s="621">
        <f t="shared" si="390"/>
        <v>9.375E-2</v>
      </c>
      <c r="CF459" s="605">
        <f t="shared" si="391"/>
        <v>100</v>
      </c>
      <c r="CG459" s="621">
        <f t="shared" si="392"/>
        <v>0.3125</v>
      </c>
      <c r="CH459" s="553">
        <f t="shared" si="393"/>
        <v>3.125E-2</v>
      </c>
      <c r="CI459" s="552">
        <v>1</v>
      </c>
      <c r="CJ459" s="551">
        <f t="shared" si="374"/>
        <v>0.125</v>
      </c>
      <c r="CK459" s="874">
        <v>0</v>
      </c>
      <c r="CL459" s="533">
        <f t="shared" si="380"/>
        <v>1</v>
      </c>
      <c r="CM459" s="619">
        <f t="shared" si="375"/>
        <v>0</v>
      </c>
      <c r="CN459" s="619">
        <f t="shared" si="376"/>
        <v>0</v>
      </c>
      <c r="CO459" s="549">
        <f t="shared" si="394"/>
        <v>0</v>
      </c>
      <c r="CP459" s="619">
        <f t="shared" si="395"/>
        <v>0</v>
      </c>
      <c r="CQ459" s="619">
        <f t="shared" si="396"/>
        <v>0</v>
      </c>
      <c r="CR459" s="546">
        <v>64677000000</v>
      </c>
      <c r="CS459" s="546">
        <v>59477000</v>
      </c>
      <c r="CT459" s="546">
        <v>5200000000</v>
      </c>
      <c r="CU459" s="546">
        <v>0</v>
      </c>
      <c r="CV459" s="546">
        <v>0</v>
      </c>
      <c r="CW459" s="546">
        <v>0</v>
      </c>
      <c r="CX459" s="546">
        <v>0</v>
      </c>
      <c r="CY459" s="546">
        <v>0</v>
      </c>
      <c r="CZ459" s="618">
        <v>0</v>
      </c>
      <c r="DA459" s="618">
        <v>0</v>
      </c>
      <c r="DB459" s="618">
        <v>0</v>
      </c>
      <c r="DC459" s="618">
        <v>0</v>
      </c>
      <c r="DD459" s="618">
        <v>0</v>
      </c>
      <c r="DE459" s="618">
        <v>0</v>
      </c>
      <c r="DF459" s="618">
        <v>0</v>
      </c>
      <c r="DG459" s="618">
        <v>0</v>
      </c>
      <c r="DH459" s="618">
        <v>0</v>
      </c>
      <c r="DI459" s="618">
        <v>0</v>
      </c>
      <c r="DJ459" s="618">
        <v>0</v>
      </c>
      <c r="DK459" s="1034">
        <f t="shared" si="377"/>
        <v>16</v>
      </c>
      <c r="DL459" s="543">
        <f t="shared" si="397"/>
        <v>0.25</v>
      </c>
      <c r="DM459" s="542">
        <f t="shared" si="398"/>
        <v>200</v>
      </c>
      <c r="DN459" s="594">
        <f t="shared" si="399"/>
        <v>100</v>
      </c>
      <c r="DO459" s="540">
        <f t="shared" si="400"/>
        <v>0.25</v>
      </c>
      <c r="DP459" s="597">
        <f t="shared" si="379"/>
        <v>0.25</v>
      </c>
      <c r="DQ459" s="538">
        <f t="shared" si="401"/>
        <v>0.25</v>
      </c>
      <c r="DR459" s="617">
        <f t="shared" si="402"/>
        <v>1</v>
      </c>
      <c r="DS459" s="616">
        <f t="shared" si="403"/>
        <v>0</v>
      </c>
      <c r="DT459" s="259">
        <v>612</v>
      </c>
      <c r="DU459" s="260" t="s">
        <v>255</v>
      </c>
      <c r="DV459" s="259"/>
      <c r="DW459" s="260" t="s">
        <v>242</v>
      </c>
      <c r="DX459" s="259"/>
      <c r="DY459" s="259"/>
      <c r="DZ459" s="259"/>
      <c r="EA459" s="987"/>
      <c r="EB459" s="1041" t="s">
        <v>2760</v>
      </c>
      <c r="EC459" s="802">
        <v>64500000000</v>
      </c>
      <c r="EE459" s="1047"/>
    </row>
    <row r="460" spans="4:135" s="534" customFormat="1" ht="114.75" hidden="1" x14ac:dyDescent="0.3">
      <c r="D460" s="783">
        <v>457</v>
      </c>
      <c r="E460" s="799">
        <v>528</v>
      </c>
      <c r="F460" s="739" t="s">
        <v>203</v>
      </c>
      <c r="G460" s="739" t="s">
        <v>10</v>
      </c>
      <c r="H460" s="739" t="s">
        <v>156</v>
      </c>
      <c r="I460" s="676" t="s">
        <v>1234</v>
      </c>
      <c r="J460" s="573" t="s">
        <v>1251</v>
      </c>
      <c r="K460" s="573" t="s">
        <v>1252</v>
      </c>
      <c r="L460" s="596" t="s">
        <v>1582</v>
      </c>
      <c r="M460" s="571" t="s">
        <v>2017</v>
      </c>
      <c r="N460" s="575">
        <v>62</v>
      </c>
      <c r="O460" s="569">
        <v>100</v>
      </c>
      <c r="P460" s="663">
        <v>38</v>
      </c>
      <c r="Q460" s="628">
        <v>0.16500000000000001</v>
      </c>
      <c r="R460" s="580">
        <f t="shared" si="381"/>
        <v>2.1710526315789472E-2</v>
      </c>
      <c r="S460" s="657">
        <v>5</v>
      </c>
      <c r="T460" s="642">
        <f t="shared" si="365"/>
        <v>0.13157894736842105</v>
      </c>
      <c r="U460" s="996">
        <v>10</v>
      </c>
      <c r="V460" s="626">
        <f t="shared" si="366"/>
        <v>10</v>
      </c>
      <c r="W460" s="594">
        <f t="shared" si="367"/>
        <v>200</v>
      </c>
      <c r="X460" s="594">
        <f t="shared" si="382"/>
        <v>100</v>
      </c>
      <c r="Y460" s="594">
        <f t="shared" si="364"/>
        <v>2.1710526315789472E-2</v>
      </c>
      <c r="Z460" s="594">
        <f t="shared" si="383"/>
        <v>100</v>
      </c>
      <c r="AA460" s="653">
        <v>7401000000</v>
      </c>
      <c r="AB460" s="653">
        <v>7401000000</v>
      </c>
      <c r="AC460" s="653">
        <v>0</v>
      </c>
      <c r="AD460" s="653">
        <v>0</v>
      </c>
      <c r="AE460" s="653">
        <v>0</v>
      </c>
      <c r="AF460" s="653">
        <v>0</v>
      </c>
      <c r="AG460" s="653">
        <v>0</v>
      </c>
      <c r="AH460" s="653">
        <v>0</v>
      </c>
      <c r="AI460" s="653">
        <v>8787449000</v>
      </c>
      <c r="AJ460" s="653">
        <v>8787449000</v>
      </c>
      <c r="AK460" s="653">
        <v>0</v>
      </c>
      <c r="AL460" s="653">
        <v>0</v>
      </c>
      <c r="AM460" s="653">
        <v>0</v>
      </c>
      <c r="AN460" s="653">
        <v>0</v>
      </c>
      <c r="AO460" s="653">
        <v>0</v>
      </c>
      <c r="AP460" s="653">
        <v>0</v>
      </c>
      <c r="AQ460" s="653">
        <v>0</v>
      </c>
      <c r="AR460" s="653">
        <v>0</v>
      </c>
      <c r="AS460" s="653">
        <v>0</v>
      </c>
      <c r="AT460" s="570">
        <f t="shared" si="384"/>
        <v>4.3421052631578944E-2</v>
      </c>
      <c r="AU460" s="571">
        <v>10</v>
      </c>
      <c r="AV460" s="625">
        <f t="shared" si="368"/>
        <v>0.26315789473684209</v>
      </c>
      <c r="AW460" s="1003">
        <v>8.1999999999999993</v>
      </c>
      <c r="AX460" s="604">
        <f t="shared" si="369"/>
        <v>8.1999999999999993</v>
      </c>
      <c r="AY460" s="604">
        <f t="shared" si="370"/>
        <v>81.999999999999986</v>
      </c>
      <c r="AZ460" s="604">
        <f t="shared" si="385"/>
        <v>81.999999999999986</v>
      </c>
      <c r="BA460" s="592">
        <f t="shared" si="386"/>
        <v>3.5605263157894723E-2</v>
      </c>
      <c r="BB460" s="592">
        <f t="shared" si="387"/>
        <v>81.999999999999986</v>
      </c>
      <c r="BC460" s="591">
        <v>15196000000</v>
      </c>
      <c r="BD460" s="591">
        <v>14026000</v>
      </c>
      <c r="BE460" s="591">
        <v>1170000000</v>
      </c>
      <c r="BF460" s="591">
        <v>0</v>
      </c>
      <c r="BG460" s="591">
        <v>0</v>
      </c>
      <c r="BH460" s="591">
        <v>0</v>
      </c>
      <c r="BI460" s="591">
        <v>0</v>
      </c>
      <c r="BJ460" s="591">
        <v>0</v>
      </c>
      <c r="BK460" s="624">
        <v>22735703320</v>
      </c>
      <c r="BL460" s="589">
        <v>22735703320</v>
      </c>
      <c r="BM460" s="589">
        <v>0</v>
      </c>
      <c r="BN460" s="589">
        <v>0</v>
      </c>
      <c r="BO460" s="589">
        <v>0</v>
      </c>
      <c r="BP460" s="589">
        <v>0</v>
      </c>
      <c r="BQ460" s="589">
        <v>0</v>
      </c>
      <c r="BR460" s="589">
        <v>0</v>
      </c>
      <c r="BS460" s="589">
        <v>0</v>
      </c>
      <c r="BT460" s="589">
        <v>0</v>
      </c>
      <c r="BU460" s="589">
        <v>0</v>
      </c>
      <c r="BV460" s="588">
        <f t="shared" si="388"/>
        <v>6.5131578947368429E-2</v>
      </c>
      <c r="BW460" s="588">
        <v>15</v>
      </c>
      <c r="BX460" s="623">
        <f t="shared" si="371"/>
        <v>0.39473684210526316</v>
      </c>
      <c r="BY460" s="607">
        <v>5</v>
      </c>
      <c r="BZ460" s="629">
        <v>10</v>
      </c>
      <c r="CA460" s="1017">
        <v>12.449999809265137</v>
      </c>
      <c r="CB460" s="557">
        <f t="shared" si="372"/>
        <v>12.449999809265137</v>
      </c>
      <c r="CC460" s="557">
        <f t="shared" si="373"/>
        <v>82.99999872843425</v>
      </c>
      <c r="CD460" s="622">
        <f t="shared" si="389"/>
        <v>82.99999872843425</v>
      </c>
      <c r="CE460" s="621">
        <f t="shared" si="390"/>
        <v>5.4059209698124944E-2</v>
      </c>
      <c r="CF460" s="605">
        <f t="shared" si="391"/>
        <v>82.99999872843425</v>
      </c>
      <c r="CG460" s="621">
        <f t="shared" si="392"/>
        <v>5.4059209698124944E-2</v>
      </c>
      <c r="CH460" s="553">
        <f t="shared" si="393"/>
        <v>3.4736842105263156E-2</v>
      </c>
      <c r="CI460" s="552">
        <v>8</v>
      </c>
      <c r="CJ460" s="551">
        <f t="shared" si="374"/>
        <v>0.21052631578947367</v>
      </c>
      <c r="CK460" s="874">
        <v>4</v>
      </c>
      <c r="CL460" s="533">
        <f t="shared" si="380"/>
        <v>4</v>
      </c>
      <c r="CM460" s="619">
        <f t="shared" si="375"/>
        <v>4</v>
      </c>
      <c r="CN460" s="619">
        <f t="shared" si="376"/>
        <v>50</v>
      </c>
      <c r="CO460" s="549">
        <f t="shared" si="394"/>
        <v>50</v>
      </c>
      <c r="CP460" s="619">
        <f t="shared" si="395"/>
        <v>1.7368421052631578E-2</v>
      </c>
      <c r="CQ460" s="619">
        <f t="shared" si="396"/>
        <v>1.7368421052631578E-2</v>
      </c>
      <c r="CR460" s="546">
        <v>17464000000</v>
      </c>
      <c r="CS460" s="546">
        <v>2700000000</v>
      </c>
      <c r="CT460" s="546">
        <v>14764000</v>
      </c>
      <c r="CU460" s="546">
        <v>0</v>
      </c>
      <c r="CV460" s="546">
        <v>0</v>
      </c>
      <c r="CW460" s="546">
        <v>0</v>
      </c>
      <c r="CX460" s="546">
        <v>0</v>
      </c>
      <c r="CY460" s="546">
        <v>0</v>
      </c>
      <c r="CZ460" s="618">
        <v>0</v>
      </c>
      <c r="DA460" s="618">
        <v>0</v>
      </c>
      <c r="DB460" s="618">
        <v>0</v>
      </c>
      <c r="DC460" s="618">
        <v>0</v>
      </c>
      <c r="DD460" s="618">
        <v>0</v>
      </c>
      <c r="DE460" s="618">
        <v>0</v>
      </c>
      <c r="DF460" s="618">
        <v>0</v>
      </c>
      <c r="DG460" s="618">
        <v>0</v>
      </c>
      <c r="DH460" s="618">
        <v>0</v>
      </c>
      <c r="DI460" s="618">
        <v>0</v>
      </c>
      <c r="DJ460" s="618">
        <v>0</v>
      </c>
      <c r="DK460" s="1034">
        <f t="shared" si="377"/>
        <v>34.64999980926514</v>
      </c>
      <c r="DL460" s="543">
        <f t="shared" si="397"/>
        <v>0.16500000000000001</v>
      </c>
      <c r="DM460" s="542">
        <f t="shared" si="398"/>
        <v>91.184210024381954</v>
      </c>
      <c r="DN460" s="594">
        <f t="shared" si="399"/>
        <v>91.184210024381954</v>
      </c>
      <c r="DO460" s="540">
        <f t="shared" si="400"/>
        <v>0.15045394654023023</v>
      </c>
      <c r="DP460" s="597">
        <f t="shared" si="379"/>
        <v>0.15045394654023023</v>
      </c>
      <c r="DQ460" s="538">
        <f t="shared" si="401"/>
        <v>0.15045394654023023</v>
      </c>
      <c r="DR460" s="617">
        <f t="shared" si="402"/>
        <v>1</v>
      </c>
      <c r="DS460" s="616">
        <f t="shared" si="403"/>
        <v>0</v>
      </c>
      <c r="DT460" s="259">
        <v>612</v>
      </c>
      <c r="DU460" s="260" t="s">
        <v>255</v>
      </c>
      <c r="DV460" s="259"/>
      <c r="DW460" s="260" t="s">
        <v>242</v>
      </c>
      <c r="DX460" s="259"/>
      <c r="DY460" s="259"/>
      <c r="DZ460" s="259"/>
      <c r="EA460" s="987"/>
      <c r="EB460" s="1041" t="s">
        <v>2761</v>
      </c>
      <c r="EC460" s="802">
        <v>17464000000</v>
      </c>
      <c r="EE460" s="1047"/>
    </row>
    <row r="461" spans="4:135" s="534" customFormat="1" ht="102" hidden="1" x14ac:dyDescent="0.3">
      <c r="D461" s="783">
        <v>458</v>
      </c>
      <c r="E461" s="799">
        <v>529</v>
      </c>
      <c r="F461" s="739" t="s">
        <v>203</v>
      </c>
      <c r="G461" s="739" t="s">
        <v>10</v>
      </c>
      <c r="H461" s="739" t="s">
        <v>156</v>
      </c>
      <c r="I461" s="676" t="s">
        <v>1234</v>
      </c>
      <c r="J461" s="573" t="s">
        <v>1253</v>
      </c>
      <c r="K461" s="573" t="s">
        <v>1254</v>
      </c>
      <c r="L461" s="647" t="s">
        <v>1724</v>
      </c>
      <c r="M461" s="571" t="s">
        <v>2017</v>
      </c>
      <c r="N461" s="575">
        <v>0</v>
      </c>
      <c r="O461" s="570">
        <f>+N461+P461</f>
        <v>100</v>
      </c>
      <c r="P461" s="663">
        <v>100</v>
      </c>
      <c r="Q461" s="628">
        <v>0.16500000000000001</v>
      </c>
      <c r="R461" s="580">
        <f t="shared" si="381"/>
        <v>2.4750000000000001E-2</v>
      </c>
      <c r="S461" s="657">
        <v>15</v>
      </c>
      <c r="T461" s="575">
        <f t="shared" si="365"/>
        <v>0.15</v>
      </c>
      <c r="U461" s="996">
        <v>14.8</v>
      </c>
      <c r="V461" s="626">
        <f t="shared" si="366"/>
        <v>14.8</v>
      </c>
      <c r="W461" s="594">
        <f t="shared" si="367"/>
        <v>98.666666666666671</v>
      </c>
      <c r="X461" s="594">
        <f t="shared" si="382"/>
        <v>98.666666666666671</v>
      </c>
      <c r="Y461" s="594">
        <f t="shared" si="364"/>
        <v>2.4420000000000001E-2</v>
      </c>
      <c r="Z461" s="594">
        <f t="shared" si="383"/>
        <v>98.666666666666671</v>
      </c>
      <c r="AA461" s="653">
        <v>4056000000</v>
      </c>
      <c r="AB461" s="653">
        <v>1085000000</v>
      </c>
      <c r="AC461" s="653">
        <v>2971000000</v>
      </c>
      <c r="AD461" s="653">
        <v>0</v>
      </c>
      <c r="AE461" s="653">
        <v>0</v>
      </c>
      <c r="AF461" s="653">
        <v>0</v>
      </c>
      <c r="AG461" s="653">
        <v>0</v>
      </c>
      <c r="AH461" s="653">
        <v>0</v>
      </c>
      <c r="AI461" s="653">
        <v>1233556000</v>
      </c>
      <c r="AJ461" s="653">
        <v>1233556000</v>
      </c>
      <c r="AK461" s="653">
        <v>0</v>
      </c>
      <c r="AL461" s="653">
        <v>0</v>
      </c>
      <c r="AM461" s="653">
        <v>0</v>
      </c>
      <c r="AN461" s="653">
        <v>0</v>
      </c>
      <c r="AO461" s="653">
        <v>0</v>
      </c>
      <c r="AP461" s="653">
        <v>0</v>
      </c>
      <c r="AQ461" s="653">
        <v>0</v>
      </c>
      <c r="AR461" s="653">
        <v>0</v>
      </c>
      <c r="AS461" s="653">
        <v>0</v>
      </c>
      <c r="AT461" s="570">
        <f t="shared" si="384"/>
        <v>4.9500000000000002E-2</v>
      </c>
      <c r="AU461" s="571">
        <v>30</v>
      </c>
      <c r="AV461" s="625">
        <f t="shared" si="368"/>
        <v>0.3</v>
      </c>
      <c r="AW461" s="1003">
        <v>27.6</v>
      </c>
      <c r="AX461" s="604">
        <f t="shared" si="369"/>
        <v>27.6</v>
      </c>
      <c r="AY461" s="604">
        <f t="shared" si="370"/>
        <v>92</v>
      </c>
      <c r="AZ461" s="604">
        <f t="shared" si="385"/>
        <v>92</v>
      </c>
      <c r="BA461" s="592">
        <f t="shared" si="386"/>
        <v>4.5540000000000004E-2</v>
      </c>
      <c r="BB461" s="592">
        <f t="shared" si="387"/>
        <v>92</v>
      </c>
      <c r="BC461" s="591">
        <v>4683000000</v>
      </c>
      <c r="BD461" s="591">
        <v>2806000000</v>
      </c>
      <c r="BE461" s="591">
        <v>1877000000</v>
      </c>
      <c r="BF461" s="591">
        <v>0</v>
      </c>
      <c r="BG461" s="591">
        <v>0</v>
      </c>
      <c r="BH461" s="591">
        <v>0</v>
      </c>
      <c r="BI461" s="591">
        <v>0</v>
      </c>
      <c r="BJ461" s="591">
        <v>0</v>
      </c>
      <c r="BK461" s="624">
        <v>4310998020</v>
      </c>
      <c r="BL461" s="589">
        <v>1976675110</v>
      </c>
      <c r="BM461" s="589">
        <v>2036027250</v>
      </c>
      <c r="BN461" s="589">
        <v>298295660</v>
      </c>
      <c r="BO461" s="589">
        <v>0</v>
      </c>
      <c r="BP461" s="589">
        <v>0</v>
      </c>
      <c r="BQ461" s="589">
        <v>0</v>
      </c>
      <c r="BR461" s="589">
        <v>0</v>
      </c>
      <c r="BS461" s="589">
        <v>0</v>
      </c>
      <c r="BT461" s="589">
        <v>0</v>
      </c>
      <c r="BU461" s="589">
        <v>0</v>
      </c>
      <c r="BV461" s="588">
        <f t="shared" si="388"/>
        <v>5.7749999999999996E-2</v>
      </c>
      <c r="BW461" s="588">
        <v>35</v>
      </c>
      <c r="BX461" s="623">
        <f t="shared" si="371"/>
        <v>0.35</v>
      </c>
      <c r="BY461" s="607">
        <v>28</v>
      </c>
      <c r="BZ461" s="629">
        <v>29</v>
      </c>
      <c r="CA461" s="1017">
        <v>35</v>
      </c>
      <c r="CB461" s="557">
        <f t="shared" si="372"/>
        <v>35</v>
      </c>
      <c r="CC461" s="557">
        <f t="shared" si="373"/>
        <v>100</v>
      </c>
      <c r="CD461" s="622">
        <f t="shared" si="389"/>
        <v>100</v>
      </c>
      <c r="CE461" s="621">
        <f t="shared" si="390"/>
        <v>5.7749999999999996E-2</v>
      </c>
      <c r="CF461" s="605">
        <f t="shared" si="391"/>
        <v>100</v>
      </c>
      <c r="CG461" s="621">
        <f t="shared" si="392"/>
        <v>5.7749999999999996E-2</v>
      </c>
      <c r="CH461" s="553">
        <f t="shared" si="393"/>
        <v>3.3000000000000002E-2</v>
      </c>
      <c r="CI461" s="552">
        <v>20</v>
      </c>
      <c r="CJ461" s="551">
        <f t="shared" si="374"/>
        <v>0.2</v>
      </c>
      <c r="CK461" s="874">
        <v>55</v>
      </c>
      <c r="CL461" s="533">
        <f t="shared" si="380"/>
        <v>-35</v>
      </c>
      <c r="CM461" s="619">
        <f t="shared" si="375"/>
        <v>55</v>
      </c>
      <c r="CN461" s="619">
        <f t="shared" si="376"/>
        <v>275</v>
      </c>
      <c r="CO461" s="549">
        <f t="shared" si="394"/>
        <v>100</v>
      </c>
      <c r="CP461" s="619">
        <f t="shared" si="395"/>
        <v>3.3000000000000002E-2</v>
      </c>
      <c r="CQ461" s="619">
        <f t="shared" si="396"/>
        <v>9.0750000000000011E-2</v>
      </c>
      <c r="CR461" s="546">
        <v>7138000000</v>
      </c>
      <c r="CS461" s="546">
        <v>4332000000</v>
      </c>
      <c r="CT461" s="546">
        <v>2806000000</v>
      </c>
      <c r="CU461" s="546">
        <v>0</v>
      </c>
      <c r="CV461" s="546">
        <v>0</v>
      </c>
      <c r="CW461" s="546">
        <v>0</v>
      </c>
      <c r="CX461" s="546">
        <v>0</v>
      </c>
      <c r="CY461" s="546">
        <v>0</v>
      </c>
      <c r="CZ461" s="618">
        <v>0</v>
      </c>
      <c r="DA461" s="618">
        <v>0</v>
      </c>
      <c r="DB461" s="618">
        <v>0</v>
      </c>
      <c r="DC461" s="618">
        <v>0</v>
      </c>
      <c r="DD461" s="618">
        <v>0</v>
      </c>
      <c r="DE461" s="618">
        <v>0</v>
      </c>
      <c r="DF461" s="618">
        <v>0</v>
      </c>
      <c r="DG461" s="618">
        <v>0</v>
      </c>
      <c r="DH461" s="618">
        <v>0</v>
      </c>
      <c r="DI461" s="618">
        <v>0</v>
      </c>
      <c r="DJ461" s="618">
        <v>0</v>
      </c>
      <c r="DK461" s="1034">
        <f t="shared" si="377"/>
        <v>132.4</v>
      </c>
      <c r="DL461" s="543">
        <f t="shared" si="397"/>
        <v>0.16500000000000001</v>
      </c>
      <c r="DM461" s="542">
        <f t="shared" si="398"/>
        <v>132.4</v>
      </c>
      <c r="DN461" s="594">
        <f t="shared" si="399"/>
        <v>100</v>
      </c>
      <c r="DO461" s="540">
        <f t="shared" si="400"/>
        <v>0.16500000000000001</v>
      </c>
      <c r="DP461" s="597">
        <f t="shared" si="379"/>
        <v>0.16500000000000001</v>
      </c>
      <c r="DQ461" s="538">
        <f t="shared" si="401"/>
        <v>0.16500000000000001</v>
      </c>
      <c r="DR461" s="617">
        <f t="shared" si="402"/>
        <v>1</v>
      </c>
      <c r="DS461" s="616">
        <f t="shared" si="403"/>
        <v>0</v>
      </c>
      <c r="DT461" s="259">
        <v>612</v>
      </c>
      <c r="DU461" s="260" t="s">
        <v>255</v>
      </c>
      <c r="DV461" s="259"/>
      <c r="DW461" s="260" t="s">
        <v>242</v>
      </c>
      <c r="DX461" s="259"/>
      <c r="DY461" s="259"/>
      <c r="DZ461" s="259"/>
      <c r="EA461" s="987"/>
      <c r="EB461" s="1041" t="s">
        <v>2762</v>
      </c>
      <c r="EC461" s="802">
        <v>7138000000</v>
      </c>
      <c r="EE461" s="1047"/>
    </row>
    <row r="462" spans="4:135" s="534" customFormat="1" ht="102" hidden="1" x14ac:dyDescent="0.3">
      <c r="D462" s="783">
        <v>459</v>
      </c>
      <c r="E462" s="799">
        <v>530</v>
      </c>
      <c r="F462" s="739" t="s">
        <v>203</v>
      </c>
      <c r="G462" s="739" t="s">
        <v>26</v>
      </c>
      <c r="H462" s="739" t="s">
        <v>156</v>
      </c>
      <c r="I462" s="676" t="s">
        <v>1255</v>
      </c>
      <c r="J462" s="573" t="s">
        <v>1256</v>
      </c>
      <c r="K462" s="573" t="s">
        <v>1257</v>
      </c>
      <c r="L462" s="647" t="s">
        <v>1724</v>
      </c>
      <c r="M462" s="571" t="s">
        <v>2017</v>
      </c>
      <c r="N462" s="575">
        <v>0</v>
      </c>
      <c r="O462" s="570">
        <f>+N462+P462</f>
        <v>40</v>
      </c>
      <c r="P462" s="663">
        <v>40</v>
      </c>
      <c r="Q462" s="628">
        <v>0.16500000000000001</v>
      </c>
      <c r="R462" s="580">
        <f t="shared" si="381"/>
        <v>2.0625000000000001E-2</v>
      </c>
      <c r="S462" s="657">
        <v>5</v>
      </c>
      <c r="T462" s="575">
        <f t="shared" si="365"/>
        <v>0.125</v>
      </c>
      <c r="U462" s="996">
        <v>40</v>
      </c>
      <c r="V462" s="626" t="s">
        <v>2015</v>
      </c>
      <c r="W462" s="594">
        <f t="shared" si="367"/>
        <v>800</v>
      </c>
      <c r="X462" s="594">
        <f t="shared" si="382"/>
        <v>100</v>
      </c>
      <c r="Y462" s="594">
        <f t="shared" si="364"/>
        <v>2.0625000000000001E-2</v>
      </c>
      <c r="Z462" s="594">
        <f t="shared" si="383"/>
        <v>100</v>
      </c>
      <c r="AA462" s="653">
        <v>110000000</v>
      </c>
      <c r="AB462" s="653">
        <v>110000000</v>
      </c>
      <c r="AC462" s="653">
        <v>0</v>
      </c>
      <c r="AD462" s="653">
        <v>0</v>
      </c>
      <c r="AE462" s="653">
        <v>0</v>
      </c>
      <c r="AF462" s="653">
        <v>0</v>
      </c>
      <c r="AG462" s="653">
        <v>0</v>
      </c>
      <c r="AH462" s="653">
        <v>0</v>
      </c>
      <c r="AI462" s="653">
        <v>104174000</v>
      </c>
      <c r="AJ462" s="653">
        <v>104174000</v>
      </c>
      <c r="AK462" s="653">
        <v>0</v>
      </c>
      <c r="AL462" s="653">
        <v>0</v>
      </c>
      <c r="AM462" s="653">
        <v>0</v>
      </c>
      <c r="AN462" s="653">
        <v>0</v>
      </c>
      <c r="AO462" s="653">
        <v>0</v>
      </c>
      <c r="AP462" s="653">
        <v>0</v>
      </c>
      <c r="AQ462" s="653">
        <v>0</v>
      </c>
      <c r="AR462" s="653">
        <v>0</v>
      </c>
      <c r="AS462" s="653">
        <v>0</v>
      </c>
      <c r="AT462" s="570">
        <f t="shared" si="384"/>
        <v>2.0625000000000001E-2</v>
      </c>
      <c r="AU462" s="571">
        <v>5</v>
      </c>
      <c r="AV462" s="625">
        <f t="shared" si="368"/>
        <v>0.125</v>
      </c>
      <c r="AW462" s="1003">
        <v>5</v>
      </c>
      <c r="AX462" s="604">
        <f t="shared" si="369"/>
        <v>5</v>
      </c>
      <c r="AY462" s="604">
        <f t="shared" si="370"/>
        <v>100</v>
      </c>
      <c r="AZ462" s="604">
        <f t="shared" si="385"/>
        <v>100</v>
      </c>
      <c r="BA462" s="592">
        <f t="shared" si="386"/>
        <v>2.0625000000000001E-2</v>
      </c>
      <c r="BB462" s="592">
        <f t="shared" si="387"/>
        <v>100</v>
      </c>
      <c r="BC462" s="591">
        <v>57000000</v>
      </c>
      <c r="BD462" s="591">
        <v>0</v>
      </c>
      <c r="BE462" s="591">
        <v>27000000</v>
      </c>
      <c r="BF462" s="591">
        <v>0</v>
      </c>
      <c r="BG462" s="591">
        <v>0</v>
      </c>
      <c r="BH462" s="591">
        <v>0</v>
      </c>
      <c r="BI462" s="591">
        <v>0</v>
      </c>
      <c r="BJ462" s="591">
        <v>30000000</v>
      </c>
      <c r="BK462" s="624">
        <v>27000000</v>
      </c>
      <c r="BL462" s="589">
        <v>27000000</v>
      </c>
      <c r="BM462" s="589">
        <v>0</v>
      </c>
      <c r="BN462" s="589">
        <v>0</v>
      </c>
      <c r="BO462" s="589">
        <v>0</v>
      </c>
      <c r="BP462" s="589">
        <v>0</v>
      </c>
      <c r="BQ462" s="589">
        <v>0</v>
      </c>
      <c r="BR462" s="589">
        <v>0</v>
      </c>
      <c r="BS462" s="589">
        <v>0</v>
      </c>
      <c r="BT462" s="589">
        <v>0</v>
      </c>
      <c r="BU462" s="589">
        <v>0</v>
      </c>
      <c r="BV462" s="588">
        <f t="shared" si="388"/>
        <v>6.1874999999999999E-2</v>
      </c>
      <c r="BW462" s="588">
        <v>15</v>
      </c>
      <c r="BX462" s="623">
        <f t="shared" si="371"/>
        <v>0.375</v>
      </c>
      <c r="BY462" s="607">
        <v>0</v>
      </c>
      <c r="BZ462" s="629">
        <v>0</v>
      </c>
      <c r="CA462" s="1017">
        <v>30</v>
      </c>
      <c r="CB462" s="557">
        <f t="shared" si="372"/>
        <v>30</v>
      </c>
      <c r="CC462" s="557">
        <f t="shared" si="373"/>
        <v>200</v>
      </c>
      <c r="CD462" s="622">
        <f t="shared" si="389"/>
        <v>100</v>
      </c>
      <c r="CE462" s="621">
        <f t="shared" si="390"/>
        <v>6.1874999999999999E-2</v>
      </c>
      <c r="CF462" s="605">
        <f t="shared" si="391"/>
        <v>100</v>
      </c>
      <c r="CG462" s="621">
        <f t="shared" si="392"/>
        <v>0.12375</v>
      </c>
      <c r="CH462" s="553">
        <f t="shared" si="393"/>
        <v>6.1874999999999999E-2</v>
      </c>
      <c r="CI462" s="552">
        <v>15</v>
      </c>
      <c r="CJ462" s="551">
        <f t="shared" si="374"/>
        <v>0.375</v>
      </c>
      <c r="CK462" s="874">
        <v>5</v>
      </c>
      <c r="CL462" s="533">
        <f t="shared" si="380"/>
        <v>10</v>
      </c>
      <c r="CM462" s="619">
        <f t="shared" si="375"/>
        <v>5</v>
      </c>
      <c r="CN462" s="619">
        <f t="shared" si="376"/>
        <v>33.333333333333336</v>
      </c>
      <c r="CO462" s="549">
        <f t="shared" si="394"/>
        <v>33.333333333333336</v>
      </c>
      <c r="CP462" s="619">
        <f t="shared" si="395"/>
        <v>2.0625000000000001E-2</v>
      </c>
      <c r="CQ462" s="619">
        <f t="shared" si="396"/>
        <v>2.0625000000000001E-2</v>
      </c>
      <c r="CR462" s="546">
        <v>90000000</v>
      </c>
      <c r="CS462" s="546">
        <v>60000000</v>
      </c>
      <c r="CT462" s="546">
        <v>0</v>
      </c>
      <c r="CU462" s="546">
        <v>0</v>
      </c>
      <c r="CV462" s="546">
        <v>0</v>
      </c>
      <c r="CW462" s="546">
        <v>0</v>
      </c>
      <c r="CX462" s="546">
        <v>0</v>
      </c>
      <c r="CY462" s="546">
        <v>30000000</v>
      </c>
      <c r="CZ462" s="618">
        <v>0</v>
      </c>
      <c r="DA462" s="618">
        <v>0</v>
      </c>
      <c r="DB462" s="618">
        <v>0</v>
      </c>
      <c r="DC462" s="618">
        <v>0</v>
      </c>
      <c r="DD462" s="618">
        <v>0</v>
      </c>
      <c r="DE462" s="618">
        <v>0</v>
      </c>
      <c r="DF462" s="618">
        <v>0</v>
      </c>
      <c r="DG462" s="618">
        <v>0</v>
      </c>
      <c r="DH462" s="618">
        <v>0</v>
      </c>
      <c r="DI462" s="618">
        <v>0</v>
      </c>
      <c r="DJ462" s="618">
        <v>0</v>
      </c>
      <c r="DK462" s="1034">
        <f t="shared" si="377"/>
        <v>80</v>
      </c>
      <c r="DL462" s="543">
        <f t="shared" si="397"/>
        <v>0.16499999999999998</v>
      </c>
      <c r="DM462" s="542">
        <f t="shared" si="398"/>
        <v>200</v>
      </c>
      <c r="DN462" s="594">
        <f t="shared" si="399"/>
        <v>100</v>
      </c>
      <c r="DO462" s="540">
        <f t="shared" si="400"/>
        <v>0.16500000000000001</v>
      </c>
      <c r="DP462" s="597">
        <f t="shared" si="379"/>
        <v>0.16500000000000001</v>
      </c>
      <c r="DQ462" s="538">
        <f t="shared" si="401"/>
        <v>0.16500000000000001</v>
      </c>
      <c r="DR462" s="617">
        <f t="shared" si="402"/>
        <v>1</v>
      </c>
      <c r="DS462" s="616">
        <f t="shared" si="403"/>
        <v>0</v>
      </c>
      <c r="DT462" s="259">
        <v>612</v>
      </c>
      <c r="DU462" s="260" t="s">
        <v>255</v>
      </c>
      <c r="DV462" s="259"/>
      <c r="DW462" s="260" t="s">
        <v>242</v>
      </c>
      <c r="DX462" s="259"/>
      <c r="DY462" s="259"/>
      <c r="DZ462" s="259"/>
      <c r="EA462" s="987"/>
      <c r="EB462" s="1041" t="s">
        <v>2763</v>
      </c>
      <c r="EC462" s="802">
        <v>90000000</v>
      </c>
      <c r="EE462" s="1047"/>
    </row>
    <row r="463" spans="4:135" s="534" customFormat="1" ht="102" hidden="1" x14ac:dyDescent="0.3">
      <c r="D463" s="783">
        <v>460</v>
      </c>
      <c r="E463" s="799">
        <v>531</v>
      </c>
      <c r="F463" s="739" t="s">
        <v>203</v>
      </c>
      <c r="G463" s="739" t="s">
        <v>26</v>
      </c>
      <c r="H463" s="739" t="s">
        <v>156</v>
      </c>
      <c r="I463" s="676" t="s">
        <v>1258</v>
      </c>
      <c r="J463" s="573" t="s">
        <v>1259</v>
      </c>
      <c r="K463" s="573" t="s">
        <v>1260</v>
      </c>
      <c r="L463" s="647" t="s">
        <v>1724</v>
      </c>
      <c r="M463" s="571" t="s">
        <v>2032</v>
      </c>
      <c r="N463" s="575">
        <v>0</v>
      </c>
      <c r="O463" s="570">
        <f>+P463</f>
        <v>80</v>
      </c>
      <c r="P463" s="569">
        <v>80</v>
      </c>
      <c r="Q463" s="628">
        <v>0.16500000000000001</v>
      </c>
      <c r="R463" s="580">
        <f t="shared" si="381"/>
        <v>4.1250000000000002E-2</v>
      </c>
      <c r="S463" s="657">
        <v>80</v>
      </c>
      <c r="T463" s="575">
        <f t="shared" ref="T463:T471" si="404">IF($M463="M",0.25,(IF($P463&gt;0,S463/$P463," ")))</f>
        <v>0.25</v>
      </c>
      <c r="U463" s="996">
        <v>100</v>
      </c>
      <c r="V463" s="626">
        <f t="shared" ref="V463:V471" si="405">+IF(M463="I",(+U463),IF(M463="M",(+U463)/4,))</f>
        <v>25</v>
      </c>
      <c r="W463" s="594">
        <f t="shared" ref="W463:W471" si="406">IF(S463=0,0,+U463*100/S463)</f>
        <v>125</v>
      </c>
      <c r="X463" s="594">
        <f t="shared" si="382"/>
        <v>100</v>
      </c>
      <c r="Y463" s="594">
        <f t="shared" si="364"/>
        <v>4.1250000000000002E-2</v>
      </c>
      <c r="Z463" s="594">
        <f t="shared" si="383"/>
        <v>100</v>
      </c>
      <c r="AA463" s="653">
        <v>130000000</v>
      </c>
      <c r="AB463" s="653">
        <v>130000000</v>
      </c>
      <c r="AC463" s="653">
        <v>0</v>
      </c>
      <c r="AD463" s="653">
        <v>0</v>
      </c>
      <c r="AE463" s="653">
        <v>0</v>
      </c>
      <c r="AF463" s="653">
        <v>0</v>
      </c>
      <c r="AG463" s="653">
        <v>0</v>
      </c>
      <c r="AH463" s="653">
        <v>0</v>
      </c>
      <c r="AI463" s="653">
        <v>129870000</v>
      </c>
      <c r="AJ463" s="653">
        <v>129870000</v>
      </c>
      <c r="AK463" s="653">
        <v>0</v>
      </c>
      <c r="AL463" s="653">
        <v>0</v>
      </c>
      <c r="AM463" s="653">
        <v>0</v>
      </c>
      <c r="AN463" s="653">
        <v>0</v>
      </c>
      <c r="AO463" s="653">
        <v>0</v>
      </c>
      <c r="AP463" s="653">
        <v>0</v>
      </c>
      <c r="AQ463" s="653">
        <v>0</v>
      </c>
      <c r="AR463" s="653">
        <v>0</v>
      </c>
      <c r="AS463" s="653">
        <v>0</v>
      </c>
      <c r="AT463" s="570">
        <f t="shared" si="384"/>
        <v>4.1250000000000002E-2</v>
      </c>
      <c r="AU463" s="571">
        <v>80</v>
      </c>
      <c r="AV463" s="625">
        <f t="shared" ref="AV463:AV471" si="407">IF($M463="M",0.25,(IF($P463&gt;0,AU463/$P463," ")))</f>
        <v>0.25</v>
      </c>
      <c r="AW463" s="1003">
        <v>100</v>
      </c>
      <c r="AX463" s="604">
        <f t="shared" ref="AX463:AX471" si="408">+IF(M463="I",(+AW463),IF(M463="M",(+AW463)/4,))</f>
        <v>25</v>
      </c>
      <c r="AY463" s="604">
        <f t="shared" ref="AY463:AY471" si="409">IF(AU463=0,0,+AW463*100/AU463)</f>
        <v>125</v>
      </c>
      <c r="AZ463" s="604">
        <f t="shared" si="385"/>
        <v>100</v>
      </c>
      <c r="BA463" s="592">
        <f t="shared" si="386"/>
        <v>4.1250000000000002E-2</v>
      </c>
      <c r="BB463" s="592">
        <f t="shared" si="387"/>
        <v>100</v>
      </c>
      <c r="BC463" s="591">
        <v>250000000</v>
      </c>
      <c r="BD463" s="591">
        <v>0</v>
      </c>
      <c r="BE463" s="591">
        <v>85000000</v>
      </c>
      <c r="BF463" s="591">
        <v>0</v>
      </c>
      <c r="BG463" s="591">
        <v>0</v>
      </c>
      <c r="BH463" s="591">
        <v>0</v>
      </c>
      <c r="BI463" s="591">
        <v>0</v>
      </c>
      <c r="BJ463" s="591">
        <v>165000000</v>
      </c>
      <c r="BK463" s="624">
        <v>0</v>
      </c>
      <c r="BL463" s="589">
        <v>0</v>
      </c>
      <c r="BM463" s="589">
        <v>0</v>
      </c>
      <c r="BN463" s="589">
        <v>0</v>
      </c>
      <c r="BO463" s="589">
        <v>0</v>
      </c>
      <c r="BP463" s="589">
        <v>0</v>
      </c>
      <c r="BQ463" s="589">
        <v>0</v>
      </c>
      <c r="BR463" s="589">
        <v>0</v>
      </c>
      <c r="BS463" s="589">
        <v>0</v>
      </c>
      <c r="BT463" s="589">
        <v>0</v>
      </c>
      <c r="BU463" s="589">
        <v>0</v>
      </c>
      <c r="BV463" s="588">
        <f t="shared" si="388"/>
        <v>4.1250000000000002E-2</v>
      </c>
      <c r="BW463" s="588">
        <v>80</v>
      </c>
      <c r="BX463" s="623">
        <f t="shared" ref="BX463:BX471" si="410">IF($M463="M",0.25,(IF($P463&gt;0,BW463/$P463," ")))</f>
        <v>0.25</v>
      </c>
      <c r="BY463" s="607">
        <v>80</v>
      </c>
      <c r="BZ463" s="629">
        <v>80</v>
      </c>
      <c r="CA463" s="1017">
        <v>100</v>
      </c>
      <c r="CB463" s="557">
        <f t="shared" ref="CB463:CB471" si="411">+IF(M463="I",(+CA463),IF(M463="M",(+CA463)/4,))</f>
        <v>25</v>
      </c>
      <c r="CC463" s="557">
        <f t="shared" ref="CC463:CC471" si="412">IF(BW463=0,0,+CA463*100/BW463)</f>
        <v>125</v>
      </c>
      <c r="CD463" s="622">
        <f t="shared" si="389"/>
        <v>100</v>
      </c>
      <c r="CE463" s="621">
        <f t="shared" si="390"/>
        <v>4.1250000000000002E-2</v>
      </c>
      <c r="CF463" s="605">
        <f t="shared" si="391"/>
        <v>100</v>
      </c>
      <c r="CG463" s="621">
        <f t="shared" si="392"/>
        <v>5.1562499999999997E-2</v>
      </c>
      <c r="CH463" s="553">
        <f t="shared" si="393"/>
        <v>4.1250000000000002E-2</v>
      </c>
      <c r="CI463" s="552">
        <v>20</v>
      </c>
      <c r="CJ463" s="551">
        <f t="shared" ref="CJ463:CJ471" si="413">IF($M463="M",0.25,(IF($P463&gt;0,CI463/$P463," ")))</f>
        <v>0.25</v>
      </c>
      <c r="CK463" s="874">
        <v>0</v>
      </c>
      <c r="CL463" s="533">
        <f t="shared" si="380"/>
        <v>20</v>
      </c>
      <c r="CM463" s="619">
        <f t="shared" ref="CM463:CM471" si="414">+IF(M463="I",(+CK463),IF(M463="M",(+CK463)/4,))</f>
        <v>0</v>
      </c>
      <c r="CN463" s="619">
        <f t="shared" ref="CN463:CN471" si="415">IF(CI463=0,0,+CK463*100/CI463)</f>
        <v>0</v>
      </c>
      <c r="CO463" s="619">
        <f t="shared" si="394"/>
        <v>0</v>
      </c>
      <c r="CP463" s="619">
        <f t="shared" si="395"/>
        <v>0</v>
      </c>
      <c r="CQ463" s="619">
        <f t="shared" si="396"/>
        <v>0</v>
      </c>
      <c r="CR463" s="546">
        <v>363000000</v>
      </c>
      <c r="CS463" s="546">
        <v>197000000</v>
      </c>
      <c r="CT463" s="546">
        <v>0</v>
      </c>
      <c r="CU463" s="546">
        <v>0</v>
      </c>
      <c r="CV463" s="546">
        <v>0</v>
      </c>
      <c r="CW463" s="546">
        <v>0</v>
      </c>
      <c r="CX463" s="546">
        <v>0</v>
      </c>
      <c r="CY463" s="546">
        <v>166000000</v>
      </c>
      <c r="CZ463" s="618">
        <v>0</v>
      </c>
      <c r="DA463" s="618">
        <v>0</v>
      </c>
      <c r="DB463" s="618">
        <v>0</v>
      </c>
      <c r="DC463" s="618">
        <v>0</v>
      </c>
      <c r="DD463" s="618">
        <v>0</v>
      </c>
      <c r="DE463" s="618">
        <v>0</v>
      </c>
      <c r="DF463" s="618">
        <v>0</v>
      </c>
      <c r="DG463" s="618">
        <v>0</v>
      </c>
      <c r="DH463" s="618">
        <v>0</v>
      </c>
      <c r="DI463" s="618">
        <v>0</v>
      </c>
      <c r="DJ463" s="618">
        <v>0</v>
      </c>
      <c r="DK463" s="1034">
        <f t="shared" ref="DK463:DK471" si="416">+IF(M463="I",(+U463+AW463+CA463+CK463),IF(M463="M",(+U463+AW463+CA463+CK463)/4,))</f>
        <v>75</v>
      </c>
      <c r="DL463" s="543">
        <f t="shared" si="397"/>
        <v>0.16500000000000001</v>
      </c>
      <c r="DM463" s="542">
        <f t="shared" si="398"/>
        <v>93.75</v>
      </c>
      <c r="DN463" s="594">
        <f t="shared" si="399"/>
        <v>93.75</v>
      </c>
      <c r="DO463" s="540">
        <f t="shared" si="400"/>
        <v>0.15468750000000001</v>
      </c>
      <c r="DP463" s="597">
        <f>+IF(M463="M",DO463,0)</f>
        <v>0.15468750000000001</v>
      </c>
      <c r="DQ463" s="538">
        <f t="shared" si="401"/>
        <v>0.15468750000000001</v>
      </c>
      <c r="DR463" s="617">
        <f t="shared" si="402"/>
        <v>1</v>
      </c>
      <c r="DS463" s="616">
        <f t="shared" si="403"/>
        <v>0</v>
      </c>
      <c r="DT463" s="259">
        <v>613</v>
      </c>
      <c r="DU463" s="260" t="s">
        <v>254</v>
      </c>
      <c r="DV463" s="259"/>
      <c r="DW463" s="260" t="s">
        <v>242</v>
      </c>
      <c r="DX463" s="259"/>
      <c r="DY463" s="259"/>
      <c r="DZ463" s="259"/>
      <c r="EA463" s="987"/>
      <c r="EB463" s="1041" t="s">
        <v>2764</v>
      </c>
      <c r="EC463" s="802">
        <v>363000000</v>
      </c>
      <c r="EE463" s="1047"/>
    </row>
    <row r="464" spans="4:135" s="534" customFormat="1" ht="63.75" hidden="1" x14ac:dyDescent="0.3">
      <c r="D464" s="783">
        <v>461</v>
      </c>
      <c r="E464" s="799">
        <v>532</v>
      </c>
      <c r="F464" s="574" t="s">
        <v>203</v>
      </c>
      <c r="G464" s="574" t="s">
        <v>24</v>
      </c>
      <c r="H464" s="574" t="s">
        <v>156</v>
      </c>
      <c r="I464" s="574" t="s">
        <v>1258</v>
      </c>
      <c r="J464" s="573" t="s">
        <v>1472</v>
      </c>
      <c r="K464" s="573" t="s">
        <v>1261</v>
      </c>
      <c r="L464" s="596" t="s">
        <v>2073</v>
      </c>
      <c r="M464" s="571" t="s">
        <v>2017</v>
      </c>
      <c r="N464" s="575">
        <v>317048</v>
      </c>
      <c r="O464" s="570">
        <f>+N464+P464</f>
        <v>692120</v>
      </c>
      <c r="P464" s="663">
        <v>375072</v>
      </c>
      <c r="Q464" s="631">
        <v>0.16500000000000001</v>
      </c>
      <c r="R464" s="580">
        <f t="shared" si="381"/>
        <v>4.1791975940619404E-2</v>
      </c>
      <c r="S464" s="657">
        <v>95000</v>
      </c>
      <c r="T464" s="575">
        <f t="shared" si="404"/>
        <v>0.25328470267042064</v>
      </c>
      <c r="U464" s="996">
        <v>85504</v>
      </c>
      <c r="V464" s="626">
        <f t="shared" si="405"/>
        <v>85504</v>
      </c>
      <c r="W464" s="594">
        <f t="shared" si="406"/>
        <v>90.004210526315788</v>
      </c>
      <c r="X464" s="594">
        <f t="shared" si="382"/>
        <v>90.004210526315788</v>
      </c>
      <c r="Y464" s="594">
        <f t="shared" si="364"/>
        <v>3.7614538008702333E-2</v>
      </c>
      <c r="Z464" s="594">
        <f t="shared" si="383"/>
        <v>90.004210526315788</v>
      </c>
      <c r="AA464" s="653">
        <v>52966000000</v>
      </c>
      <c r="AB464" s="653">
        <v>52966000000</v>
      </c>
      <c r="AC464" s="653">
        <v>0</v>
      </c>
      <c r="AD464" s="653">
        <v>0</v>
      </c>
      <c r="AE464" s="653">
        <v>0</v>
      </c>
      <c r="AF464" s="653">
        <v>0</v>
      </c>
      <c r="AG464" s="653">
        <v>0</v>
      </c>
      <c r="AH464" s="653">
        <v>0</v>
      </c>
      <c r="AI464" s="653">
        <v>96016278000</v>
      </c>
      <c r="AJ464" s="653">
        <v>96016278000</v>
      </c>
      <c r="AK464" s="653">
        <v>0</v>
      </c>
      <c r="AL464" s="653">
        <v>0</v>
      </c>
      <c r="AM464" s="653">
        <v>0</v>
      </c>
      <c r="AN464" s="653">
        <v>0</v>
      </c>
      <c r="AO464" s="653">
        <v>0</v>
      </c>
      <c r="AP464" s="653">
        <v>0</v>
      </c>
      <c r="AQ464" s="653">
        <v>0</v>
      </c>
      <c r="AR464" s="653">
        <v>0</v>
      </c>
      <c r="AS464" s="653">
        <v>0</v>
      </c>
      <c r="AT464" s="630">
        <f t="shared" si="384"/>
        <v>3.5224916815971334E-2</v>
      </c>
      <c r="AU464" s="571">
        <v>80072</v>
      </c>
      <c r="AV464" s="625">
        <f t="shared" si="407"/>
        <v>0.2134843443392202</v>
      </c>
      <c r="AW464" s="1003">
        <v>68686</v>
      </c>
      <c r="AX464" s="604">
        <f t="shared" si="408"/>
        <v>68686</v>
      </c>
      <c r="AY464" s="604">
        <f t="shared" si="409"/>
        <v>85.780297732041163</v>
      </c>
      <c r="AZ464" s="604">
        <f t="shared" si="385"/>
        <v>85.780297732041163</v>
      </c>
      <c r="BA464" s="592">
        <f t="shared" si="386"/>
        <v>3.0216038520604043E-2</v>
      </c>
      <c r="BB464" s="592">
        <f t="shared" si="387"/>
        <v>85.780297732041163</v>
      </c>
      <c r="BC464" s="591">
        <v>111956000000</v>
      </c>
      <c r="BD464" s="591">
        <v>0</v>
      </c>
      <c r="BE464" s="591">
        <v>111956000</v>
      </c>
      <c r="BF464" s="591">
        <v>0</v>
      </c>
      <c r="BG464" s="591">
        <v>0</v>
      </c>
      <c r="BH464" s="591">
        <v>0</v>
      </c>
      <c r="BI464" s="591">
        <v>0</v>
      </c>
      <c r="BJ464" s="591">
        <v>0</v>
      </c>
      <c r="BK464" s="624">
        <v>84119024438</v>
      </c>
      <c r="BL464" s="589">
        <v>84119024438</v>
      </c>
      <c r="BM464" s="589">
        <v>0</v>
      </c>
      <c r="BN464" s="589">
        <v>0</v>
      </c>
      <c r="BO464" s="589">
        <v>0</v>
      </c>
      <c r="BP464" s="589">
        <v>0</v>
      </c>
      <c r="BQ464" s="589">
        <v>0</v>
      </c>
      <c r="BR464" s="589">
        <v>0</v>
      </c>
      <c r="BS464" s="589">
        <v>0</v>
      </c>
      <c r="BT464" s="589">
        <v>0</v>
      </c>
      <c r="BU464" s="589">
        <v>0</v>
      </c>
      <c r="BV464" s="588">
        <f t="shared" si="388"/>
        <v>4.3991553621704635E-2</v>
      </c>
      <c r="BW464" s="662">
        <v>100000</v>
      </c>
      <c r="BX464" s="623">
        <f t="shared" si="410"/>
        <v>0.26661547649517958</v>
      </c>
      <c r="BY464" s="607">
        <v>25422</v>
      </c>
      <c r="BZ464" s="629">
        <v>25422</v>
      </c>
      <c r="CA464" s="1017">
        <v>64137</v>
      </c>
      <c r="CB464" s="557">
        <f t="shared" si="411"/>
        <v>64137</v>
      </c>
      <c r="CC464" s="557">
        <f t="shared" si="412"/>
        <v>64.137</v>
      </c>
      <c r="CD464" s="622">
        <f t="shared" si="389"/>
        <v>64.137</v>
      </c>
      <c r="CE464" s="621">
        <f t="shared" si="390"/>
        <v>2.8214862746352702E-2</v>
      </c>
      <c r="CF464" s="605">
        <f t="shared" si="391"/>
        <v>64.137</v>
      </c>
      <c r="CG464" s="621">
        <f t="shared" si="392"/>
        <v>2.8214862746352702E-2</v>
      </c>
      <c r="CH464" s="553">
        <f t="shared" si="393"/>
        <v>4.3991553621704635E-2</v>
      </c>
      <c r="CI464" s="552">
        <v>100000</v>
      </c>
      <c r="CJ464" s="551">
        <f t="shared" si="413"/>
        <v>0.26661547649517958</v>
      </c>
      <c r="CK464" s="874">
        <v>0</v>
      </c>
      <c r="CL464" s="533">
        <f t="shared" si="380"/>
        <v>100000</v>
      </c>
      <c r="CM464" s="619">
        <f t="shared" si="414"/>
        <v>0</v>
      </c>
      <c r="CN464" s="619">
        <f t="shared" si="415"/>
        <v>0</v>
      </c>
      <c r="CO464" s="549">
        <f t="shared" si="394"/>
        <v>0</v>
      </c>
      <c r="CP464" s="619">
        <f t="shared" si="395"/>
        <v>0</v>
      </c>
      <c r="CQ464" s="619">
        <f t="shared" si="396"/>
        <v>0</v>
      </c>
      <c r="CR464" s="546">
        <v>146738000000</v>
      </c>
      <c r="CS464" s="546">
        <v>146738000</v>
      </c>
      <c r="CT464" s="546">
        <v>0</v>
      </c>
      <c r="CU464" s="546">
        <v>0</v>
      </c>
      <c r="CV464" s="546">
        <v>0</v>
      </c>
      <c r="CW464" s="546">
        <v>0</v>
      </c>
      <c r="CX464" s="546">
        <v>0</v>
      </c>
      <c r="CY464" s="546">
        <v>0</v>
      </c>
      <c r="CZ464" s="618">
        <v>0</v>
      </c>
      <c r="DA464" s="618">
        <v>0</v>
      </c>
      <c r="DB464" s="618">
        <v>0</v>
      </c>
      <c r="DC464" s="618">
        <v>0</v>
      </c>
      <c r="DD464" s="618">
        <v>0</v>
      </c>
      <c r="DE464" s="618">
        <v>0</v>
      </c>
      <c r="DF464" s="618">
        <v>0</v>
      </c>
      <c r="DG464" s="618">
        <v>0</v>
      </c>
      <c r="DH464" s="618">
        <v>0</v>
      </c>
      <c r="DI464" s="618">
        <v>0</v>
      </c>
      <c r="DJ464" s="618">
        <v>0</v>
      </c>
      <c r="DK464" s="1034">
        <f t="shared" si="416"/>
        <v>218327</v>
      </c>
      <c r="DL464" s="543">
        <f t="shared" si="397"/>
        <v>0.16500000000000001</v>
      </c>
      <c r="DM464" s="542">
        <f t="shared" si="398"/>
        <v>58.209357136763074</v>
      </c>
      <c r="DN464" s="594">
        <f t="shared" si="399"/>
        <v>58.209357136763074</v>
      </c>
      <c r="DO464" s="540">
        <f t="shared" si="400"/>
        <v>9.6045439275659075E-2</v>
      </c>
      <c r="DP464" s="597">
        <f>+IF(((DN464*Q464)/100)&lt;Q464, ((DN464*Q464)/100),Q464)</f>
        <v>9.6045439275659075E-2</v>
      </c>
      <c r="DQ464" s="538">
        <f t="shared" si="401"/>
        <v>9.6045439275659075E-2</v>
      </c>
      <c r="DR464" s="661">
        <f t="shared" si="402"/>
        <v>1</v>
      </c>
      <c r="DS464" s="616">
        <f t="shared" si="403"/>
        <v>0</v>
      </c>
      <c r="DT464" s="259">
        <v>613</v>
      </c>
      <c r="DU464" s="260" t="s">
        <v>254</v>
      </c>
      <c r="DV464" s="259"/>
      <c r="DW464" s="260" t="s">
        <v>242</v>
      </c>
      <c r="DX464" s="259"/>
      <c r="DY464" s="259"/>
      <c r="DZ464" s="259"/>
      <c r="EA464" s="987"/>
      <c r="EB464" s="1041" t="s">
        <v>2765</v>
      </c>
      <c r="EC464" s="802">
        <v>126778000000</v>
      </c>
      <c r="EE464" s="1047"/>
    </row>
    <row r="465" spans="4:135" s="534" customFormat="1" ht="51" hidden="1" x14ac:dyDescent="0.3">
      <c r="D465" s="783">
        <v>462</v>
      </c>
      <c r="E465" s="799">
        <v>533</v>
      </c>
      <c r="F465" s="739" t="s">
        <v>203</v>
      </c>
      <c r="G465" s="739" t="s">
        <v>24</v>
      </c>
      <c r="H465" s="739" t="s">
        <v>156</v>
      </c>
      <c r="I465" s="676" t="s">
        <v>1258</v>
      </c>
      <c r="J465" s="573" t="s">
        <v>1262</v>
      </c>
      <c r="K465" s="573" t="s">
        <v>1263</v>
      </c>
      <c r="L465" s="660" t="s">
        <v>1724</v>
      </c>
      <c r="M465" s="571" t="s">
        <v>2032</v>
      </c>
      <c r="N465" s="575">
        <v>0</v>
      </c>
      <c r="O465" s="570">
        <f>+P465</f>
        <v>50</v>
      </c>
      <c r="P465" s="569">
        <v>50</v>
      </c>
      <c r="Q465" s="628">
        <v>0.16500000000000001</v>
      </c>
      <c r="R465" s="580">
        <f t="shared" si="381"/>
        <v>4.1250000000000002E-2</v>
      </c>
      <c r="S465" s="657">
        <v>50</v>
      </c>
      <c r="T465" s="575">
        <f t="shared" si="404"/>
        <v>0.25</v>
      </c>
      <c r="U465" s="996">
        <v>100</v>
      </c>
      <c r="V465" s="626">
        <f t="shared" si="405"/>
        <v>25</v>
      </c>
      <c r="W465" s="594">
        <f t="shared" si="406"/>
        <v>200</v>
      </c>
      <c r="X465" s="594">
        <f t="shared" si="382"/>
        <v>100</v>
      </c>
      <c r="Y465" s="594">
        <f t="shared" si="364"/>
        <v>4.1250000000000002E-2</v>
      </c>
      <c r="Z465" s="594">
        <f t="shared" si="383"/>
        <v>100</v>
      </c>
      <c r="AA465" s="653">
        <v>3062000000</v>
      </c>
      <c r="AB465" s="653">
        <v>3062000000</v>
      </c>
      <c r="AC465" s="653">
        <v>0</v>
      </c>
      <c r="AD465" s="653">
        <v>0</v>
      </c>
      <c r="AE465" s="653">
        <v>0</v>
      </c>
      <c r="AF465" s="653">
        <v>0</v>
      </c>
      <c r="AG465" s="653">
        <v>0</v>
      </c>
      <c r="AH465" s="653">
        <v>0</v>
      </c>
      <c r="AI465" s="653">
        <v>5146218000</v>
      </c>
      <c r="AJ465" s="653">
        <v>5146218000</v>
      </c>
      <c r="AK465" s="653">
        <v>0</v>
      </c>
      <c r="AL465" s="653">
        <v>0</v>
      </c>
      <c r="AM465" s="653">
        <v>0</v>
      </c>
      <c r="AN465" s="653">
        <v>0</v>
      </c>
      <c r="AO465" s="653">
        <v>0</v>
      </c>
      <c r="AP465" s="653">
        <v>0</v>
      </c>
      <c r="AQ465" s="653">
        <v>0</v>
      </c>
      <c r="AR465" s="653">
        <v>0</v>
      </c>
      <c r="AS465" s="653">
        <v>0</v>
      </c>
      <c r="AT465" s="570">
        <f t="shared" si="384"/>
        <v>4.1250000000000002E-2</v>
      </c>
      <c r="AU465" s="571">
        <v>50</v>
      </c>
      <c r="AV465" s="625">
        <f t="shared" si="407"/>
        <v>0.25</v>
      </c>
      <c r="AW465" s="1008">
        <v>100</v>
      </c>
      <c r="AX465" s="604">
        <f t="shared" si="408"/>
        <v>25</v>
      </c>
      <c r="AY465" s="604">
        <f t="shared" si="409"/>
        <v>200</v>
      </c>
      <c r="AZ465" s="604">
        <f t="shared" si="385"/>
        <v>100</v>
      </c>
      <c r="BA465" s="592">
        <f t="shared" si="386"/>
        <v>4.1250000000000002E-2</v>
      </c>
      <c r="BB465" s="592">
        <f t="shared" si="387"/>
        <v>100</v>
      </c>
      <c r="BC465" s="591">
        <v>3253000000</v>
      </c>
      <c r="BD465" s="591">
        <v>0</v>
      </c>
      <c r="BE465" s="591">
        <v>3253000000</v>
      </c>
      <c r="BF465" s="591">
        <v>0</v>
      </c>
      <c r="BG465" s="591">
        <v>0</v>
      </c>
      <c r="BH465" s="591">
        <v>0</v>
      </c>
      <c r="BI465" s="591">
        <v>0</v>
      </c>
      <c r="BJ465" s="591">
        <v>0</v>
      </c>
      <c r="BK465" s="624">
        <v>5029278219.9200001</v>
      </c>
      <c r="BL465" s="589">
        <v>5029278219.9200001</v>
      </c>
      <c r="BM465" s="589">
        <v>0</v>
      </c>
      <c r="BN465" s="589">
        <v>0</v>
      </c>
      <c r="BO465" s="589">
        <v>0</v>
      </c>
      <c r="BP465" s="589">
        <v>0</v>
      </c>
      <c r="BQ465" s="589">
        <v>0</v>
      </c>
      <c r="BR465" s="589">
        <v>0</v>
      </c>
      <c r="BS465" s="589">
        <v>0</v>
      </c>
      <c r="BT465" s="589">
        <v>0</v>
      </c>
      <c r="BU465" s="589">
        <v>0</v>
      </c>
      <c r="BV465" s="588">
        <f t="shared" si="388"/>
        <v>4.1250000000000002E-2</v>
      </c>
      <c r="BW465" s="588">
        <v>50</v>
      </c>
      <c r="BX465" s="623">
        <f t="shared" si="410"/>
        <v>0.25</v>
      </c>
      <c r="BY465" s="607">
        <v>15</v>
      </c>
      <c r="BZ465" s="629">
        <v>15</v>
      </c>
      <c r="CA465" s="1017">
        <v>100</v>
      </c>
      <c r="CB465" s="557">
        <f t="shared" si="411"/>
        <v>25</v>
      </c>
      <c r="CC465" s="557">
        <f t="shared" si="412"/>
        <v>200</v>
      </c>
      <c r="CD465" s="622">
        <f t="shared" si="389"/>
        <v>100</v>
      </c>
      <c r="CE465" s="621">
        <f t="shared" si="390"/>
        <v>4.1250000000000002E-2</v>
      </c>
      <c r="CF465" s="605">
        <f t="shared" si="391"/>
        <v>100</v>
      </c>
      <c r="CG465" s="621">
        <f t="shared" si="392"/>
        <v>8.2500000000000004E-2</v>
      </c>
      <c r="CH465" s="553">
        <f t="shared" si="393"/>
        <v>4.1250000000000002E-2</v>
      </c>
      <c r="CI465" s="552">
        <v>12.5</v>
      </c>
      <c r="CJ465" s="551">
        <f t="shared" si="413"/>
        <v>0.25</v>
      </c>
      <c r="CK465" s="874">
        <v>0</v>
      </c>
      <c r="CL465" s="533">
        <f t="shared" si="380"/>
        <v>12.5</v>
      </c>
      <c r="CM465" s="619">
        <f t="shared" si="414"/>
        <v>0</v>
      </c>
      <c r="CN465" s="619">
        <f t="shared" si="415"/>
        <v>0</v>
      </c>
      <c r="CO465" s="619">
        <f t="shared" si="394"/>
        <v>0</v>
      </c>
      <c r="CP465" s="619">
        <f t="shared" si="395"/>
        <v>0</v>
      </c>
      <c r="CQ465" s="619">
        <f t="shared" si="396"/>
        <v>0</v>
      </c>
      <c r="CR465" s="546">
        <v>4414000000</v>
      </c>
      <c r="CS465" s="546">
        <v>4414000000</v>
      </c>
      <c r="CT465" s="546">
        <v>0</v>
      </c>
      <c r="CU465" s="546">
        <v>0</v>
      </c>
      <c r="CV465" s="546">
        <v>0</v>
      </c>
      <c r="CW465" s="546">
        <v>0</v>
      </c>
      <c r="CX465" s="546">
        <v>0</v>
      </c>
      <c r="CY465" s="546">
        <v>0</v>
      </c>
      <c r="CZ465" s="618">
        <v>0</v>
      </c>
      <c r="DA465" s="618">
        <v>0</v>
      </c>
      <c r="DB465" s="618">
        <v>0</v>
      </c>
      <c r="DC465" s="618">
        <v>0</v>
      </c>
      <c r="DD465" s="618">
        <v>0</v>
      </c>
      <c r="DE465" s="618">
        <v>0</v>
      </c>
      <c r="DF465" s="618">
        <v>0</v>
      </c>
      <c r="DG465" s="618">
        <v>0</v>
      </c>
      <c r="DH465" s="618">
        <v>0</v>
      </c>
      <c r="DI465" s="618">
        <v>0</v>
      </c>
      <c r="DJ465" s="618">
        <v>0</v>
      </c>
      <c r="DK465" s="1034">
        <f t="shared" si="416"/>
        <v>75</v>
      </c>
      <c r="DL465" s="543">
        <f t="shared" si="397"/>
        <v>0.16500000000000001</v>
      </c>
      <c r="DM465" s="542">
        <f t="shared" si="398"/>
        <v>150</v>
      </c>
      <c r="DN465" s="594">
        <f t="shared" si="399"/>
        <v>100</v>
      </c>
      <c r="DO465" s="540">
        <f t="shared" si="400"/>
        <v>0.16500000000000001</v>
      </c>
      <c r="DP465" s="597">
        <f>+IF(M465="M",DO465,0)</f>
        <v>0.16500000000000001</v>
      </c>
      <c r="DQ465" s="538">
        <f t="shared" si="401"/>
        <v>0.16500000000000001</v>
      </c>
      <c r="DR465" s="617">
        <f t="shared" si="402"/>
        <v>1</v>
      </c>
      <c r="DS465" s="616">
        <f t="shared" si="403"/>
        <v>0</v>
      </c>
      <c r="DT465" s="259">
        <v>613</v>
      </c>
      <c r="DU465" s="260" t="s">
        <v>254</v>
      </c>
      <c r="DV465" s="259"/>
      <c r="DW465" s="260" t="s">
        <v>242</v>
      </c>
      <c r="DX465" s="259"/>
      <c r="DY465" s="259"/>
      <c r="DZ465" s="259"/>
      <c r="EA465" s="987"/>
      <c r="EB465" s="1041" t="s">
        <v>2766</v>
      </c>
      <c r="EC465" s="802">
        <v>3741000000</v>
      </c>
      <c r="EE465" s="1047"/>
    </row>
    <row r="466" spans="4:135" s="534" customFormat="1" ht="102" hidden="1" x14ac:dyDescent="0.3">
      <c r="D466" s="783">
        <v>463</v>
      </c>
      <c r="E466" s="799">
        <v>534</v>
      </c>
      <c r="F466" s="739" t="s">
        <v>203</v>
      </c>
      <c r="G466" s="739" t="s">
        <v>26</v>
      </c>
      <c r="H466" s="739" t="s">
        <v>156</v>
      </c>
      <c r="I466" s="676" t="s">
        <v>1258</v>
      </c>
      <c r="J466" s="573" t="s">
        <v>1264</v>
      </c>
      <c r="K466" s="573" t="s">
        <v>1265</v>
      </c>
      <c r="L466" s="596" t="s">
        <v>1724</v>
      </c>
      <c r="M466" s="571" t="s">
        <v>2032</v>
      </c>
      <c r="N466" s="575">
        <v>0</v>
      </c>
      <c r="O466" s="570">
        <f>+P466</f>
        <v>100</v>
      </c>
      <c r="P466" s="569">
        <v>100</v>
      </c>
      <c r="Q466" s="628">
        <v>0.16500000000000001</v>
      </c>
      <c r="R466" s="580">
        <f t="shared" si="381"/>
        <v>4.1250000000000002E-2</v>
      </c>
      <c r="S466" s="657">
        <v>100</v>
      </c>
      <c r="T466" s="575">
        <f t="shared" si="404"/>
        <v>0.25</v>
      </c>
      <c r="U466" s="996">
        <v>100</v>
      </c>
      <c r="V466" s="626">
        <f t="shared" si="405"/>
        <v>25</v>
      </c>
      <c r="W466" s="594">
        <f t="shared" si="406"/>
        <v>100</v>
      </c>
      <c r="X466" s="594">
        <f t="shared" si="382"/>
        <v>100</v>
      </c>
      <c r="Y466" s="594">
        <f t="shared" ref="Y466:Y529" si="417">+(X466*R466)/100</f>
        <v>4.1250000000000002E-2</v>
      </c>
      <c r="Z466" s="594">
        <f t="shared" si="383"/>
        <v>100</v>
      </c>
      <c r="AA466" s="653">
        <v>80000000</v>
      </c>
      <c r="AB466" s="653">
        <v>80000000</v>
      </c>
      <c r="AC466" s="653">
        <v>0</v>
      </c>
      <c r="AD466" s="653">
        <v>0</v>
      </c>
      <c r="AE466" s="653">
        <v>0</v>
      </c>
      <c r="AF466" s="653">
        <v>0</v>
      </c>
      <c r="AG466" s="653">
        <v>0</v>
      </c>
      <c r="AH466" s="653">
        <v>0</v>
      </c>
      <c r="AI466" s="653">
        <v>10498000</v>
      </c>
      <c r="AJ466" s="653">
        <v>10498000</v>
      </c>
      <c r="AK466" s="653">
        <v>0</v>
      </c>
      <c r="AL466" s="653">
        <v>0</v>
      </c>
      <c r="AM466" s="653">
        <v>0</v>
      </c>
      <c r="AN466" s="653">
        <v>0</v>
      </c>
      <c r="AO466" s="653">
        <v>0</v>
      </c>
      <c r="AP466" s="653">
        <v>0</v>
      </c>
      <c r="AQ466" s="653">
        <v>0</v>
      </c>
      <c r="AR466" s="653">
        <v>0</v>
      </c>
      <c r="AS466" s="653">
        <v>0</v>
      </c>
      <c r="AT466" s="570">
        <f t="shared" si="384"/>
        <v>4.1250000000000002E-2</v>
      </c>
      <c r="AU466" s="571">
        <v>100</v>
      </c>
      <c r="AV466" s="625">
        <f t="shared" si="407"/>
        <v>0.25</v>
      </c>
      <c r="AW466" s="1003">
        <v>100</v>
      </c>
      <c r="AX466" s="604">
        <f t="shared" si="408"/>
        <v>25</v>
      </c>
      <c r="AY466" s="604">
        <f t="shared" si="409"/>
        <v>100</v>
      </c>
      <c r="AZ466" s="604">
        <f t="shared" si="385"/>
        <v>100</v>
      </c>
      <c r="BA466" s="592">
        <f t="shared" si="386"/>
        <v>4.1250000000000002E-2</v>
      </c>
      <c r="BB466" s="592">
        <f t="shared" si="387"/>
        <v>100</v>
      </c>
      <c r="BC466" s="591">
        <v>65000000</v>
      </c>
      <c r="BD466" s="591">
        <v>0</v>
      </c>
      <c r="BE466" s="591">
        <v>62000000</v>
      </c>
      <c r="BF466" s="591">
        <v>0</v>
      </c>
      <c r="BG466" s="591">
        <v>0</v>
      </c>
      <c r="BH466" s="591">
        <v>0</v>
      </c>
      <c r="BI466" s="591">
        <v>0</v>
      </c>
      <c r="BJ466" s="591">
        <v>3000000</v>
      </c>
      <c r="BK466" s="624">
        <v>0</v>
      </c>
      <c r="BL466" s="589">
        <v>0</v>
      </c>
      <c r="BM466" s="589">
        <v>0</v>
      </c>
      <c r="BN466" s="589">
        <v>0</v>
      </c>
      <c r="BO466" s="589">
        <v>0</v>
      </c>
      <c r="BP466" s="589">
        <v>0</v>
      </c>
      <c r="BQ466" s="589">
        <v>0</v>
      </c>
      <c r="BR466" s="589">
        <v>0</v>
      </c>
      <c r="BS466" s="589">
        <v>0</v>
      </c>
      <c r="BT466" s="589">
        <v>0</v>
      </c>
      <c r="BU466" s="589">
        <v>0</v>
      </c>
      <c r="BV466" s="588">
        <f t="shared" si="388"/>
        <v>4.1250000000000002E-2</v>
      </c>
      <c r="BW466" s="588">
        <v>100</v>
      </c>
      <c r="BX466" s="623">
        <f t="shared" si="410"/>
        <v>0.25</v>
      </c>
      <c r="BY466" s="587">
        <v>11.380000114440918</v>
      </c>
      <c r="BZ466" s="645">
        <v>11.380000114440918</v>
      </c>
      <c r="CA466" s="1017">
        <v>100</v>
      </c>
      <c r="CB466" s="557">
        <f t="shared" si="411"/>
        <v>25</v>
      </c>
      <c r="CC466" s="557">
        <f t="shared" si="412"/>
        <v>100</v>
      </c>
      <c r="CD466" s="622">
        <f t="shared" si="389"/>
        <v>100</v>
      </c>
      <c r="CE466" s="621">
        <f t="shared" si="390"/>
        <v>4.1250000000000002E-2</v>
      </c>
      <c r="CF466" s="605">
        <f t="shared" si="391"/>
        <v>100</v>
      </c>
      <c r="CG466" s="621">
        <f t="shared" si="392"/>
        <v>4.1250000000000002E-2</v>
      </c>
      <c r="CH466" s="553">
        <f t="shared" si="393"/>
        <v>4.1250000000000002E-2</v>
      </c>
      <c r="CI466" s="552">
        <v>20</v>
      </c>
      <c r="CJ466" s="551">
        <f t="shared" si="413"/>
        <v>0.25</v>
      </c>
      <c r="CK466" s="874">
        <v>34</v>
      </c>
      <c r="CL466" s="533">
        <f t="shared" si="380"/>
        <v>-14</v>
      </c>
      <c r="CM466" s="619">
        <f t="shared" si="414"/>
        <v>8.5</v>
      </c>
      <c r="CN466" s="619">
        <f t="shared" si="415"/>
        <v>170</v>
      </c>
      <c r="CO466" s="619">
        <f t="shared" si="394"/>
        <v>100</v>
      </c>
      <c r="CP466" s="619">
        <f t="shared" si="395"/>
        <v>4.1250000000000002E-2</v>
      </c>
      <c r="CQ466" s="619">
        <f t="shared" si="396"/>
        <v>7.0125000000000007E-2</v>
      </c>
      <c r="CR466" s="546">
        <v>148000000</v>
      </c>
      <c r="CS466" s="546">
        <v>143000000</v>
      </c>
      <c r="CT466" s="546">
        <v>0</v>
      </c>
      <c r="CU466" s="546">
        <v>0</v>
      </c>
      <c r="CV466" s="546">
        <v>0</v>
      </c>
      <c r="CW466" s="546">
        <v>0</v>
      </c>
      <c r="CX466" s="546">
        <v>0</v>
      </c>
      <c r="CY466" s="546">
        <v>5000000</v>
      </c>
      <c r="CZ466" s="618">
        <v>0</v>
      </c>
      <c r="DA466" s="618">
        <v>0</v>
      </c>
      <c r="DB466" s="618">
        <v>0</v>
      </c>
      <c r="DC466" s="618">
        <v>0</v>
      </c>
      <c r="DD466" s="618">
        <v>0</v>
      </c>
      <c r="DE466" s="618">
        <v>0</v>
      </c>
      <c r="DF466" s="618">
        <v>0</v>
      </c>
      <c r="DG466" s="618">
        <v>0</v>
      </c>
      <c r="DH466" s="618">
        <v>0</v>
      </c>
      <c r="DI466" s="618">
        <v>0</v>
      </c>
      <c r="DJ466" s="618">
        <v>0</v>
      </c>
      <c r="DK466" s="1034">
        <f t="shared" si="416"/>
        <v>83.5</v>
      </c>
      <c r="DL466" s="543">
        <f t="shared" si="397"/>
        <v>0.16500000000000001</v>
      </c>
      <c r="DM466" s="542">
        <f t="shared" si="398"/>
        <v>83.5</v>
      </c>
      <c r="DN466" s="594">
        <f t="shared" si="399"/>
        <v>83.5</v>
      </c>
      <c r="DO466" s="540">
        <f t="shared" si="400"/>
        <v>0.13777500000000001</v>
      </c>
      <c r="DP466" s="597">
        <f>+IF(M466="M",DO466,0)</f>
        <v>0.13777500000000001</v>
      </c>
      <c r="DQ466" s="538">
        <f t="shared" si="401"/>
        <v>0.13777500000000001</v>
      </c>
      <c r="DR466" s="617">
        <f t="shared" si="402"/>
        <v>1</v>
      </c>
      <c r="DS466" s="616">
        <f t="shared" si="403"/>
        <v>0</v>
      </c>
      <c r="DT466" s="259">
        <v>613</v>
      </c>
      <c r="DU466" s="260" t="s">
        <v>254</v>
      </c>
      <c r="DV466" s="259"/>
      <c r="DW466" s="260" t="s">
        <v>242</v>
      </c>
      <c r="DX466" s="259"/>
      <c r="DY466" s="259"/>
      <c r="DZ466" s="259"/>
      <c r="EA466" s="987"/>
      <c r="EB466" s="1041" t="s">
        <v>2767</v>
      </c>
      <c r="EC466" s="802">
        <v>146000000</v>
      </c>
      <c r="EE466" s="1047"/>
    </row>
    <row r="467" spans="4:135" s="534" customFormat="1" ht="114.75" hidden="1" x14ac:dyDescent="0.3">
      <c r="D467" s="783">
        <v>464</v>
      </c>
      <c r="E467" s="799">
        <v>535</v>
      </c>
      <c r="F467" s="574" t="s">
        <v>203</v>
      </c>
      <c r="G467" s="574" t="s">
        <v>26</v>
      </c>
      <c r="H467" s="574" t="s">
        <v>156</v>
      </c>
      <c r="I467" s="574" t="s">
        <v>1258</v>
      </c>
      <c r="J467" s="573" t="s">
        <v>1266</v>
      </c>
      <c r="K467" s="573" t="s">
        <v>1267</v>
      </c>
      <c r="L467" s="596" t="s">
        <v>1582</v>
      </c>
      <c r="M467" s="571" t="s">
        <v>2017</v>
      </c>
      <c r="N467" s="575">
        <v>0</v>
      </c>
      <c r="O467" s="570">
        <f>+N467+P467</f>
        <v>50</v>
      </c>
      <c r="P467" s="569">
        <v>50</v>
      </c>
      <c r="Q467" s="631">
        <v>0.16500000000000001</v>
      </c>
      <c r="R467" s="659">
        <f t="shared" si="381"/>
        <v>4.9500000000000002E-2</v>
      </c>
      <c r="S467" s="627">
        <v>15</v>
      </c>
      <c r="T467" s="625">
        <f t="shared" si="404"/>
        <v>0.3</v>
      </c>
      <c r="U467" s="996">
        <v>15</v>
      </c>
      <c r="V467" s="626">
        <f t="shared" si="405"/>
        <v>15</v>
      </c>
      <c r="W467" s="594">
        <f t="shared" si="406"/>
        <v>100</v>
      </c>
      <c r="X467" s="594">
        <f t="shared" si="382"/>
        <v>100</v>
      </c>
      <c r="Y467" s="594">
        <f t="shared" si="417"/>
        <v>4.9500000000000002E-2</v>
      </c>
      <c r="Z467" s="594">
        <f t="shared" si="383"/>
        <v>100</v>
      </c>
      <c r="AA467" s="653">
        <v>0</v>
      </c>
      <c r="AB467" s="653">
        <v>0</v>
      </c>
      <c r="AC467" s="653">
        <v>0</v>
      </c>
      <c r="AD467" s="653">
        <v>0</v>
      </c>
      <c r="AE467" s="653">
        <v>0</v>
      </c>
      <c r="AF467" s="653">
        <v>0</v>
      </c>
      <c r="AG467" s="653">
        <v>0</v>
      </c>
      <c r="AH467" s="653">
        <v>0</v>
      </c>
      <c r="AI467" s="653">
        <v>53036000</v>
      </c>
      <c r="AJ467" s="653">
        <v>53036000</v>
      </c>
      <c r="AK467" s="653">
        <v>0</v>
      </c>
      <c r="AL467" s="653">
        <v>0</v>
      </c>
      <c r="AM467" s="653">
        <v>0</v>
      </c>
      <c r="AN467" s="653">
        <v>0</v>
      </c>
      <c r="AO467" s="653">
        <v>0</v>
      </c>
      <c r="AP467" s="653">
        <v>0</v>
      </c>
      <c r="AQ467" s="653">
        <v>0</v>
      </c>
      <c r="AR467" s="653">
        <v>0</v>
      </c>
      <c r="AS467" s="653">
        <v>0</v>
      </c>
      <c r="AT467" s="630">
        <f t="shared" si="384"/>
        <v>3.3000000000000002E-2</v>
      </c>
      <c r="AU467" s="571">
        <v>10</v>
      </c>
      <c r="AV467" s="625">
        <f t="shared" si="407"/>
        <v>0.2</v>
      </c>
      <c r="AW467" s="1003">
        <v>35</v>
      </c>
      <c r="AX467" s="604">
        <f t="shared" si="408"/>
        <v>35</v>
      </c>
      <c r="AY467" s="604">
        <f t="shared" si="409"/>
        <v>350</v>
      </c>
      <c r="AZ467" s="604">
        <f t="shared" si="385"/>
        <v>100</v>
      </c>
      <c r="BA467" s="592">
        <f t="shared" si="386"/>
        <v>3.3000000000000002E-2</v>
      </c>
      <c r="BB467" s="592">
        <f t="shared" si="387"/>
        <v>100</v>
      </c>
      <c r="BC467" s="591">
        <v>50000000</v>
      </c>
      <c r="BD467" s="591">
        <v>0</v>
      </c>
      <c r="BE467" s="591">
        <v>50000000</v>
      </c>
      <c r="BF467" s="591">
        <v>0</v>
      </c>
      <c r="BG467" s="591">
        <v>0</v>
      </c>
      <c r="BH467" s="591">
        <v>0</v>
      </c>
      <c r="BI467" s="591">
        <v>0</v>
      </c>
      <c r="BJ467" s="591">
        <v>0</v>
      </c>
      <c r="BK467" s="624">
        <v>0</v>
      </c>
      <c r="BL467" s="589">
        <v>0</v>
      </c>
      <c r="BM467" s="589">
        <v>0</v>
      </c>
      <c r="BN467" s="589">
        <v>0</v>
      </c>
      <c r="BO467" s="589">
        <v>0</v>
      </c>
      <c r="BP467" s="589">
        <v>0</v>
      </c>
      <c r="BQ467" s="589">
        <v>0</v>
      </c>
      <c r="BR467" s="589">
        <v>0</v>
      </c>
      <c r="BS467" s="589">
        <v>0</v>
      </c>
      <c r="BT467" s="589">
        <v>0</v>
      </c>
      <c r="BU467" s="589">
        <v>0</v>
      </c>
      <c r="BV467" s="588">
        <f t="shared" si="388"/>
        <v>3.3000000000000002E-2</v>
      </c>
      <c r="BW467" s="588">
        <v>10</v>
      </c>
      <c r="BX467" s="623">
        <f t="shared" si="410"/>
        <v>0.2</v>
      </c>
      <c r="BY467" s="633">
        <v>0</v>
      </c>
      <c r="BZ467" s="641">
        <v>0</v>
      </c>
      <c r="CA467" s="1019">
        <v>35</v>
      </c>
      <c r="CB467" s="557">
        <f t="shared" si="411"/>
        <v>35</v>
      </c>
      <c r="CC467" s="557">
        <f t="shared" si="412"/>
        <v>350</v>
      </c>
      <c r="CD467" s="622">
        <f t="shared" si="389"/>
        <v>100</v>
      </c>
      <c r="CE467" s="621">
        <f t="shared" si="390"/>
        <v>3.3000000000000002E-2</v>
      </c>
      <c r="CF467" s="605">
        <f t="shared" si="391"/>
        <v>100</v>
      </c>
      <c r="CG467" s="621">
        <f t="shared" si="392"/>
        <v>0.11550000000000001</v>
      </c>
      <c r="CH467" s="553">
        <f t="shared" si="393"/>
        <v>4.9500000000000002E-2</v>
      </c>
      <c r="CI467" s="552">
        <v>15</v>
      </c>
      <c r="CJ467" s="551">
        <f t="shared" si="413"/>
        <v>0.3</v>
      </c>
      <c r="CK467" s="874">
        <v>30</v>
      </c>
      <c r="CL467" s="533">
        <f t="shared" si="380"/>
        <v>-15</v>
      </c>
      <c r="CM467" s="619">
        <f t="shared" si="414"/>
        <v>30</v>
      </c>
      <c r="CN467" s="619">
        <f t="shared" si="415"/>
        <v>200</v>
      </c>
      <c r="CO467" s="549">
        <f t="shared" si="394"/>
        <v>100</v>
      </c>
      <c r="CP467" s="619">
        <f t="shared" si="395"/>
        <v>4.9500000000000002E-2</v>
      </c>
      <c r="CQ467" s="619">
        <f t="shared" si="396"/>
        <v>9.9000000000000005E-2</v>
      </c>
      <c r="CR467" s="546">
        <v>0</v>
      </c>
      <c r="CS467" s="546">
        <v>0</v>
      </c>
      <c r="CT467" s="546">
        <v>0</v>
      </c>
      <c r="CU467" s="546">
        <v>0</v>
      </c>
      <c r="CV467" s="546">
        <v>0</v>
      </c>
      <c r="CW467" s="546">
        <v>0</v>
      </c>
      <c r="CX467" s="546">
        <v>0</v>
      </c>
      <c r="CY467" s="546">
        <v>0</v>
      </c>
      <c r="CZ467" s="618">
        <v>0</v>
      </c>
      <c r="DA467" s="618">
        <v>0</v>
      </c>
      <c r="DB467" s="618">
        <v>0</v>
      </c>
      <c r="DC467" s="618">
        <v>0</v>
      </c>
      <c r="DD467" s="618">
        <v>0</v>
      </c>
      <c r="DE467" s="618">
        <v>0</v>
      </c>
      <c r="DF467" s="618">
        <v>0</v>
      </c>
      <c r="DG467" s="618">
        <v>0</v>
      </c>
      <c r="DH467" s="618">
        <v>0</v>
      </c>
      <c r="DI467" s="618">
        <v>0</v>
      </c>
      <c r="DJ467" s="618">
        <v>0</v>
      </c>
      <c r="DK467" s="1034">
        <f t="shared" si="416"/>
        <v>115</v>
      </c>
      <c r="DL467" s="543">
        <f t="shared" si="397"/>
        <v>0.16500000000000001</v>
      </c>
      <c r="DM467" s="542">
        <f t="shared" si="398"/>
        <v>230</v>
      </c>
      <c r="DN467" s="594">
        <f t="shared" si="399"/>
        <v>100</v>
      </c>
      <c r="DO467" s="540">
        <f t="shared" si="400"/>
        <v>0.16500000000000001</v>
      </c>
      <c r="DP467" s="597">
        <f t="shared" ref="DP467:DP511" si="418">+IF(((DN467*Q467)/100)&lt;Q467, ((DN467*Q467)/100),Q467)</f>
        <v>0.16500000000000001</v>
      </c>
      <c r="DQ467" s="538">
        <f t="shared" si="401"/>
        <v>0.16500000000000001</v>
      </c>
      <c r="DR467" s="617">
        <f t="shared" si="402"/>
        <v>1</v>
      </c>
      <c r="DS467" s="616">
        <f t="shared" si="403"/>
        <v>0</v>
      </c>
      <c r="DT467" s="259">
        <v>613</v>
      </c>
      <c r="DU467" s="260" t="s">
        <v>254</v>
      </c>
      <c r="DV467" s="259"/>
      <c r="DW467" s="260" t="s">
        <v>242</v>
      </c>
      <c r="DX467" s="259"/>
      <c r="DY467" s="259"/>
      <c r="DZ467" s="259"/>
      <c r="EA467" s="987"/>
      <c r="EB467" s="1041" t="s">
        <v>2768</v>
      </c>
      <c r="EC467" s="802">
        <v>150000000</v>
      </c>
      <c r="EE467" s="1047"/>
    </row>
    <row r="468" spans="4:135" s="534" customFormat="1" ht="51" hidden="1" x14ac:dyDescent="0.3">
      <c r="D468" s="783">
        <v>465</v>
      </c>
      <c r="E468" s="799">
        <v>536</v>
      </c>
      <c r="F468" s="739" t="s">
        <v>203</v>
      </c>
      <c r="G468" s="739" t="s">
        <v>26</v>
      </c>
      <c r="H468" s="739" t="s">
        <v>156</v>
      </c>
      <c r="I468" s="676" t="s">
        <v>1258</v>
      </c>
      <c r="J468" s="573" t="s">
        <v>1268</v>
      </c>
      <c r="K468" s="573" t="s">
        <v>1269</v>
      </c>
      <c r="L468" s="596" t="s">
        <v>2049</v>
      </c>
      <c r="M468" s="571" t="s">
        <v>2017</v>
      </c>
      <c r="N468" s="571">
        <v>0</v>
      </c>
      <c r="O468" s="570">
        <f>+N468+P468</f>
        <v>1</v>
      </c>
      <c r="P468" s="569">
        <v>1</v>
      </c>
      <c r="Q468" s="628">
        <v>8.8999999999999996E-2</v>
      </c>
      <c r="R468" s="580">
        <f t="shared" si="381"/>
        <v>0</v>
      </c>
      <c r="S468" s="627">
        <v>0</v>
      </c>
      <c r="T468" s="575">
        <f t="shared" si="404"/>
        <v>0</v>
      </c>
      <c r="U468" s="992">
        <v>0</v>
      </c>
      <c r="V468" s="626">
        <f t="shared" si="405"/>
        <v>0</v>
      </c>
      <c r="W468" s="594">
        <f t="shared" si="406"/>
        <v>0</v>
      </c>
      <c r="X468" s="594">
        <f t="shared" si="382"/>
        <v>0</v>
      </c>
      <c r="Y468" s="594">
        <f t="shared" si="417"/>
        <v>0</v>
      </c>
      <c r="Z468" s="594">
        <f t="shared" si="383"/>
        <v>0</v>
      </c>
      <c r="AA468" s="593">
        <v>0</v>
      </c>
      <c r="AB468" s="593">
        <v>0</v>
      </c>
      <c r="AC468" s="593">
        <v>0</v>
      </c>
      <c r="AD468" s="593">
        <v>0</v>
      </c>
      <c r="AE468" s="593">
        <v>0</v>
      </c>
      <c r="AF468" s="593">
        <v>0</v>
      </c>
      <c r="AG468" s="593">
        <v>0</v>
      </c>
      <c r="AH468" s="593">
        <v>0</v>
      </c>
      <c r="AI468" s="593">
        <v>0</v>
      </c>
      <c r="AJ468" s="593">
        <v>0</v>
      </c>
      <c r="AK468" s="593">
        <v>0</v>
      </c>
      <c r="AL468" s="593">
        <v>0</v>
      </c>
      <c r="AM468" s="593">
        <v>0</v>
      </c>
      <c r="AN468" s="593">
        <v>0</v>
      </c>
      <c r="AO468" s="593">
        <v>0</v>
      </c>
      <c r="AP468" s="593">
        <v>0</v>
      </c>
      <c r="AQ468" s="593">
        <v>0</v>
      </c>
      <c r="AR468" s="593">
        <v>0</v>
      </c>
      <c r="AS468" s="593">
        <v>0</v>
      </c>
      <c r="AT468" s="570">
        <f t="shared" si="384"/>
        <v>0</v>
      </c>
      <c r="AU468" s="571">
        <v>0</v>
      </c>
      <c r="AV468" s="625">
        <f t="shared" si="407"/>
        <v>0</v>
      </c>
      <c r="AW468" s="1003">
        <v>0</v>
      </c>
      <c r="AX468" s="604">
        <f t="shared" si="408"/>
        <v>0</v>
      </c>
      <c r="AY468" s="604">
        <f t="shared" si="409"/>
        <v>0</v>
      </c>
      <c r="AZ468" s="604">
        <f t="shared" si="385"/>
        <v>0</v>
      </c>
      <c r="BA468" s="592">
        <f t="shared" si="386"/>
        <v>0</v>
      </c>
      <c r="BB468" s="592">
        <f t="shared" si="387"/>
        <v>0</v>
      </c>
      <c r="BC468" s="591">
        <v>0</v>
      </c>
      <c r="BD468" s="591">
        <v>0</v>
      </c>
      <c r="BE468" s="591">
        <v>0</v>
      </c>
      <c r="BF468" s="591">
        <v>0</v>
      </c>
      <c r="BG468" s="591">
        <v>0</v>
      </c>
      <c r="BH468" s="591">
        <v>0</v>
      </c>
      <c r="BI468" s="591">
        <v>0</v>
      </c>
      <c r="BJ468" s="591">
        <v>0</v>
      </c>
      <c r="BK468" s="624">
        <v>0</v>
      </c>
      <c r="BL468" s="589">
        <v>0</v>
      </c>
      <c r="BM468" s="589">
        <v>0</v>
      </c>
      <c r="BN468" s="589">
        <v>0</v>
      </c>
      <c r="BO468" s="589">
        <v>0</v>
      </c>
      <c r="BP468" s="589">
        <v>0</v>
      </c>
      <c r="BQ468" s="589">
        <v>0</v>
      </c>
      <c r="BR468" s="589">
        <v>0</v>
      </c>
      <c r="BS468" s="589">
        <v>0</v>
      </c>
      <c r="BT468" s="589">
        <v>0</v>
      </c>
      <c r="BU468" s="589">
        <v>0</v>
      </c>
      <c r="BV468" s="588">
        <f t="shared" si="388"/>
        <v>7.1199999999999999E-2</v>
      </c>
      <c r="BW468" s="588">
        <v>0.8</v>
      </c>
      <c r="BX468" s="623">
        <f t="shared" si="410"/>
        <v>0.8</v>
      </c>
      <c r="BY468" s="607">
        <v>0</v>
      </c>
      <c r="BZ468" s="629">
        <v>0.5</v>
      </c>
      <c r="CA468" s="1017">
        <v>0.8</v>
      </c>
      <c r="CB468" s="557">
        <f t="shared" si="411"/>
        <v>0.8</v>
      </c>
      <c r="CC468" s="557">
        <f t="shared" si="412"/>
        <v>100</v>
      </c>
      <c r="CD468" s="622">
        <f t="shared" si="389"/>
        <v>100</v>
      </c>
      <c r="CE468" s="621">
        <f t="shared" si="390"/>
        <v>7.1199999999999999E-2</v>
      </c>
      <c r="CF468" s="605">
        <f t="shared" si="391"/>
        <v>100</v>
      </c>
      <c r="CG468" s="621">
        <f t="shared" si="392"/>
        <v>7.1199999999999999E-2</v>
      </c>
      <c r="CH468" s="553">
        <f t="shared" si="393"/>
        <v>1.78E-2</v>
      </c>
      <c r="CI468" s="658">
        <v>0.2</v>
      </c>
      <c r="CJ468" s="551">
        <f t="shared" si="413"/>
        <v>0.2</v>
      </c>
      <c r="CK468" s="874">
        <v>0.1</v>
      </c>
      <c r="CL468" s="533">
        <f t="shared" si="380"/>
        <v>0.1</v>
      </c>
      <c r="CM468" s="619">
        <f t="shared" si="414"/>
        <v>0.1</v>
      </c>
      <c r="CN468" s="619">
        <f t="shared" si="415"/>
        <v>50</v>
      </c>
      <c r="CO468" s="549">
        <f t="shared" si="394"/>
        <v>50</v>
      </c>
      <c r="CP468" s="619">
        <f t="shared" si="395"/>
        <v>8.8999999999999999E-3</v>
      </c>
      <c r="CQ468" s="619">
        <f t="shared" si="396"/>
        <v>8.8999999999999999E-3</v>
      </c>
      <c r="CR468" s="546">
        <v>0</v>
      </c>
      <c r="CS468" s="546">
        <v>0</v>
      </c>
      <c r="CT468" s="546">
        <v>0</v>
      </c>
      <c r="CU468" s="546">
        <v>0</v>
      </c>
      <c r="CV468" s="546">
        <v>0</v>
      </c>
      <c r="CW468" s="546">
        <v>0</v>
      </c>
      <c r="CX468" s="546">
        <v>0</v>
      </c>
      <c r="CY468" s="546">
        <v>0</v>
      </c>
      <c r="CZ468" s="618">
        <v>0</v>
      </c>
      <c r="DA468" s="618">
        <v>0</v>
      </c>
      <c r="DB468" s="618">
        <v>0</v>
      </c>
      <c r="DC468" s="618">
        <v>0</v>
      </c>
      <c r="DD468" s="618">
        <v>0</v>
      </c>
      <c r="DE468" s="618">
        <v>0</v>
      </c>
      <c r="DF468" s="618">
        <v>0</v>
      </c>
      <c r="DG468" s="618">
        <v>0</v>
      </c>
      <c r="DH468" s="618">
        <v>0</v>
      </c>
      <c r="DI468" s="618">
        <v>0</v>
      </c>
      <c r="DJ468" s="618">
        <v>0</v>
      </c>
      <c r="DK468" s="1034">
        <f t="shared" si="416"/>
        <v>0.9</v>
      </c>
      <c r="DL468" s="543">
        <f t="shared" si="397"/>
        <v>8.8999999999999996E-2</v>
      </c>
      <c r="DM468" s="542">
        <f t="shared" si="398"/>
        <v>90</v>
      </c>
      <c r="DN468" s="594">
        <f t="shared" si="399"/>
        <v>90</v>
      </c>
      <c r="DO468" s="540">
        <f t="shared" si="400"/>
        <v>8.0100000000000005E-2</v>
      </c>
      <c r="DP468" s="597">
        <f t="shared" si="418"/>
        <v>8.0100000000000005E-2</v>
      </c>
      <c r="DQ468" s="538">
        <f t="shared" si="401"/>
        <v>8.0100000000000005E-2</v>
      </c>
      <c r="DR468" s="617">
        <f t="shared" si="402"/>
        <v>1</v>
      </c>
      <c r="DS468" s="616">
        <f t="shared" si="403"/>
        <v>0</v>
      </c>
      <c r="DT468" s="259">
        <v>614</v>
      </c>
      <c r="DU468" s="260" t="s">
        <v>253</v>
      </c>
      <c r="DV468" s="259"/>
      <c r="DW468" s="260" t="s">
        <v>242</v>
      </c>
      <c r="DX468" s="259"/>
      <c r="DY468" s="259"/>
      <c r="DZ468" s="259"/>
      <c r="EA468" s="987"/>
      <c r="EB468" s="1041" t="s">
        <v>2769</v>
      </c>
      <c r="EC468" s="802">
        <v>0</v>
      </c>
      <c r="EE468" s="1047"/>
    </row>
    <row r="469" spans="4:135" s="534" customFormat="1" ht="51" hidden="1" x14ac:dyDescent="0.3">
      <c r="D469" s="783">
        <v>466</v>
      </c>
      <c r="E469" s="799">
        <v>537</v>
      </c>
      <c r="F469" s="739" t="s">
        <v>203</v>
      </c>
      <c r="G469" s="739" t="s">
        <v>29</v>
      </c>
      <c r="H469" s="739" t="s">
        <v>156</v>
      </c>
      <c r="I469" s="676" t="s">
        <v>1270</v>
      </c>
      <c r="J469" s="573" t="s">
        <v>1271</v>
      </c>
      <c r="K469" s="573" t="s">
        <v>1272</v>
      </c>
      <c r="L469" s="596" t="s">
        <v>2072</v>
      </c>
      <c r="M469" s="571" t="s">
        <v>2017</v>
      </c>
      <c r="N469" s="575">
        <v>0</v>
      </c>
      <c r="O469" s="570">
        <f>+N469+P469</f>
        <v>4</v>
      </c>
      <c r="P469" s="569">
        <v>4</v>
      </c>
      <c r="Q469" s="628">
        <v>8.8999999999999996E-2</v>
      </c>
      <c r="R469" s="580">
        <f t="shared" si="381"/>
        <v>2.2249999999999999E-2</v>
      </c>
      <c r="S469" s="657">
        <v>1</v>
      </c>
      <c r="T469" s="575">
        <f t="shared" si="404"/>
        <v>0.25</v>
      </c>
      <c r="U469" s="996">
        <v>1</v>
      </c>
      <c r="V469" s="626">
        <f t="shared" si="405"/>
        <v>1</v>
      </c>
      <c r="W469" s="594">
        <f t="shared" si="406"/>
        <v>100</v>
      </c>
      <c r="X469" s="594">
        <f t="shared" si="382"/>
        <v>100</v>
      </c>
      <c r="Y469" s="594">
        <f t="shared" si="417"/>
        <v>2.2250000000000002E-2</v>
      </c>
      <c r="Z469" s="594">
        <f t="shared" si="383"/>
        <v>100</v>
      </c>
      <c r="AA469" s="653">
        <v>0</v>
      </c>
      <c r="AB469" s="653">
        <v>0</v>
      </c>
      <c r="AC469" s="653">
        <v>0</v>
      </c>
      <c r="AD469" s="653">
        <v>0</v>
      </c>
      <c r="AE469" s="653">
        <v>0</v>
      </c>
      <c r="AF469" s="653">
        <v>0</v>
      </c>
      <c r="AG469" s="653">
        <v>0</v>
      </c>
      <c r="AH469" s="653">
        <v>0</v>
      </c>
      <c r="AI469" s="653">
        <v>0</v>
      </c>
      <c r="AJ469" s="653">
        <v>0</v>
      </c>
      <c r="AK469" s="653">
        <v>0</v>
      </c>
      <c r="AL469" s="653">
        <v>0</v>
      </c>
      <c r="AM469" s="653">
        <v>0</v>
      </c>
      <c r="AN469" s="653">
        <v>0</v>
      </c>
      <c r="AO469" s="653">
        <v>0</v>
      </c>
      <c r="AP469" s="653">
        <v>0</v>
      </c>
      <c r="AQ469" s="653">
        <v>0</v>
      </c>
      <c r="AR469" s="653">
        <v>0</v>
      </c>
      <c r="AS469" s="653">
        <v>0</v>
      </c>
      <c r="AT469" s="570">
        <f t="shared" si="384"/>
        <v>2.2249999999999999E-2</v>
      </c>
      <c r="AU469" s="571">
        <v>1</v>
      </c>
      <c r="AV469" s="625">
        <f t="shared" si="407"/>
        <v>0.25</v>
      </c>
      <c r="AW469" s="1003">
        <v>1</v>
      </c>
      <c r="AX469" s="604">
        <f t="shared" si="408"/>
        <v>1</v>
      </c>
      <c r="AY469" s="604">
        <f t="shared" si="409"/>
        <v>100</v>
      </c>
      <c r="AZ469" s="604">
        <f t="shared" si="385"/>
        <v>100</v>
      </c>
      <c r="BA469" s="592">
        <f t="shared" si="386"/>
        <v>2.2250000000000002E-2</v>
      </c>
      <c r="BB469" s="592">
        <f t="shared" si="387"/>
        <v>100</v>
      </c>
      <c r="BC469" s="591">
        <v>0</v>
      </c>
      <c r="BD469" s="591">
        <v>0</v>
      </c>
      <c r="BE469" s="591">
        <v>0</v>
      </c>
      <c r="BF469" s="591">
        <v>0</v>
      </c>
      <c r="BG469" s="591">
        <v>0</v>
      </c>
      <c r="BH469" s="591">
        <v>0</v>
      </c>
      <c r="BI469" s="591">
        <v>0</v>
      </c>
      <c r="BJ469" s="591">
        <v>0</v>
      </c>
      <c r="BK469" s="624">
        <v>0</v>
      </c>
      <c r="BL469" s="589">
        <v>0</v>
      </c>
      <c r="BM469" s="589">
        <v>0</v>
      </c>
      <c r="BN469" s="589">
        <v>0</v>
      </c>
      <c r="BO469" s="589">
        <v>0</v>
      </c>
      <c r="BP469" s="589">
        <v>0</v>
      </c>
      <c r="BQ469" s="589">
        <v>0</v>
      </c>
      <c r="BR469" s="589">
        <v>0</v>
      </c>
      <c r="BS469" s="589">
        <v>0</v>
      </c>
      <c r="BT469" s="589">
        <v>0</v>
      </c>
      <c r="BU469" s="589">
        <v>0</v>
      </c>
      <c r="BV469" s="588">
        <f t="shared" si="388"/>
        <v>2.2249999999999999E-2</v>
      </c>
      <c r="BW469" s="588">
        <v>1</v>
      </c>
      <c r="BX469" s="623">
        <f t="shared" si="410"/>
        <v>0.25</v>
      </c>
      <c r="BY469" s="607">
        <v>0.5</v>
      </c>
      <c r="BZ469" s="629">
        <v>0.75</v>
      </c>
      <c r="CA469" s="1017">
        <v>1</v>
      </c>
      <c r="CB469" s="557">
        <f t="shared" si="411"/>
        <v>1</v>
      </c>
      <c r="CC469" s="557">
        <f t="shared" si="412"/>
        <v>100</v>
      </c>
      <c r="CD469" s="622">
        <f t="shared" si="389"/>
        <v>100</v>
      </c>
      <c r="CE469" s="621">
        <f t="shared" si="390"/>
        <v>2.2250000000000002E-2</v>
      </c>
      <c r="CF469" s="605">
        <f t="shared" si="391"/>
        <v>100</v>
      </c>
      <c r="CG469" s="621">
        <f t="shared" si="392"/>
        <v>2.2250000000000002E-2</v>
      </c>
      <c r="CH469" s="553">
        <f t="shared" si="393"/>
        <v>2.2249999999999999E-2</v>
      </c>
      <c r="CI469" s="552">
        <v>1</v>
      </c>
      <c r="CJ469" s="551">
        <f t="shared" si="413"/>
        <v>0.25</v>
      </c>
      <c r="CK469" s="875">
        <v>0</v>
      </c>
      <c r="CL469" s="533">
        <f t="shared" si="380"/>
        <v>1</v>
      </c>
      <c r="CM469" s="619">
        <f t="shared" si="414"/>
        <v>0</v>
      </c>
      <c r="CN469" s="619">
        <f t="shared" si="415"/>
        <v>0</v>
      </c>
      <c r="CO469" s="549">
        <f t="shared" si="394"/>
        <v>0</v>
      </c>
      <c r="CP469" s="619">
        <f t="shared" si="395"/>
        <v>0</v>
      </c>
      <c r="CQ469" s="619">
        <f t="shared" si="396"/>
        <v>0</v>
      </c>
      <c r="CR469" s="546">
        <v>0</v>
      </c>
      <c r="CS469" s="546">
        <v>0</v>
      </c>
      <c r="CT469" s="546">
        <v>0</v>
      </c>
      <c r="CU469" s="546">
        <v>0</v>
      </c>
      <c r="CV469" s="546">
        <v>0</v>
      </c>
      <c r="CW469" s="546">
        <v>0</v>
      </c>
      <c r="CX469" s="546">
        <v>0</v>
      </c>
      <c r="CY469" s="546">
        <v>0</v>
      </c>
      <c r="CZ469" s="618">
        <v>0</v>
      </c>
      <c r="DA469" s="618">
        <v>0</v>
      </c>
      <c r="DB469" s="618">
        <v>0</v>
      </c>
      <c r="DC469" s="618">
        <v>0</v>
      </c>
      <c r="DD469" s="618">
        <v>0</v>
      </c>
      <c r="DE469" s="618">
        <v>0</v>
      </c>
      <c r="DF469" s="618">
        <v>0</v>
      </c>
      <c r="DG469" s="618">
        <v>0</v>
      </c>
      <c r="DH469" s="618">
        <v>0</v>
      </c>
      <c r="DI469" s="618">
        <v>0</v>
      </c>
      <c r="DJ469" s="618">
        <v>0</v>
      </c>
      <c r="DK469" s="1034">
        <f t="shared" si="416"/>
        <v>3</v>
      </c>
      <c r="DL469" s="543">
        <f t="shared" si="397"/>
        <v>8.8999999999999996E-2</v>
      </c>
      <c r="DM469" s="542">
        <f t="shared" si="398"/>
        <v>75</v>
      </c>
      <c r="DN469" s="594">
        <f t="shared" si="399"/>
        <v>75</v>
      </c>
      <c r="DO469" s="540">
        <f t="shared" si="400"/>
        <v>6.6750000000000004E-2</v>
      </c>
      <c r="DP469" s="597">
        <f t="shared" si="418"/>
        <v>6.6750000000000004E-2</v>
      </c>
      <c r="DQ469" s="538">
        <f t="shared" si="401"/>
        <v>6.6750000000000004E-2</v>
      </c>
      <c r="DR469" s="617">
        <f t="shared" si="402"/>
        <v>1</v>
      </c>
      <c r="DS469" s="616">
        <f t="shared" si="403"/>
        <v>0</v>
      </c>
      <c r="DT469" s="259">
        <v>613</v>
      </c>
      <c r="DU469" s="260" t="s">
        <v>254</v>
      </c>
      <c r="DV469" s="259"/>
      <c r="DW469" s="260" t="s">
        <v>242</v>
      </c>
      <c r="DX469" s="259"/>
      <c r="DY469" s="259"/>
      <c r="DZ469" s="259"/>
      <c r="EA469" s="987"/>
      <c r="EB469" s="1041" t="s">
        <v>2770</v>
      </c>
      <c r="EC469" s="802">
        <v>0</v>
      </c>
      <c r="EE469" s="1047"/>
    </row>
    <row r="470" spans="4:135" s="534" customFormat="1" ht="89.25" hidden="1" x14ac:dyDescent="0.3">
      <c r="D470" s="783">
        <v>467</v>
      </c>
      <c r="E470" s="799">
        <v>538</v>
      </c>
      <c r="F470" s="739" t="s">
        <v>203</v>
      </c>
      <c r="G470" s="739" t="s">
        <v>19</v>
      </c>
      <c r="H470" s="739" t="s">
        <v>156</v>
      </c>
      <c r="I470" s="676" t="s">
        <v>1270</v>
      </c>
      <c r="J470" s="573" t="s">
        <v>1273</v>
      </c>
      <c r="K470" s="573" t="s">
        <v>1274</v>
      </c>
      <c r="L470" s="596" t="s">
        <v>2072</v>
      </c>
      <c r="M470" s="571" t="s">
        <v>2017</v>
      </c>
      <c r="N470" s="571">
        <v>0</v>
      </c>
      <c r="O470" s="570">
        <f>+N470+P470</f>
        <v>4</v>
      </c>
      <c r="P470" s="569">
        <v>4</v>
      </c>
      <c r="Q470" s="628">
        <v>8.8999999999999996E-2</v>
      </c>
      <c r="R470" s="580">
        <f t="shared" si="381"/>
        <v>2.2249999999999999E-2</v>
      </c>
      <c r="S470" s="627">
        <v>1</v>
      </c>
      <c r="T470" s="575">
        <f t="shared" si="404"/>
        <v>0.25</v>
      </c>
      <c r="U470" s="992">
        <v>1</v>
      </c>
      <c r="V470" s="626">
        <f t="shared" si="405"/>
        <v>1</v>
      </c>
      <c r="W470" s="594">
        <f t="shared" si="406"/>
        <v>100</v>
      </c>
      <c r="X470" s="594">
        <f t="shared" si="382"/>
        <v>100</v>
      </c>
      <c r="Y470" s="594">
        <f t="shared" si="417"/>
        <v>2.2250000000000002E-2</v>
      </c>
      <c r="Z470" s="594">
        <f t="shared" si="383"/>
        <v>100</v>
      </c>
      <c r="AA470" s="593">
        <v>0</v>
      </c>
      <c r="AB470" s="593">
        <v>0</v>
      </c>
      <c r="AC470" s="593">
        <v>0</v>
      </c>
      <c r="AD470" s="593">
        <v>0</v>
      </c>
      <c r="AE470" s="593">
        <v>0</v>
      </c>
      <c r="AF470" s="593">
        <v>0</v>
      </c>
      <c r="AG470" s="593">
        <v>0</v>
      </c>
      <c r="AH470" s="593">
        <v>0</v>
      </c>
      <c r="AI470" s="593">
        <v>0</v>
      </c>
      <c r="AJ470" s="593">
        <v>0</v>
      </c>
      <c r="AK470" s="593">
        <v>0</v>
      </c>
      <c r="AL470" s="593">
        <v>0</v>
      </c>
      <c r="AM470" s="593">
        <v>0</v>
      </c>
      <c r="AN470" s="593">
        <v>0</v>
      </c>
      <c r="AO470" s="593">
        <v>0</v>
      </c>
      <c r="AP470" s="593">
        <v>0</v>
      </c>
      <c r="AQ470" s="593">
        <v>0</v>
      </c>
      <c r="AR470" s="593">
        <v>0</v>
      </c>
      <c r="AS470" s="593">
        <v>0</v>
      </c>
      <c r="AT470" s="570">
        <f t="shared" si="384"/>
        <v>2.2249999999999999E-2</v>
      </c>
      <c r="AU470" s="571">
        <v>1</v>
      </c>
      <c r="AV470" s="625">
        <f t="shared" si="407"/>
        <v>0.25</v>
      </c>
      <c r="AW470" s="1003">
        <v>0.4</v>
      </c>
      <c r="AX470" s="604">
        <f t="shared" si="408"/>
        <v>0.4</v>
      </c>
      <c r="AY470" s="604">
        <f t="shared" si="409"/>
        <v>40</v>
      </c>
      <c r="AZ470" s="604">
        <f t="shared" si="385"/>
        <v>40</v>
      </c>
      <c r="BA470" s="592">
        <f t="shared" si="386"/>
        <v>8.8999999999999982E-3</v>
      </c>
      <c r="BB470" s="592">
        <f t="shared" si="387"/>
        <v>40</v>
      </c>
      <c r="BC470" s="591">
        <v>0</v>
      </c>
      <c r="BD470" s="591">
        <v>0</v>
      </c>
      <c r="BE470" s="591">
        <v>0</v>
      </c>
      <c r="BF470" s="591">
        <v>0</v>
      </c>
      <c r="BG470" s="591">
        <v>0</v>
      </c>
      <c r="BH470" s="591">
        <v>0</v>
      </c>
      <c r="BI470" s="591">
        <v>0</v>
      </c>
      <c r="BJ470" s="591">
        <v>0</v>
      </c>
      <c r="BK470" s="624">
        <v>0</v>
      </c>
      <c r="BL470" s="589">
        <v>0</v>
      </c>
      <c r="BM470" s="589">
        <v>0</v>
      </c>
      <c r="BN470" s="589">
        <v>0</v>
      </c>
      <c r="BO470" s="589">
        <v>0</v>
      </c>
      <c r="BP470" s="589">
        <v>0</v>
      </c>
      <c r="BQ470" s="589">
        <v>0</v>
      </c>
      <c r="BR470" s="589">
        <v>0</v>
      </c>
      <c r="BS470" s="589">
        <v>0</v>
      </c>
      <c r="BT470" s="589">
        <v>0</v>
      </c>
      <c r="BU470" s="589">
        <v>0</v>
      </c>
      <c r="BV470" s="588">
        <f t="shared" si="388"/>
        <v>2.2249999999999999E-2</v>
      </c>
      <c r="BW470" s="588">
        <v>1</v>
      </c>
      <c r="BX470" s="623">
        <f t="shared" si="410"/>
        <v>0.25</v>
      </c>
      <c r="BY470" s="587">
        <v>1</v>
      </c>
      <c r="BZ470" s="586">
        <v>1</v>
      </c>
      <c r="CA470" s="1021">
        <v>1</v>
      </c>
      <c r="CB470" s="557">
        <f t="shared" si="411"/>
        <v>1</v>
      </c>
      <c r="CC470" s="557">
        <f t="shared" si="412"/>
        <v>100</v>
      </c>
      <c r="CD470" s="622">
        <f t="shared" si="389"/>
        <v>100</v>
      </c>
      <c r="CE470" s="621">
        <f t="shared" si="390"/>
        <v>2.2250000000000002E-2</v>
      </c>
      <c r="CF470" s="605">
        <f t="shared" si="391"/>
        <v>100</v>
      </c>
      <c r="CG470" s="621">
        <f t="shared" si="392"/>
        <v>2.2250000000000002E-2</v>
      </c>
      <c r="CH470" s="553">
        <f t="shared" si="393"/>
        <v>2.2249999999999999E-2</v>
      </c>
      <c r="CI470" s="552">
        <v>1</v>
      </c>
      <c r="CJ470" s="551">
        <f t="shared" si="413"/>
        <v>0.25</v>
      </c>
      <c r="CK470" s="874">
        <v>0</v>
      </c>
      <c r="CL470" s="533">
        <f t="shared" si="380"/>
        <v>1</v>
      </c>
      <c r="CM470" s="619">
        <f t="shared" si="414"/>
        <v>0</v>
      </c>
      <c r="CN470" s="619">
        <f t="shared" si="415"/>
        <v>0</v>
      </c>
      <c r="CO470" s="549">
        <f t="shared" si="394"/>
        <v>0</v>
      </c>
      <c r="CP470" s="619">
        <f t="shared" si="395"/>
        <v>0</v>
      </c>
      <c r="CQ470" s="619">
        <f t="shared" si="396"/>
        <v>0</v>
      </c>
      <c r="CR470" s="546">
        <v>0</v>
      </c>
      <c r="CS470" s="546">
        <v>0</v>
      </c>
      <c r="CT470" s="546">
        <v>0</v>
      </c>
      <c r="CU470" s="546">
        <v>0</v>
      </c>
      <c r="CV470" s="546">
        <v>0</v>
      </c>
      <c r="CW470" s="546">
        <v>0</v>
      </c>
      <c r="CX470" s="546">
        <v>0</v>
      </c>
      <c r="CY470" s="546">
        <v>0</v>
      </c>
      <c r="CZ470" s="618">
        <v>0</v>
      </c>
      <c r="DA470" s="618">
        <v>0</v>
      </c>
      <c r="DB470" s="618">
        <v>0</v>
      </c>
      <c r="DC470" s="618">
        <v>0</v>
      </c>
      <c r="DD470" s="618">
        <v>0</v>
      </c>
      <c r="DE470" s="618">
        <v>0</v>
      </c>
      <c r="DF470" s="618">
        <v>0</v>
      </c>
      <c r="DG470" s="618">
        <v>0</v>
      </c>
      <c r="DH470" s="618">
        <v>0</v>
      </c>
      <c r="DI470" s="618">
        <v>0</v>
      </c>
      <c r="DJ470" s="618">
        <v>0</v>
      </c>
      <c r="DK470" s="1034">
        <f t="shared" si="416"/>
        <v>2.4</v>
      </c>
      <c r="DL470" s="543">
        <f t="shared" si="397"/>
        <v>8.8999999999999996E-2</v>
      </c>
      <c r="DM470" s="542">
        <f t="shared" si="398"/>
        <v>60</v>
      </c>
      <c r="DN470" s="594">
        <f t="shared" si="399"/>
        <v>60</v>
      </c>
      <c r="DO470" s="540">
        <f t="shared" si="400"/>
        <v>5.3399999999999996E-2</v>
      </c>
      <c r="DP470" s="597">
        <f t="shared" si="418"/>
        <v>5.3399999999999996E-2</v>
      </c>
      <c r="DQ470" s="538">
        <f t="shared" si="401"/>
        <v>5.3399999999999996E-2</v>
      </c>
      <c r="DR470" s="617">
        <f t="shared" si="402"/>
        <v>1</v>
      </c>
      <c r="DS470" s="616">
        <f t="shared" si="403"/>
        <v>0</v>
      </c>
      <c r="DT470" s="259">
        <v>614</v>
      </c>
      <c r="DU470" s="260" t="s">
        <v>253</v>
      </c>
      <c r="DV470" s="259">
        <v>615</v>
      </c>
      <c r="DW470" s="260" t="s">
        <v>252</v>
      </c>
      <c r="DX470" s="259">
        <v>619</v>
      </c>
      <c r="DY470" s="259"/>
      <c r="DZ470" s="259"/>
      <c r="EA470" s="987"/>
      <c r="EB470" s="1041" t="s">
        <v>2771</v>
      </c>
      <c r="EC470" s="802">
        <v>0</v>
      </c>
      <c r="EE470" s="1047"/>
    </row>
    <row r="471" spans="4:135" s="534" customFormat="1" ht="51" hidden="1" x14ac:dyDescent="0.3">
      <c r="D471" s="783">
        <v>468</v>
      </c>
      <c r="E471" s="799">
        <v>539</v>
      </c>
      <c r="F471" s="739" t="s">
        <v>203</v>
      </c>
      <c r="G471" s="739" t="s">
        <v>27</v>
      </c>
      <c r="H471" s="739" t="s">
        <v>156</v>
      </c>
      <c r="I471" s="676" t="s">
        <v>1270</v>
      </c>
      <c r="J471" s="573" t="s">
        <v>1275</v>
      </c>
      <c r="K471" s="573" t="s">
        <v>1276</v>
      </c>
      <c r="L471" s="596" t="s">
        <v>2071</v>
      </c>
      <c r="M471" s="571" t="s">
        <v>2017</v>
      </c>
      <c r="N471" s="571">
        <v>0</v>
      </c>
      <c r="O471" s="570">
        <f>+N471+P471</f>
        <v>1</v>
      </c>
      <c r="P471" s="569">
        <v>1</v>
      </c>
      <c r="Q471" s="628">
        <v>8.8999999999999996E-2</v>
      </c>
      <c r="R471" s="580">
        <f t="shared" si="381"/>
        <v>0</v>
      </c>
      <c r="S471" s="627">
        <v>0</v>
      </c>
      <c r="T471" s="575">
        <f t="shared" si="404"/>
        <v>0</v>
      </c>
      <c r="U471" s="992">
        <v>0</v>
      </c>
      <c r="V471" s="626">
        <f t="shared" si="405"/>
        <v>0</v>
      </c>
      <c r="W471" s="594">
        <f t="shared" si="406"/>
        <v>0</v>
      </c>
      <c r="X471" s="594">
        <f t="shared" si="382"/>
        <v>0</v>
      </c>
      <c r="Y471" s="594">
        <f t="shared" si="417"/>
        <v>0</v>
      </c>
      <c r="Z471" s="594">
        <f t="shared" si="383"/>
        <v>0</v>
      </c>
      <c r="AA471" s="593">
        <v>0</v>
      </c>
      <c r="AB471" s="593">
        <v>0</v>
      </c>
      <c r="AC471" s="593">
        <v>0</v>
      </c>
      <c r="AD471" s="593">
        <v>0</v>
      </c>
      <c r="AE471" s="593">
        <v>0</v>
      </c>
      <c r="AF471" s="593">
        <v>0</v>
      </c>
      <c r="AG471" s="593">
        <v>0</v>
      </c>
      <c r="AH471" s="593">
        <v>0</v>
      </c>
      <c r="AI471" s="593">
        <v>0</v>
      </c>
      <c r="AJ471" s="593">
        <v>0</v>
      </c>
      <c r="AK471" s="593">
        <v>0</v>
      </c>
      <c r="AL471" s="593">
        <v>0</v>
      </c>
      <c r="AM471" s="593">
        <v>0</v>
      </c>
      <c r="AN471" s="593">
        <v>0</v>
      </c>
      <c r="AO471" s="593">
        <v>0</v>
      </c>
      <c r="AP471" s="593">
        <v>0</v>
      </c>
      <c r="AQ471" s="593">
        <v>0</v>
      </c>
      <c r="AR471" s="593">
        <v>0</v>
      </c>
      <c r="AS471" s="593">
        <v>0</v>
      </c>
      <c r="AT471" s="570">
        <f t="shared" si="384"/>
        <v>0</v>
      </c>
      <c r="AU471" s="571">
        <v>0</v>
      </c>
      <c r="AV471" s="625">
        <f t="shared" si="407"/>
        <v>0</v>
      </c>
      <c r="AW471" s="1003">
        <v>0</v>
      </c>
      <c r="AX471" s="604">
        <f t="shared" si="408"/>
        <v>0</v>
      </c>
      <c r="AY471" s="604">
        <f t="shared" si="409"/>
        <v>0</v>
      </c>
      <c r="AZ471" s="604">
        <f t="shared" si="385"/>
        <v>0</v>
      </c>
      <c r="BA471" s="592">
        <f t="shared" si="386"/>
        <v>0</v>
      </c>
      <c r="BB471" s="592">
        <f t="shared" si="387"/>
        <v>0</v>
      </c>
      <c r="BC471" s="591">
        <v>0</v>
      </c>
      <c r="BD471" s="591">
        <v>0</v>
      </c>
      <c r="BE471" s="591">
        <v>0</v>
      </c>
      <c r="BF471" s="591">
        <v>0</v>
      </c>
      <c r="BG471" s="591">
        <v>0</v>
      </c>
      <c r="BH471" s="591">
        <v>0</v>
      </c>
      <c r="BI471" s="591">
        <v>0</v>
      </c>
      <c r="BJ471" s="591">
        <v>0</v>
      </c>
      <c r="BK471" s="624">
        <v>0</v>
      </c>
      <c r="BL471" s="589">
        <v>0</v>
      </c>
      <c r="BM471" s="589">
        <v>0</v>
      </c>
      <c r="BN471" s="589">
        <v>0</v>
      </c>
      <c r="BO471" s="589">
        <v>0</v>
      </c>
      <c r="BP471" s="589">
        <v>0</v>
      </c>
      <c r="BQ471" s="589">
        <v>0</v>
      </c>
      <c r="BR471" s="589">
        <v>0</v>
      </c>
      <c r="BS471" s="589">
        <v>0</v>
      </c>
      <c r="BT471" s="589">
        <v>0</v>
      </c>
      <c r="BU471" s="589">
        <v>0</v>
      </c>
      <c r="BV471" s="588">
        <f t="shared" si="388"/>
        <v>8.8999999999999996E-2</v>
      </c>
      <c r="BW471" s="588">
        <v>1</v>
      </c>
      <c r="BX471" s="623">
        <f t="shared" si="410"/>
        <v>1</v>
      </c>
      <c r="BY471" s="640">
        <v>0</v>
      </c>
      <c r="BZ471" s="656">
        <v>0</v>
      </c>
      <c r="CA471" s="1019">
        <v>0</v>
      </c>
      <c r="CB471" s="557">
        <f t="shared" si="411"/>
        <v>0</v>
      </c>
      <c r="CC471" s="557">
        <f t="shared" si="412"/>
        <v>0</v>
      </c>
      <c r="CD471" s="622">
        <f t="shared" si="389"/>
        <v>0</v>
      </c>
      <c r="CE471" s="621">
        <f t="shared" si="390"/>
        <v>0</v>
      </c>
      <c r="CF471" s="605">
        <f t="shared" si="391"/>
        <v>0</v>
      </c>
      <c r="CG471" s="621">
        <f t="shared" si="392"/>
        <v>0</v>
      </c>
      <c r="CH471" s="553">
        <f t="shared" si="393"/>
        <v>0</v>
      </c>
      <c r="CI471" s="552">
        <v>0</v>
      </c>
      <c r="CJ471" s="551">
        <f t="shared" si="413"/>
        <v>0</v>
      </c>
      <c r="CK471" s="875">
        <v>0</v>
      </c>
      <c r="CL471" s="533">
        <f t="shared" si="380"/>
        <v>0</v>
      </c>
      <c r="CM471" s="619">
        <f t="shared" si="414"/>
        <v>0</v>
      </c>
      <c r="CN471" s="619">
        <f t="shared" si="415"/>
        <v>0</v>
      </c>
      <c r="CO471" s="549">
        <f t="shared" si="394"/>
        <v>0</v>
      </c>
      <c r="CP471" s="619">
        <f t="shared" si="395"/>
        <v>0</v>
      </c>
      <c r="CQ471" s="619">
        <f t="shared" si="396"/>
        <v>0</v>
      </c>
      <c r="CR471" s="546">
        <v>0</v>
      </c>
      <c r="CS471" s="546">
        <v>0</v>
      </c>
      <c r="CT471" s="546">
        <v>0</v>
      </c>
      <c r="CU471" s="546">
        <v>0</v>
      </c>
      <c r="CV471" s="546">
        <v>0</v>
      </c>
      <c r="CW471" s="546">
        <v>0</v>
      </c>
      <c r="CX471" s="546">
        <v>0</v>
      </c>
      <c r="CY471" s="546">
        <v>0</v>
      </c>
      <c r="CZ471" s="618">
        <v>0</v>
      </c>
      <c r="DA471" s="618">
        <v>0</v>
      </c>
      <c r="DB471" s="618">
        <v>0</v>
      </c>
      <c r="DC471" s="618">
        <v>0</v>
      </c>
      <c r="DD471" s="618">
        <v>0</v>
      </c>
      <c r="DE471" s="618">
        <v>0</v>
      </c>
      <c r="DF471" s="618">
        <v>0</v>
      </c>
      <c r="DG471" s="618">
        <v>0</v>
      </c>
      <c r="DH471" s="618">
        <v>0</v>
      </c>
      <c r="DI471" s="618">
        <v>0</v>
      </c>
      <c r="DJ471" s="618">
        <v>0</v>
      </c>
      <c r="DK471" s="1034">
        <f t="shared" si="416"/>
        <v>0</v>
      </c>
      <c r="DL471" s="543">
        <f t="shared" si="397"/>
        <v>8.8999999999999996E-2</v>
      </c>
      <c r="DM471" s="542">
        <f t="shared" si="398"/>
        <v>0</v>
      </c>
      <c r="DN471" s="594">
        <f t="shared" si="399"/>
        <v>0</v>
      </c>
      <c r="DO471" s="540">
        <f t="shared" si="400"/>
        <v>0</v>
      </c>
      <c r="DP471" s="597">
        <f t="shared" si="418"/>
        <v>0</v>
      </c>
      <c r="DQ471" s="538">
        <f t="shared" si="401"/>
        <v>0</v>
      </c>
      <c r="DR471" s="617">
        <f t="shared" si="402"/>
        <v>1</v>
      </c>
      <c r="DS471" s="616">
        <f t="shared" si="403"/>
        <v>0</v>
      </c>
      <c r="DT471" s="259">
        <v>614</v>
      </c>
      <c r="DU471" s="260" t="s">
        <v>253</v>
      </c>
      <c r="DV471" s="259"/>
      <c r="DW471" s="260" t="s">
        <v>242</v>
      </c>
      <c r="DX471" s="259"/>
      <c r="DY471" s="259"/>
      <c r="DZ471" s="259"/>
      <c r="EA471" s="987"/>
      <c r="EB471" s="1041" t="s">
        <v>2772</v>
      </c>
      <c r="EC471" s="802">
        <v>0</v>
      </c>
      <c r="EE471" s="1047"/>
    </row>
    <row r="472" spans="4:135" s="534" customFormat="1" ht="114.75" hidden="1" x14ac:dyDescent="0.3">
      <c r="D472" s="783">
        <v>469</v>
      </c>
      <c r="E472" s="799">
        <v>540</v>
      </c>
      <c r="F472" s="739" t="s">
        <v>203</v>
      </c>
      <c r="G472" s="739" t="s">
        <v>28</v>
      </c>
      <c r="H472" s="739" t="s">
        <v>156</v>
      </c>
      <c r="I472" s="676" t="s">
        <v>1277</v>
      </c>
      <c r="J472" s="573" t="s">
        <v>1278</v>
      </c>
      <c r="K472" s="573" t="s">
        <v>1279</v>
      </c>
      <c r="L472" s="596" t="s">
        <v>1582</v>
      </c>
      <c r="M472" s="571" t="s">
        <v>2070</v>
      </c>
      <c r="N472" s="571">
        <v>25</v>
      </c>
      <c r="O472" s="571">
        <v>15</v>
      </c>
      <c r="P472" s="569">
        <f>+N472-15</f>
        <v>10</v>
      </c>
      <c r="Q472" s="628">
        <v>0.16500000000000001</v>
      </c>
      <c r="R472" s="580">
        <f t="shared" si="381"/>
        <v>3.3000000000000002E-2</v>
      </c>
      <c r="S472" s="654">
        <f>+N472-2</f>
        <v>23</v>
      </c>
      <c r="T472" s="625">
        <f>IF($M179="M",0.25,IF($M179="R",(N472-S472)/$P472,(IF($P472&gt;0,S472/$P472," "))))</f>
        <v>0.2</v>
      </c>
      <c r="U472" s="992">
        <f>+N472-2</f>
        <v>23</v>
      </c>
      <c r="V472" s="626">
        <f>+IF($M472="I",(U472),IF($M472="M",U472/4, U472))</f>
        <v>23</v>
      </c>
      <c r="W472" s="594">
        <f>IF(S472=0,0, IF(M472="R",(N472-U472)/(N472-S472)*100,U472*100/S472))</f>
        <v>100</v>
      </c>
      <c r="X472" s="594">
        <f t="shared" si="382"/>
        <v>100</v>
      </c>
      <c r="Y472" s="594">
        <f t="shared" si="417"/>
        <v>3.3000000000000002E-2</v>
      </c>
      <c r="Z472" s="594">
        <f t="shared" si="383"/>
        <v>100</v>
      </c>
      <c r="AA472" s="653">
        <v>404000000</v>
      </c>
      <c r="AB472" s="653">
        <v>404000000</v>
      </c>
      <c r="AC472" s="653">
        <v>0</v>
      </c>
      <c r="AD472" s="653">
        <v>0</v>
      </c>
      <c r="AE472" s="653">
        <v>0</v>
      </c>
      <c r="AF472" s="653">
        <v>0</v>
      </c>
      <c r="AG472" s="653">
        <v>0</v>
      </c>
      <c r="AH472" s="653">
        <v>0</v>
      </c>
      <c r="AI472" s="653">
        <v>7347665000</v>
      </c>
      <c r="AJ472" s="653">
        <v>5947665000</v>
      </c>
      <c r="AK472" s="653">
        <v>0</v>
      </c>
      <c r="AL472" s="653">
        <v>1400000000</v>
      </c>
      <c r="AM472" s="653">
        <v>0</v>
      </c>
      <c r="AN472" s="653">
        <v>0</v>
      </c>
      <c r="AO472" s="653">
        <v>0</v>
      </c>
      <c r="AP472" s="653">
        <v>0</v>
      </c>
      <c r="AQ472" s="653">
        <v>0</v>
      </c>
      <c r="AR472" s="653">
        <v>0</v>
      </c>
      <c r="AS472" s="653">
        <v>0</v>
      </c>
      <c r="AT472" s="570">
        <f t="shared" si="384"/>
        <v>4.9500000000000002E-2</v>
      </c>
      <c r="AU472" s="652">
        <f>23-3</f>
        <v>20</v>
      </c>
      <c r="AV472" s="625">
        <f>IF($M179="M",0.25,IF($M179="R",(+S472-AU472)/$P472,(IF($P472&gt;0,AU472/$P472," "))))</f>
        <v>0.3</v>
      </c>
      <c r="AW472" s="1003">
        <v>20</v>
      </c>
      <c r="AX472" s="649">
        <f>+IF($M472="I",(AW472),IF($M472="M",AW472/4, AW472))</f>
        <v>20</v>
      </c>
      <c r="AY472" s="592">
        <f>IF(AU472=0,0, IF($M472="R",(S472-AW472)/(S472-AU472)*100,AW472*100/AU472))</f>
        <v>100</v>
      </c>
      <c r="AZ472" s="604">
        <f t="shared" si="385"/>
        <v>100</v>
      </c>
      <c r="BA472" s="592">
        <f t="shared" si="386"/>
        <v>4.9500000000000002E-2</v>
      </c>
      <c r="BB472" s="592">
        <f t="shared" si="387"/>
        <v>100</v>
      </c>
      <c r="BC472" s="591">
        <v>0</v>
      </c>
      <c r="BD472" s="591">
        <v>0</v>
      </c>
      <c r="BE472" s="591">
        <v>0</v>
      </c>
      <c r="BF472" s="591">
        <v>0</v>
      </c>
      <c r="BG472" s="591">
        <v>0</v>
      </c>
      <c r="BH472" s="591">
        <v>0</v>
      </c>
      <c r="BI472" s="591">
        <v>0</v>
      </c>
      <c r="BJ472" s="591">
        <v>0</v>
      </c>
      <c r="BK472" s="624">
        <v>7071944328</v>
      </c>
      <c r="BL472" s="589">
        <v>7071944328</v>
      </c>
      <c r="BM472" s="589">
        <v>0</v>
      </c>
      <c r="BN472" s="589">
        <v>0</v>
      </c>
      <c r="BO472" s="589">
        <v>0</v>
      </c>
      <c r="BP472" s="589">
        <v>0</v>
      </c>
      <c r="BQ472" s="589">
        <v>0</v>
      </c>
      <c r="BR472" s="589">
        <v>0</v>
      </c>
      <c r="BS472" s="589">
        <v>0</v>
      </c>
      <c r="BT472" s="589">
        <v>0</v>
      </c>
      <c r="BU472" s="589">
        <v>0</v>
      </c>
      <c r="BV472" s="588">
        <f t="shared" si="388"/>
        <v>4.9500000000000002E-2</v>
      </c>
      <c r="BW472" s="651">
        <f>+AU472-3</f>
        <v>17</v>
      </c>
      <c r="BX472" s="650">
        <f>IF($M179="M",0.25,IF($M179="R",(AU472-BW472)/$P472,(IF($P472&gt;0,BW472/$P472," "))))</f>
        <v>0.3</v>
      </c>
      <c r="BY472" s="633">
        <v>1.5</v>
      </c>
      <c r="BZ472" s="641">
        <v>0</v>
      </c>
      <c r="CA472" s="1031">
        <v>17</v>
      </c>
      <c r="CB472" s="649">
        <f>+IF($M472="I",(CA472),IF($M472="M",CA472/4, CA472))</f>
        <v>17</v>
      </c>
      <c r="CC472" s="592">
        <f>IF(CA472=0,0,IF($M472="R",((AU472-CA472)/(AU472-BW472))*100,CA472*100/BW472))</f>
        <v>100</v>
      </c>
      <c r="CD472" s="622">
        <f t="shared" si="389"/>
        <v>100</v>
      </c>
      <c r="CE472" s="621">
        <f t="shared" si="390"/>
        <v>4.9500000000000002E-2</v>
      </c>
      <c r="CF472" s="605">
        <f t="shared" si="391"/>
        <v>100</v>
      </c>
      <c r="CG472" s="621">
        <f t="shared" si="392"/>
        <v>4.9500000000000002E-2</v>
      </c>
      <c r="CH472" s="553">
        <f t="shared" si="393"/>
        <v>3.3000000000000002E-2</v>
      </c>
      <c r="CI472" s="552">
        <f>+BW472-2</f>
        <v>15</v>
      </c>
      <c r="CJ472" s="648">
        <f>IF($M179="M",0.25,IF($M179="R",(BW472-CI472)/$P472,(IF($P472&gt;0,CI472/$P472," "))))</f>
        <v>0.2</v>
      </c>
      <c r="CK472" s="874">
        <v>1.75</v>
      </c>
      <c r="CL472" s="533">
        <f t="shared" si="380"/>
        <v>13.25</v>
      </c>
      <c r="CM472" s="626">
        <f>+IF($M472="I",(CK472),IF($M472="M",CK472/4, CK472))</f>
        <v>1.75</v>
      </c>
      <c r="CN472" s="594">
        <f>IF(CK472=0,0,IF($M472="R",((BW472-CK472)/(BW472-CI472))*100,CK472*100/#REF!))</f>
        <v>762.5</v>
      </c>
      <c r="CO472" s="619">
        <f t="shared" si="394"/>
        <v>100</v>
      </c>
      <c r="CP472" s="619">
        <f t="shared" si="395"/>
        <v>3.3000000000000002E-2</v>
      </c>
      <c r="CQ472" s="619">
        <f t="shared" si="396"/>
        <v>0.25162499999999999</v>
      </c>
      <c r="CR472" s="546">
        <v>0</v>
      </c>
      <c r="CS472" s="546">
        <v>0</v>
      </c>
      <c r="CT472" s="546">
        <v>0</v>
      </c>
      <c r="CU472" s="546">
        <v>0</v>
      </c>
      <c r="CV472" s="546">
        <v>0</v>
      </c>
      <c r="CW472" s="546">
        <v>0</v>
      </c>
      <c r="CX472" s="546">
        <v>0</v>
      </c>
      <c r="CY472" s="546">
        <v>0</v>
      </c>
      <c r="CZ472" s="618">
        <v>0</v>
      </c>
      <c r="DA472" s="618">
        <v>0</v>
      </c>
      <c r="DB472" s="618">
        <v>0</v>
      </c>
      <c r="DC472" s="618">
        <v>0</v>
      </c>
      <c r="DD472" s="618">
        <v>0</v>
      </c>
      <c r="DE472" s="618">
        <v>0</v>
      </c>
      <c r="DF472" s="618">
        <v>0</v>
      </c>
      <c r="DG472" s="618">
        <v>0</v>
      </c>
      <c r="DH472" s="618">
        <v>0</v>
      </c>
      <c r="DI472" s="618">
        <v>0</v>
      </c>
      <c r="DJ472" s="618">
        <v>0</v>
      </c>
      <c r="DK472" s="1035">
        <f>+IF(M472="I",(H472+AF472+BJ472),IF(M472="M",(H472+AF472+BJ472)/3,N472-CK472 ))</f>
        <v>23.25</v>
      </c>
      <c r="DL472" s="543">
        <f t="shared" si="397"/>
        <v>0.16500000000000001</v>
      </c>
      <c r="DM472" s="542">
        <f t="shared" si="398"/>
        <v>232.5</v>
      </c>
      <c r="DN472" s="594">
        <f t="shared" si="399"/>
        <v>100</v>
      </c>
      <c r="DO472" s="540">
        <f t="shared" si="400"/>
        <v>0.16500000000000001</v>
      </c>
      <c r="DP472" s="597">
        <f t="shared" si="418"/>
        <v>0.16500000000000001</v>
      </c>
      <c r="DQ472" s="538">
        <f t="shared" si="401"/>
        <v>0.16500000000000001</v>
      </c>
      <c r="DR472" s="617">
        <f t="shared" si="402"/>
        <v>1</v>
      </c>
      <c r="DS472" s="616">
        <f t="shared" si="403"/>
        <v>0</v>
      </c>
      <c r="DT472" s="259">
        <v>422</v>
      </c>
      <c r="DU472" s="260" t="s">
        <v>262</v>
      </c>
      <c r="DV472" s="259">
        <v>612</v>
      </c>
      <c r="DW472" s="260" t="s">
        <v>255</v>
      </c>
      <c r="DX472" s="259"/>
      <c r="DY472" s="259"/>
      <c r="DZ472" s="259"/>
      <c r="EA472" s="987"/>
      <c r="EB472" s="1041" t="s">
        <v>2773</v>
      </c>
      <c r="EC472" s="802">
        <v>0</v>
      </c>
      <c r="EE472" s="1047"/>
    </row>
    <row r="473" spans="4:135" s="534" customFormat="1" ht="127.5" hidden="1" x14ac:dyDescent="0.3">
      <c r="D473" s="783">
        <v>470</v>
      </c>
      <c r="E473" s="799">
        <v>541</v>
      </c>
      <c r="F473" s="574" t="s">
        <v>203</v>
      </c>
      <c r="G473" s="574" t="s">
        <v>25</v>
      </c>
      <c r="H473" s="574" t="s">
        <v>156</v>
      </c>
      <c r="I473" s="574" t="s">
        <v>1280</v>
      </c>
      <c r="J473" s="573" t="s">
        <v>1473</v>
      </c>
      <c r="K473" s="573" t="s">
        <v>1281</v>
      </c>
      <c r="L473" s="596" t="s">
        <v>2069</v>
      </c>
      <c r="M473" s="571" t="s">
        <v>2017</v>
      </c>
      <c r="N473" s="571">
        <v>8</v>
      </c>
      <c r="O473" s="570">
        <f t="shared" ref="O473:O511" si="419">+N473+P473</f>
        <v>24</v>
      </c>
      <c r="P473" s="569">
        <v>16</v>
      </c>
      <c r="Q473" s="631">
        <v>0.16500000000000001</v>
      </c>
      <c r="R473" s="580">
        <f t="shared" si="381"/>
        <v>1.03125E-2</v>
      </c>
      <c r="S473" s="627">
        <v>1</v>
      </c>
      <c r="T473" s="575">
        <f t="shared" ref="T473:T504" si="420">IF($M473="M",0.25,(IF($P473&gt;0,S473/$P473," ")))</f>
        <v>6.25E-2</v>
      </c>
      <c r="U473" s="992">
        <v>1</v>
      </c>
      <c r="V473" s="626">
        <f t="shared" ref="V473:V504" si="421">+IF(M473="I",(+U473),IF(M473="M",(+U473)/4,))</f>
        <v>1</v>
      </c>
      <c r="W473" s="594">
        <f t="shared" ref="W473:W504" si="422">IF(S473=0,0,+U473*100/S473)</f>
        <v>100</v>
      </c>
      <c r="X473" s="594">
        <f t="shared" si="382"/>
        <v>100</v>
      </c>
      <c r="Y473" s="594">
        <f t="shared" si="417"/>
        <v>1.03125E-2</v>
      </c>
      <c r="Z473" s="594">
        <f t="shared" si="383"/>
        <v>100</v>
      </c>
      <c r="AA473" s="593">
        <v>0</v>
      </c>
      <c r="AB473" s="593">
        <v>0</v>
      </c>
      <c r="AC473" s="593">
        <v>0</v>
      </c>
      <c r="AD473" s="593">
        <v>0</v>
      </c>
      <c r="AE473" s="593">
        <v>0</v>
      </c>
      <c r="AF473" s="593">
        <v>0</v>
      </c>
      <c r="AG473" s="593">
        <v>0</v>
      </c>
      <c r="AH473" s="593">
        <v>0</v>
      </c>
      <c r="AI473" s="593">
        <v>0</v>
      </c>
      <c r="AJ473" s="593">
        <v>0</v>
      </c>
      <c r="AK473" s="593">
        <v>0</v>
      </c>
      <c r="AL473" s="593">
        <v>0</v>
      </c>
      <c r="AM473" s="593">
        <v>0</v>
      </c>
      <c r="AN473" s="593">
        <v>0</v>
      </c>
      <c r="AO473" s="593">
        <v>0</v>
      </c>
      <c r="AP473" s="593">
        <v>0</v>
      </c>
      <c r="AQ473" s="593">
        <v>0</v>
      </c>
      <c r="AR473" s="593">
        <v>0</v>
      </c>
      <c r="AS473" s="593">
        <v>0</v>
      </c>
      <c r="AT473" s="630">
        <f t="shared" si="384"/>
        <v>9.2812500000000006E-2</v>
      </c>
      <c r="AU473" s="571">
        <v>9</v>
      </c>
      <c r="AV473" s="625">
        <f t="shared" ref="AV473:AV504" si="423">IF($M473="M",0.25,(IF($P473&gt;0,AU473/$P473," ")))</f>
        <v>0.5625</v>
      </c>
      <c r="AW473" s="1003">
        <v>9</v>
      </c>
      <c r="AX473" s="604">
        <f t="shared" ref="AX473:AX504" si="424">+IF(M473="I",(+AW473),IF(M473="M",(+AW473)/4,))</f>
        <v>9</v>
      </c>
      <c r="AY473" s="604">
        <f t="shared" ref="AY473:AY504" si="425">IF(AU473=0,0,+AW473*100/AU473)</f>
        <v>100</v>
      </c>
      <c r="AZ473" s="604">
        <f t="shared" si="385"/>
        <v>100</v>
      </c>
      <c r="BA473" s="592">
        <f t="shared" si="386"/>
        <v>9.2812500000000006E-2</v>
      </c>
      <c r="BB473" s="592">
        <f t="shared" si="387"/>
        <v>100</v>
      </c>
      <c r="BC473" s="591">
        <v>31000000</v>
      </c>
      <c r="BD473" s="591">
        <v>0</v>
      </c>
      <c r="BE473" s="591">
        <v>31000000</v>
      </c>
      <c r="BF473" s="591">
        <v>0</v>
      </c>
      <c r="BG473" s="591">
        <v>0</v>
      </c>
      <c r="BH473" s="591">
        <v>0</v>
      </c>
      <c r="BI473" s="591">
        <v>0</v>
      </c>
      <c r="BJ473" s="591">
        <v>0</v>
      </c>
      <c r="BK473" s="624">
        <v>558000000</v>
      </c>
      <c r="BL473" s="589">
        <v>558000000</v>
      </c>
      <c r="BM473" s="589">
        <v>0</v>
      </c>
      <c r="BN473" s="589">
        <v>0</v>
      </c>
      <c r="BO473" s="589">
        <v>0</v>
      </c>
      <c r="BP473" s="589">
        <v>0</v>
      </c>
      <c r="BQ473" s="589">
        <v>0</v>
      </c>
      <c r="BR473" s="589">
        <v>0</v>
      </c>
      <c r="BS473" s="589">
        <v>0</v>
      </c>
      <c r="BT473" s="589">
        <v>0</v>
      </c>
      <c r="BU473" s="589">
        <v>0</v>
      </c>
      <c r="BV473" s="588">
        <f t="shared" si="388"/>
        <v>4.1250000000000002E-2</v>
      </c>
      <c r="BW473" s="588">
        <v>4</v>
      </c>
      <c r="BX473" s="623">
        <f t="shared" ref="BX473:BX504" si="426">IF($M473="M",0.25,(IF($P473&gt;0,BW473/$P473," ")))</f>
        <v>0.25</v>
      </c>
      <c r="BY473" s="607">
        <v>2</v>
      </c>
      <c r="BZ473" s="629">
        <v>3</v>
      </c>
      <c r="CA473" s="1017">
        <v>6</v>
      </c>
      <c r="CB473" s="557">
        <f t="shared" ref="CB473:CB504" si="427">+IF(M473="I",(+CA473),IF(M473="M",(+CA473)/4,))</f>
        <v>6</v>
      </c>
      <c r="CC473" s="557">
        <f t="shared" ref="CC473:CC504" si="428">IF(BW473=0,0,+CA473*100/BW473)</f>
        <v>150</v>
      </c>
      <c r="CD473" s="622">
        <f t="shared" si="389"/>
        <v>100</v>
      </c>
      <c r="CE473" s="621">
        <f t="shared" si="390"/>
        <v>4.1250000000000002E-2</v>
      </c>
      <c r="CF473" s="605">
        <f t="shared" si="391"/>
        <v>100</v>
      </c>
      <c r="CG473" s="621">
        <f t="shared" si="392"/>
        <v>6.1874999999999999E-2</v>
      </c>
      <c r="CH473" s="553">
        <f t="shared" si="393"/>
        <v>2.0625000000000001E-2</v>
      </c>
      <c r="CI473" s="552">
        <v>2</v>
      </c>
      <c r="CJ473" s="551">
        <f t="shared" ref="CJ473:CJ504" si="429">IF($M473="M",0.25,(IF($P473&gt;0,CI473/$P473," ")))</f>
        <v>0.125</v>
      </c>
      <c r="CK473" s="874">
        <v>1</v>
      </c>
      <c r="CL473" s="533">
        <f t="shared" si="380"/>
        <v>1</v>
      </c>
      <c r="CM473" s="619">
        <f t="shared" ref="CM473:CM504" si="430">+IF(M473="I",(+CK473),IF(M473="M",(+CK473)/4,))</f>
        <v>1</v>
      </c>
      <c r="CN473" s="619">
        <f t="shared" ref="CN473:CN504" si="431">IF(CI473=0,0,+CK473*100/CI473)</f>
        <v>50</v>
      </c>
      <c r="CO473" s="549">
        <f t="shared" si="394"/>
        <v>50</v>
      </c>
      <c r="CP473" s="619">
        <f t="shared" si="395"/>
        <v>1.03125E-2</v>
      </c>
      <c r="CQ473" s="619">
        <f t="shared" si="396"/>
        <v>1.03125E-2</v>
      </c>
      <c r="CR473" s="546">
        <v>72000000</v>
      </c>
      <c r="CS473" s="546">
        <v>72000000</v>
      </c>
      <c r="CT473" s="546">
        <v>0</v>
      </c>
      <c r="CU473" s="546">
        <v>0</v>
      </c>
      <c r="CV473" s="546">
        <v>0</v>
      </c>
      <c r="CW473" s="546">
        <v>0</v>
      </c>
      <c r="CX473" s="546">
        <v>0</v>
      </c>
      <c r="CY473" s="546">
        <v>0</v>
      </c>
      <c r="CZ473" s="618">
        <v>0</v>
      </c>
      <c r="DA473" s="618">
        <v>0</v>
      </c>
      <c r="DB473" s="618">
        <v>0</v>
      </c>
      <c r="DC473" s="618">
        <v>0</v>
      </c>
      <c r="DD473" s="618">
        <v>0</v>
      </c>
      <c r="DE473" s="618">
        <v>0</v>
      </c>
      <c r="DF473" s="618">
        <v>0</v>
      </c>
      <c r="DG473" s="618">
        <v>0</v>
      </c>
      <c r="DH473" s="618">
        <v>0</v>
      </c>
      <c r="DI473" s="618">
        <v>0</v>
      </c>
      <c r="DJ473" s="618">
        <v>0</v>
      </c>
      <c r="DK473" s="1034">
        <f t="shared" ref="DK473:DK504" si="432">+IF(M473="I",(+U473+AW473+CA473+CK473),IF(M473="M",(+U473+AW473+CA473+CK473)/4,))</f>
        <v>17</v>
      </c>
      <c r="DL473" s="543">
        <f t="shared" si="397"/>
        <v>0.16500000000000001</v>
      </c>
      <c r="DM473" s="542">
        <f t="shared" si="398"/>
        <v>106.25</v>
      </c>
      <c r="DN473" s="594">
        <f t="shared" si="399"/>
        <v>100</v>
      </c>
      <c r="DO473" s="540">
        <f t="shared" si="400"/>
        <v>0.16500000000000001</v>
      </c>
      <c r="DP473" s="597">
        <f t="shared" si="418"/>
        <v>0.16500000000000001</v>
      </c>
      <c r="DQ473" s="538">
        <f t="shared" si="401"/>
        <v>0.16500000000000001</v>
      </c>
      <c r="DR473" s="617">
        <f t="shared" si="402"/>
        <v>1</v>
      </c>
      <c r="DS473" s="616">
        <f t="shared" si="403"/>
        <v>0</v>
      </c>
      <c r="DT473" s="259">
        <v>615</v>
      </c>
      <c r="DU473" s="260" t="s">
        <v>252</v>
      </c>
      <c r="DV473" s="259"/>
      <c r="DW473" s="260" t="s">
        <v>242</v>
      </c>
      <c r="DX473" s="259"/>
      <c r="DY473" s="259"/>
      <c r="DZ473" s="259"/>
      <c r="EA473" s="987"/>
      <c r="EB473" s="1041" t="s">
        <v>2774</v>
      </c>
      <c r="EC473" s="802">
        <v>72000000</v>
      </c>
      <c r="EE473" s="1047"/>
    </row>
    <row r="474" spans="4:135" s="534" customFormat="1" ht="63.75" hidden="1" x14ac:dyDescent="0.3">
      <c r="D474" s="783">
        <v>471</v>
      </c>
      <c r="E474" s="799">
        <v>542</v>
      </c>
      <c r="F474" s="739" t="s">
        <v>203</v>
      </c>
      <c r="G474" s="739" t="s">
        <v>19</v>
      </c>
      <c r="H474" s="739" t="s">
        <v>156</v>
      </c>
      <c r="I474" s="676" t="s">
        <v>1280</v>
      </c>
      <c r="J474" s="573" t="s">
        <v>1282</v>
      </c>
      <c r="K474" s="573" t="s">
        <v>1283</v>
      </c>
      <c r="L474" s="647" t="s">
        <v>2068</v>
      </c>
      <c r="M474" s="571" t="s">
        <v>2017</v>
      </c>
      <c r="N474" s="571">
        <v>0</v>
      </c>
      <c r="O474" s="570">
        <f t="shared" si="419"/>
        <v>4</v>
      </c>
      <c r="P474" s="569">
        <v>4</v>
      </c>
      <c r="Q474" s="628">
        <v>0.16500000000000001</v>
      </c>
      <c r="R474" s="580">
        <f t="shared" si="381"/>
        <v>4.1250000000000002E-2</v>
      </c>
      <c r="S474" s="627">
        <v>1</v>
      </c>
      <c r="T474" s="575">
        <f t="shared" si="420"/>
        <v>0.25</v>
      </c>
      <c r="U474" s="992">
        <v>1</v>
      </c>
      <c r="V474" s="626">
        <f t="shared" si="421"/>
        <v>1</v>
      </c>
      <c r="W474" s="594">
        <f t="shared" si="422"/>
        <v>100</v>
      </c>
      <c r="X474" s="594">
        <f t="shared" si="382"/>
        <v>100</v>
      </c>
      <c r="Y474" s="594">
        <f t="shared" si="417"/>
        <v>4.1250000000000002E-2</v>
      </c>
      <c r="Z474" s="594">
        <f t="shared" si="383"/>
        <v>100</v>
      </c>
      <c r="AA474" s="593">
        <v>0</v>
      </c>
      <c r="AB474" s="593">
        <v>0</v>
      </c>
      <c r="AC474" s="593">
        <v>0</v>
      </c>
      <c r="AD474" s="593">
        <v>0</v>
      </c>
      <c r="AE474" s="593">
        <v>0</v>
      </c>
      <c r="AF474" s="593">
        <v>0</v>
      </c>
      <c r="AG474" s="593">
        <v>0</v>
      </c>
      <c r="AH474" s="593">
        <v>0</v>
      </c>
      <c r="AI474" s="593">
        <v>0</v>
      </c>
      <c r="AJ474" s="593">
        <v>0</v>
      </c>
      <c r="AK474" s="593">
        <v>0</v>
      </c>
      <c r="AL474" s="593">
        <v>0</v>
      </c>
      <c r="AM474" s="593">
        <v>0</v>
      </c>
      <c r="AN474" s="593">
        <v>0</v>
      </c>
      <c r="AO474" s="593">
        <v>0</v>
      </c>
      <c r="AP474" s="593">
        <v>0</v>
      </c>
      <c r="AQ474" s="593">
        <v>0</v>
      </c>
      <c r="AR474" s="593">
        <v>0</v>
      </c>
      <c r="AS474" s="593">
        <v>0</v>
      </c>
      <c r="AT474" s="570">
        <f t="shared" si="384"/>
        <v>4.1250000000000002E-2</v>
      </c>
      <c r="AU474" s="571">
        <v>1</v>
      </c>
      <c r="AV474" s="625">
        <f t="shared" si="423"/>
        <v>0.25</v>
      </c>
      <c r="AW474" s="1003">
        <v>1</v>
      </c>
      <c r="AX474" s="604">
        <f t="shared" si="424"/>
        <v>1</v>
      </c>
      <c r="AY474" s="604">
        <f t="shared" si="425"/>
        <v>100</v>
      </c>
      <c r="AZ474" s="604">
        <f t="shared" si="385"/>
        <v>100</v>
      </c>
      <c r="BA474" s="592">
        <f t="shared" si="386"/>
        <v>4.1250000000000002E-2</v>
      </c>
      <c r="BB474" s="592">
        <f t="shared" si="387"/>
        <v>100</v>
      </c>
      <c r="BC474" s="591">
        <v>42000000</v>
      </c>
      <c r="BD474" s="591">
        <v>0</v>
      </c>
      <c r="BE474" s="591">
        <v>42000000</v>
      </c>
      <c r="BF474" s="591">
        <v>0</v>
      </c>
      <c r="BG474" s="591">
        <v>0</v>
      </c>
      <c r="BH474" s="591">
        <v>0</v>
      </c>
      <c r="BI474" s="591">
        <v>0</v>
      </c>
      <c r="BJ474" s="591">
        <v>0</v>
      </c>
      <c r="BK474" s="624">
        <v>0</v>
      </c>
      <c r="BL474" s="589">
        <v>0</v>
      </c>
      <c r="BM474" s="589">
        <v>0</v>
      </c>
      <c r="BN474" s="589">
        <v>0</v>
      </c>
      <c r="BO474" s="589">
        <v>0</v>
      </c>
      <c r="BP474" s="589">
        <v>0</v>
      </c>
      <c r="BQ474" s="589">
        <v>0</v>
      </c>
      <c r="BR474" s="589">
        <v>0</v>
      </c>
      <c r="BS474" s="589">
        <v>0</v>
      </c>
      <c r="BT474" s="589">
        <v>0</v>
      </c>
      <c r="BU474" s="589">
        <v>0</v>
      </c>
      <c r="BV474" s="588">
        <f t="shared" si="388"/>
        <v>4.1250000000000002E-2</v>
      </c>
      <c r="BW474" s="588">
        <v>1</v>
      </c>
      <c r="BX474" s="623">
        <f t="shared" si="426"/>
        <v>0.25</v>
      </c>
      <c r="BY474" s="587">
        <v>1</v>
      </c>
      <c r="BZ474" s="586">
        <v>1</v>
      </c>
      <c r="CA474" s="1021">
        <v>1</v>
      </c>
      <c r="CB474" s="557">
        <f t="shared" si="427"/>
        <v>1</v>
      </c>
      <c r="CC474" s="557">
        <f t="shared" si="428"/>
        <v>100</v>
      </c>
      <c r="CD474" s="622">
        <f t="shared" si="389"/>
        <v>100</v>
      </c>
      <c r="CE474" s="621">
        <f t="shared" si="390"/>
        <v>4.1250000000000002E-2</v>
      </c>
      <c r="CF474" s="605">
        <f t="shared" si="391"/>
        <v>100</v>
      </c>
      <c r="CG474" s="621">
        <f t="shared" si="392"/>
        <v>4.1250000000000002E-2</v>
      </c>
      <c r="CH474" s="553">
        <f t="shared" si="393"/>
        <v>4.1250000000000002E-2</v>
      </c>
      <c r="CI474" s="552">
        <v>1</v>
      </c>
      <c r="CJ474" s="551">
        <f t="shared" si="429"/>
        <v>0.25</v>
      </c>
      <c r="CK474" s="875">
        <v>0</v>
      </c>
      <c r="CL474" s="533">
        <f t="shared" si="380"/>
        <v>1</v>
      </c>
      <c r="CM474" s="619">
        <f t="shared" si="430"/>
        <v>0</v>
      </c>
      <c r="CN474" s="619">
        <f t="shared" si="431"/>
        <v>0</v>
      </c>
      <c r="CO474" s="549">
        <f t="shared" si="394"/>
        <v>0</v>
      </c>
      <c r="CP474" s="619">
        <f t="shared" si="395"/>
        <v>0</v>
      </c>
      <c r="CQ474" s="619">
        <f t="shared" si="396"/>
        <v>0</v>
      </c>
      <c r="CR474" s="546">
        <v>96000000</v>
      </c>
      <c r="CS474" s="546">
        <v>96000000</v>
      </c>
      <c r="CT474" s="546">
        <v>0</v>
      </c>
      <c r="CU474" s="546">
        <v>0</v>
      </c>
      <c r="CV474" s="546">
        <v>0</v>
      </c>
      <c r="CW474" s="546">
        <v>0</v>
      </c>
      <c r="CX474" s="546">
        <v>0</v>
      </c>
      <c r="CY474" s="546">
        <v>0</v>
      </c>
      <c r="CZ474" s="618">
        <v>0</v>
      </c>
      <c r="DA474" s="618">
        <v>0</v>
      </c>
      <c r="DB474" s="618">
        <v>0</v>
      </c>
      <c r="DC474" s="618">
        <v>0</v>
      </c>
      <c r="DD474" s="618">
        <v>0</v>
      </c>
      <c r="DE474" s="618">
        <v>0</v>
      </c>
      <c r="DF474" s="618">
        <v>0</v>
      </c>
      <c r="DG474" s="618">
        <v>0</v>
      </c>
      <c r="DH474" s="618">
        <v>0</v>
      </c>
      <c r="DI474" s="618">
        <v>0</v>
      </c>
      <c r="DJ474" s="618">
        <v>0</v>
      </c>
      <c r="DK474" s="1034">
        <f t="shared" si="432"/>
        <v>3</v>
      </c>
      <c r="DL474" s="543">
        <f t="shared" si="397"/>
        <v>0.16500000000000001</v>
      </c>
      <c r="DM474" s="542">
        <f t="shared" si="398"/>
        <v>75</v>
      </c>
      <c r="DN474" s="594">
        <f t="shared" si="399"/>
        <v>75</v>
      </c>
      <c r="DO474" s="540">
        <f t="shared" si="400"/>
        <v>0.12375</v>
      </c>
      <c r="DP474" s="597">
        <f t="shared" si="418"/>
        <v>0.12375</v>
      </c>
      <c r="DQ474" s="538">
        <f t="shared" si="401"/>
        <v>0.12375</v>
      </c>
      <c r="DR474" s="617">
        <f t="shared" si="402"/>
        <v>1</v>
      </c>
      <c r="DS474" s="616">
        <f t="shared" si="403"/>
        <v>0</v>
      </c>
      <c r="DT474" s="259">
        <v>614</v>
      </c>
      <c r="DU474" s="260" t="s">
        <v>253</v>
      </c>
      <c r="DV474" s="259"/>
      <c r="DW474" s="260" t="s">
        <v>242</v>
      </c>
      <c r="DX474" s="259"/>
      <c r="DY474" s="259"/>
      <c r="DZ474" s="259"/>
      <c r="EA474" s="987"/>
      <c r="EB474" s="1041" t="s">
        <v>2775</v>
      </c>
      <c r="EC474" s="802">
        <v>154000000</v>
      </c>
      <c r="EE474" s="1047"/>
    </row>
    <row r="475" spans="4:135" s="534" customFormat="1" ht="102" hidden="1" x14ac:dyDescent="0.3">
      <c r="D475" s="783">
        <v>472</v>
      </c>
      <c r="E475" s="799">
        <v>543</v>
      </c>
      <c r="F475" s="739" t="s">
        <v>203</v>
      </c>
      <c r="G475" s="739" t="s">
        <v>19</v>
      </c>
      <c r="H475" s="739" t="s">
        <v>157</v>
      </c>
      <c r="I475" s="676" t="s">
        <v>1416</v>
      </c>
      <c r="J475" s="573" t="s">
        <v>1284</v>
      </c>
      <c r="K475" s="573" t="s">
        <v>1285</v>
      </c>
      <c r="L475" s="596" t="s">
        <v>2067</v>
      </c>
      <c r="M475" s="571" t="s">
        <v>2017</v>
      </c>
      <c r="N475" s="571">
        <v>1792</v>
      </c>
      <c r="O475" s="570">
        <f t="shared" si="419"/>
        <v>7792</v>
      </c>
      <c r="P475" s="569">
        <v>6000</v>
      </c>
      <c r="Q475" s="628">
        <v>0.25</v>
      </c>
      <c r="R475" s="580">
        <f t="shared" si="381"/>
        <v>4.1666666666666664E-2</v>
      </c>
      <c r="S475" s="627">
        <v>1000</v>
      </c>
      <c r="T475" s="575">
        <f t="shared" si="420"/>
        <v>0.16666666666666666</v>
      </c>
      <c r="U475" s="992">
        <v>3310</v>
      </c>
      <c r="V475" s="626">
        <f t="shared" si="421"/>
        <v>3310</v>
      </c>
      <c r="W475" s="594">
        <f t="shared" si="422"/>
        <v>331</v>
      </c>
      <c r="X475" s="594">
        <f t="shared" si="382"/>
        <v>100</v>
      </c>
      <c r="Y475" s="594">
        <f t="shared" si="417"/>
        <v>4.1666666666666657E-2</v>
      </c>
      <c r="Z475" s="594">
        <f t="shared" si="383"/>
        <v>100</v>
      </c>
      <c r="AA475" s="593">
        <v>50000000</v>
      </c>
      <c r="AB475" s="593">
        <v>50000000</v>
      </c>
      <c r="AC475" s="593">
        <v>0</v>
      </c>
      <c r="AD475" s="593">
        <v>0</v>
      </c>
      <c r="AE475" s="593">
        <v>0</v>
      </c>
      <c r="AF475" s="593">
        <v>0</v>
      </c>
      <c r="AG475" s="593">
        <v>0</v>
      </c>
      <c r="AH475" s="593">
        <v>0</v>
      </c>
      <c r="AI475" s="593">
        <v>49764000</v>
      </c>
      <c r="AJ475" s="593">
        <v>49764000</v>
      </c>
      <c r="AK475" s="593">
        <v>0</v>
      </c>
      <c r="AL475" s="593">
        <v>0</v>
      </c>
      <c r="AM475" s="593">
        <v>0</v>
      </c>
      <c r="AN475" s="593">
        <v>0</v>
      </c>
      <c r="AO475" s="593">
        <v>0</v>
      </c>
      <c r="AP475" s="593">
        <v>0</v>
      </c>
      <c r="AQ475" s="593">
        <v>0</v>
      </c>
      <c r="AR475" s="593">
        <v>0</v>
      </c>
      <c r="AS475" s="593">
        <v>0</v>
      </c>
      <c r="AT475" s="570">
        <f t="shared" si="384"/>
        <v>8.3333333333333329E-2</v>
      </c>
      <c r="AU475" s="571">
        <v>2000</v>
      </c>
      <c r="AV475" s="625">
        <f t="shared" si="423"/>
        <v>0.33333333333333331</v>
      </c>
      <c r="AW475" s="1003">
        <v>2985</v>
      </c>
      <c r="AX475" s="604">
        <f t="shared" si="424"/>
        <v>2985</v>
      </c>
      <c r="AY475" s="604">
        <f t="shared" si="425"/>
        <v>149.25</v>
      </c>
      <c r="AZ475" s="604">
        <f t="shared" si="385"/>
        <v>100</v>
      </c>
      <c r="BA475" s="592">
        <f t="shared" si="386"/>
        <v>8.3333333333333315E-2</v>
      </c>
      <c r="BB475" s="592">
        <f t="shared" si="387"/>
        <v>100</v>
      </c>
      <c r="BC475" s="591">
        <v>50000000</v>
      </c>
      <c r="BD475" s="591">
        <v>0</v>
      </c>
      <c r="BE475" s="591">
        <v>50000000</v>
      </c>
      <c r="BF475" s="591">
        <v>0</v>
      </c>
      <c r="BG475" s="591">
        <v>0</v>
      </c>
      <c r="BH475" s="591">
        <v>0</v>
      </c>
      <c r="BI475" s="591">
        <v>0</v>
      </c>
      <c r="BJ475" s="591">
        <v>0</v>
      </c>
      <c r="BK475" s="624">
        <v>42000000</v>
      </c>
      <c r="BL475" s="589">
        <v>42000000</v>
      </c>
      <c r="BM475" s="589">
        <v>0</v>
      </c>
      <c r="BN475" s="589">
        <v>0</v>
      </c>
      <c r="BO475" s="589">
        <v>0</v>
      </c>
      <c r="BP475" s="589">
        <v>0</v>
      </c>
      <c r="BQ475" s="589">
        <v>0</v>
      </c>
      <c r="BR475" s="589">
        <v>0</v>
      </c>
      <c r="BS475" s="589">
        <v>0</v>
      </c>
      <c r="BT475" s="589">
        <v>0</v>
      </c>
      <c r="BU475" s="589">
        <v>0</v>
      </c>
      <c r="BV475" s="588">
        <f t="shared" si="388"/>
        <v>0.125</v>
      </c>
      <c r="BW475" s="588">
        <v>3000</v>
      </c>
      <c r="BX475" s="623">
        <f t="shared" si="426"/>
        <v>0.5</v>
      </c>
      <c r="BY475" s="640">
        <v>500</v>
      </c>
      <c r="BZ475" s="646">
        <v>570</v>
      </c>
      <c r="CA475" s="1022">
        <v>914</v>
      </c>
      <c r="CB475" s="557">
        <f t="shared" si="427"/>
        <v>914</v>
      </c>
      <c r="CC475" s="557">
        <f t="shared" si="428"/>
        <v>30.466666666666665</v>
      </c>
      <c r="CD475" s="622">
        <f t="shared" si="389"/>
        <v>30.466666666666665</v>
      </c>
      <c r="CE475" s="621">
        <f t="shared" si="390"/>
        <v>3.808333333333333E-2</v>
      </c>
      <c r="CF475" s="605">
        <f t="shared" si="391"/>
        <v>30.466666666666665</v>
      </c>
      <c r="CG475" s="621">
        <f t="shared" si="392"/>
        <v>3.808333333333333E-2</v>
      </c>
      <c r="CH475" s="553">
        <f t="shared" si="393"/>
        <v>0</v>
      </c>
      <c r="CI475" s="552">
        <v>0</v>
      </c>
      <c r="CJ475" s="551">
        <f t="shared" si="429"/>
        <v>0</v>
      </c>
      <c r="CK475" s="874">
        <v>600</v>
      </c>
      <c r="CL475" s="533">
        <f t="shared" si="380"/>
        <v>-600</v>
      </c>
      <c r="CM475" s="619">
        <f t="shared" si="430"/>
        <v>600</v>
      </c>
      <c r="CN475" s="619">
        <f t="shared" si="431"/>
        <v>0</v>
      </c>
      <c r="CO475" s="549">
        <f t="shared" si="394"/>
        <v>0</v>
      </c>
      <c r="CP475" s="619">
        <f t="shared" si="395"/>
        <v>0</v>
      </c>
      <c r="CQ475" s="619">
        <f t="shared" si="396"/>
        <v>0</v>
      </c>
      <c r="CR475" s="546">
        <v>0</v>
      </c>
      <c r="CS475" s="546">
        <v>0</v>
      </c>
      <c r="CT475" s="546">
        <v>0</v>
      </c>
      <c r="CU475" s="546">
        <v>0</v>
      </c>
      <c r="CV475" s="546">
        <v>0</v>
      </c>
      <c r="CW475" s="546">
        <v>0</v>
      </c>
      <c r="CX475" s="546">
        <v>0</v>
      </c>
      <c r="CY475" s="546">
        <v>0</v>
      </c>
      <c r="CZ475" s="618">
        <v>0</v>
      </c>
      <c r="DA475" s="618">
        <v>0</v>
      </c>
      <c r="DB475" s="618">
        <v>0</v>
      </c>
      <c r="DC475" s="618">
        <v>0</v>
      </c>
      <c r="DD475" s="618">
        <v>0</v>
      </c>
      <c r="DE475" s="618">
        <v>0</v>
      </c>
      <c r="DF475" s="618">
        <v>0</v>
      </c>
      <c r="DG475" s="618">
        <v>0</v>
      </c>
      <c r="DH475" s="618">
        <v>0</v>
      </c>
      <c r="DI475" s="618">
        <v>0</v>
      </c>
      <c r="DJ475" s="618">
        <v>0</v>
      </c>
      <c r="DK475" s="1034">
        <f t="shared" si="432"/>
        <v>7809</v>
      </c>
      <c r="DL475" s="543">
        <f t="shared" si="397"/>
        <v>0.25</v>
      </c>
      <c r="DM475" s="542">
        <f t="shared" si="398"/>
        <v>130.15</v>
      </c>
      <c r="DN475" s="594">
        <f t="shared" si="399"/>
        <v>100</v>
      </c>
      <c r="DO475" s="540">
        <f t="shared" si="400"/>
        <v>0.25</v>
      </c>
      <c r="DP475" s="597">
        <f t="shared" si="418"/>
        <v>0.25</v>
      </c>
      <c r="DQ475" s="538">
        <f t="shared" si="401"/>
        <v>0.25</v>
      </c>
      <c r="DR475" s="617">
        <f t="shared" si="402"/>
        <v>1</v>
      </c>
      <c r="DS475" s="616">
        <f t="shared" si="403"/>
        <v>0</v>
      </c>
      <c r="DT475" s="259">
        <v>616</v>
      </c>
      <c r="DU475" s="260" t="s">
        <v>251</v>
      </c>
      <c r="DV475" s="259">
        <v>617</v>
      </c>
      <c r="DW475" s="260" t="s">
        <v>250</v>
      </c>
      <c r="DX475" s="259">
        <v>618</v>
      </c>
      <c r="DY475" s="259"/>
      <c r="DZ475" s="259"/>
      <c r="EA475" s="987"/>
      <c r="EB475" s="1041" t="s">
        <v>2776</v>
      </c>
      <c r="EC475" s="802">
        <v>100000000</v>
      </c>
      <c r="EE475" s="1047"/>
    </row>
    <row r="476" spans="4:135" s="534" customFormat="1" ht="108" hidden="1" x14ac:dyDescent="0.3">
      <c r="D476" s="783">
        <v>473</v>
      </c>
      <c r="E476" s="799">
        <v>544</v>
      </c>
      <c r="F476" s="739" t="s">
        <v>203</v>
      </c>
      <c r="G476" s="739" t="s">
        <v>19</v>
      </c>
      <c r="H476" s="739" t="s">
        <v>157</v>
      </c>
      <c r="I476" s="676" t="s">
        <v>1416</v>
      </c>
      <c r="J476" s="573" t="s">
        <v>1286</v>
      </c>
      <c r="K476" s="573" t="s">
        <v>1287</v>
      </c>
      <c r="L476" s="596" t="s">
        <v>1593</v>
      </c>
      <c r="M476" s="571" t="s">
        <v>2017</v>
      </c>
      <c r="N476" s="571">
        <v>14</v>
      </c>
      <c r="O476" s="570">
        <f t="shared" si="419"/>
        <v>54</v>
      </c>
      <c r="P476" s="569">
        <v>40</v>
      </c>
      <c r="Q476" s="628">
        <v>0.25</v>
      </c>
      <c r="R476" s="580">
        <f t="shared" si="381"/>
        <v>0</v>
      </c>
      <c r="S476" s="627">
        <v>0</v>
      </c>
      <c r="T476" s="575">
        <f t="shared" si="420"/>
        <v>0</v>
      </c>
      <c r="U476" s="992">
        <v>0</v>
      </c>
      <c r="V476" s="626">
        <f t="shared" si="421"/>
        <v>0</v>
      </c>
      <c r="W476" s="594">
        <f t="shared" si="422"/>
        <v>0</v>
      </c>
      <c r="X476" s="594">
        <f t="shared" si="382"/>
        <v>0</v>
      </c>
      <c r="Y476" s="594">
        <f t="shared" si="417"/>
        <v>0</v>
      </c>
      <c r="Z476" s="594">
        <f t="shared" si="383"/>
        <v>0</v>
      </c>
      <c r="AA476" s="593">
        <v>0</v>
      </c>
      <c r="AB476" s="593">
        <v>0</v>
      </c>
      <c r="AC476" s="593">
        <v>0</v>
      </c>
      <c r="AD476" s="593">
        <v>0</v>
      </c>
      <c r="AE476" s="593">
        <v>0</v>
      </c>
      <c r="AF476" s="593">
        <v>0</v>
      </c>
      <c r="AG476" s="593">
        <v>0</v>
      </c>
      <c r="AH476" s="593">
        <v>0</v>
      </c>
      <c r="AI476" s="593">
        <v>0</v>
      </c>
      <c r="AJ476" s="593">
        <v>0</v>
      </c>
      <c r="AK476" s="593">
        <v>0</v>
      </c>
      <c r="AL476" s="593">
        <v>0</v>
      </c>
      <c r="AM476" s="593">
        <v>0</v>
      </c>
      <c r="AN476" s="593">
        <v>0</v>
      </c>
      <c r="AO476" s="593">
        <v>0</v>
      </c>
      <c r="AP476" s="593">
        <v>0</v>
      </c>
      <c r="AQ476" s="593">
        <v>0</v>
      </c>
      <c r="AR476" s="593">
        <v>0</v>
      </c>
      <c r="AS476" s="593">
        <v>0</v>
      </c>
      <c r="AT476" s="570">
        <f t="shared" si="384"/>
        <v>6.25E-2</v>
      </c>
      <c r="AU476" s="571">
        <v>10</v>
      </c>
      <c r="AV476" s="625">
        <f t="shared" si="423"/>
        <v>0.25</v>
      </c>
      <c r="AW476" s="1003">
        <v>0</v>
      </c>
      <c r="AX476" s="604">
        <f t="shared" si="424"/>
        <v>0</v>
      </c>
      <c r="AY476" s="604">
        <f t="shared" si="425"/>
        <v>0</v>
      </c>
      <c r="AZ476" s="604">
        <f t="shared" si="385"/>
        <v>0</v>
      </c>
      <c r="BA476" s="592">
        <f t="shared" si="386"/>
        <v>0</v>
      </c>
      <c r="BB476" s="592">
        <f t="shared" si="387"/>
        <v>0</v>
      </c>
      <c r="BC476" s="591">
        <v>200000000</v>
      </c>
      <c r="BD476" s="591">
        <v>0</v>
      </c>
      <c r="BE476" s="591">
        <v>200000000</v>
      </c>
      <c r="BF476" s="591">
        <v>0</v>
      </c>
      <c r="BG476" s="591">
        <v>0</v>
      </c>
      <c r="BH476" s="591">
        <v>0</v>
      </c>
      <c r="BI476" s="591">
        <v>0</v>
      </c>
      <c r="BJ476" s="591">
        <v>0</v>
      </c>
      <c r="BK476" s="624">
        <v>0</v>
      </c>
      <c r="BL476" s="589">
        <v>0</v>
      </c>
      <c r="BM476" s="589">
        <v>0</v>
      </c>
      <c r="BN476" s="589">
        <v>0</v>
      </c>
      <c r="BO476" s="589">
        <v>0</v>
      </c>
      <c r="BP476" s="589">
        <v>0</v>
      </c>
      <c r="BQ476" s="589">
        <v>0</v>
      </c>
      <c r="BR476" s="589">
        <v>0</v>
      </c>
      <c r="BS476" s="589">
        <v>0</v>
      </c>
      <c r="BT476" s="589">
        <v>0</v>
      </c>
      <c r="BU476" s="589">
        <v>0</v>
      </c>
      <c r="BV476" s="588">
        <f t="shared" si="388"/>
        <v>0.125</v>
      </c>
      <c r="BW476" s="588">
        <v>20</v>
      </c>
      <c r="BX476" s="623">
        <f t="shared" si="426"/>
        <v>0.5</v>
      </c>
      <c r="BY476" s="640">
        <v>0</v>
      </c>
      <c r="BZ476" s="646">
        <v>0</v>
      </c>
      <c r="CA476" s="1022">
        <v>54</v>
      </c>
      <c r="CB476" s="557">
        <f t="shared" si="427"/>
        <v>54</v>
      </c>
      <c r="CC476" s="557">
        <f t="shared" si="428"/>
        <v>270</v>
      </c>
      <c r="CD476" s="622">
        <f t="shared" si="389"/>
        <v>100</v>
      </c>
      <c r="CE476" s="621">
        <f t="shared" si="390"/>
        <v>0.125</v>
      </c>
      <c r="CF476" s="605">
        <f t="shared" si="391"/>
        <v>100</v>
      </c>
      <c r="CG476" s="621">
        <f t="shared" si="392"/>
        <v>0.33750000000000002</v>
      </c>
      <c r="CH476" s="553">
        <f t="shared" si="393"/>
        <v>6.25E-2</v>
      </c>
      <c r="CI476" s="552">
        <v>10</v>
      </c>
      <c r="CJ476" s="551">
        <f t="shared" si="429"/>
        <v>0.25</v>
      </c>
      <c r="CK476" s="874">
        <v>0</v>
      </c>
      <c r="CL476" s="533">
        <f t="shared" si="380"/>
        <v>10</v>
      </c>
      <c r="CM476" s="619">
        <f t="shared" si="430"/>
        <v>0</v>
      </c>
      <c r="CN476" s="619">
        <f t="shared" si="431"/>
        <v>0</v>
      </c>
      <c r="CO476" s="549">
        <f t="shared" si="394"/>
        <v>0</v>
      </c>
      <c r="CP476" s="619">
        <f t="shared" si="395"/>
        <v>0</v>
      </c>
      <c r="CQ476" s="619">
        <f t="shared" si="396"/>
        <v>0</v>
      </c>
      <c r="CR476" s="546">
        <v>200000000</v>
      </c>
      <c r="CS476" s="546">
        <v>200000000</v>
      </c>
      <c r="CT476" s="546">
        <v>0</v>
      </c>
      <c r="CU476" s="546">
        <v>0</v>
      </c>
      <c r="CV476" s="546">
        <v>0</v>
      </c>
      <c r="CW476" s="546">
        <v>0</v>
      </c>
      <c r="CX476" s="546">
        <v>0</v>
      </c>
      <c r="CY476" s="546">
        <v>0</v>
      </c>
      <c r="CZ476" s="618">
        <v>0</v>
      </c>
      <c r="DA476" s="618">
        <v>0</v>
      </c>
      <c r="DB476" s="618">
        <v>0</v>
      </c>
      <c r="DC476" s="618">
        <v>0</v>
      </c>
      <c r="DD476" s="618">
        <v>0</v>
      </c>
      <c r="DE476" s="618">
        <v>0</v>
      </c>
      <c r="DF476" s="618">
        <v>0</v>
      </c>
      <c r="DG476" s="618">
        <v>0</v>
      </c>
      <c r="DH476" s="618">
        <v>0</v>
      </c>
      <c r="DI476" s="618">
        <v>0</v>
      </c>
      <c r="DJ476" s="618">
        <v>0</v>
      </c>
      <c r="DK476" s="1034">
        <f t="shared" si="432"/>
        <v>54</v>
      </c>
      <c r="DL476" s="543">
        <f t="shared" si="397"/>
        <v>0.25</v>
      </c>
      <c r="DM476" s="542">
        <f t="shared" si="398"/>
        <v>135</v>
      </c>
      <c r="DN476" s="594">
        <f t="shared" si="399"/>
        <v>100</v>
      </c>
      <c r="DO476" s="540">
        <f t="shared" si="400"/>
        <v>0.25</v>
      </c>
      <c r="DP476" s="597">
        <f t="shared" si="418"/>
        <v>0.25</v>
      </c>
      <c r="DQ476" s="538">
        <f t="shared" si="401"/>
        <v>0.25</v>
      </c>
      <c r="DR476" s="617">
        <f t="shared" si="402"/>
        <v>1</v>
      </c>
      <c r="DS476" s="616">
        <f t="shared" si="403"/>
        <v>0</v>
      </c>
      <c r="DT476" s="259">
        <v>617</v>
      </c>
      <c r="DU476" s="260" t="s">
        <v>250</v>
      </c>
      <c r="DV476" s="259">
        <v>618</v>
      </c>
      <c r="DW476" s="260" t="s">
        <v>249</v>
      </c>
      <c r="DX476" s="259"/>
      <c r="DY476" s="259"/>
      <c r="DZ476" s="259"/>
      <c r="EA476" s="987"/>
      <c r="EB476" s="1041" t="s">
        <v>2777</v>
      </c>
      <c r="EC476" s="802">
        <v>400000000</v>
      </c>
      <c r="EE476" s="1047"/>
    </row>
    <row r="477" spans="4:135" s="534" customFormat="1" ht="108" hidden="1" x14ac:dyDescent="0.3">
      <c r="D477" s="783">
        <v>474</v>
      </c>
      <c r="E477" s="799">
        <v>545</v>
      </c>
      <c r="F477" s="739" t="s">
        <v>203</v>
      </c>
      <c r="G477" s="739" t="s">
        <v>19</v>
      </c>
      <c r="H477" s="739" t="s">
        <v>157</v>
      </c>
      <c r="I477" s="676" t="s">
        <v>1288</v>
      </c>
      <c r="J477" s="573" t="s">
        <v>1289</v>
      </c>
      <c r="K477" s="573" t="s">
        <v>1290</v>
      </c>
      <c r="L477" s="596" t="s">
        <v>2066</v>
      </c>
      <c r="M477" s="571" t="s">
        <v>2017</v>
      </c>
      <c r="N477" s="571">
        <v>5000</v>
      </c>
      <c r="O477" s="570">
        <f t="shared" si="419"/>
        <v>7500</v>
      </c>
      <c r="P477" s="569">
        <v>2500</v>
      </c>
      <c r="Q477" s="628">
        <v>0.25</v>
      </c>
      <c r="R477" s="580">
        <f t="shared" si="381"/>
        <v>6.25E-2</v>
      </c>
      <c r="S477" s="627">
        <v>625</v>
      </c>
      <c r="T477" s="575">
        <f t="shared" si="420"/>
        <v>0.25</v>
      </c>
      <c r="U477" s="992">
        <v>1060</v>
      </c>
      <c r="V477" s="626">
        <f t="shared" si="421"/>
        <v>1060</v>
      </c>
      <c r="W477" s="594">
        <f t="shared" si="422"/>
        <v>169.6</v>
      </c>
      <c r="X477" s="594">
        <f t="shared" si="382"/>
        <v>100</v>
      </c>
      <c r="Y477" s="594">
        <f t="shared" si="417"/>
        <v>6.25E-2</v>
      </c>
      <c r="Z477" s="594">
        <f t="shared" si="383"/>
        <v>100</v>
      </c>
      <c r="AA477" s="593">
        <v>0</v>
      </c>
      <c r="AB477" s="593">
        <v>0</v>
      </c>
      <c r="AC477" s="593">
        <v>0</v>
      </c>
      <c r="AD477" s="593">
        <v>0</v>
      </c>
      <c r="AE477" s="593">
        <v>0</v>
      </c>
      <c r="AF477" s="593">
        <v>0</v>
      </c>
      <c r="AG477" s="593">
        <v>0</v>
      </c>
      <c r="AH477" s="593">
        <v>0</v>
      </c>
      <c r="AI477" s="593">
        <v>23200000</v>
      </c>
      <c r="AJ477" s="593">
        <v>23200000</v>
      </c>
      <c r="AK477" s="593">
        <v>0</v>
      </c>
      <c r="AL477" s="593">
        <v>0</v>
      </c>
      <c r="AM477" s="593">
        <v>0</v>
      </c>
      <c r="AN477" s="593">
        <v>0</v>
      </c>
      <c r="AO477" s="593">
        <v>0</v>
      </c>
      <c r="AP477" s="593">
        <v>0</v>
      </c>
      <c r="AQ477" s="593">
        <v>0</v>
      </c>
      <c r="AR477" s="593">
        <v>0</v>
      </c>
      <c r="AS477" s="593">
        <v>0</v>
      </c>
      <c r="AT477" s="570">
        <f t="shared" si="384"/>
        <v>6.25E-2</v>
      </c>
      <c r="AU477" s="571">
        <v>625</v>
      </c>
      <c r="AV477" s="625">
        <f t="shared" si="423"/>
        <v>0.25</v>
      </c>
      <c r="AW477" s="1003">
        <v>1025</v>
      </c>
      <c r="AX477" s="604">
        <f t="shared" si="424"/>
        <v>1025</v>
      </c>
      <c r="AY477" s="604">
        <f t="shared" si="425"/>
        <v>164</v>
      </c>
      <c r="AZ477" s="604">
        <f t="shared" si="385"/>
        <v>100</v>
      </c>
      <c r="BA477" s="592">
        <f t="shared" si="386"/>
        <v>6.25E-2</v>
      </c>
      <c r="BB477" s="592">
        <f t="shared" si="387"/>
        <v>100</v>
      </c>
      <c r="BC477" s="591">
        <v>4000000</v>
      </c>
      <c r="BD477" s="591">
        <v>0</v>
      </c>
      <c r="BE477" s="591">
        <v>4000000</v>
      </c>
      <c r="BF477" s="591">
        <v>0</v>
      </c>
      <c r="BG477" s="591">
        <v>0</v>
      </c>
      <c r="BH477" s="591">
        <v>0</v>
      </c>
      <c r="BI477" s="591">
        <v>0</v>
      </c>
      <c r="BJ477" s="591">
        <v>0</v>
      </c>
      <c r="BK477" s="624">
        <v>0</v>
      </c>
      <c r="BL477" s="589">
        <v>0</v>
      </c>
      <c r="BM477" s="589">
        <v>0</v>
      </c>
      <c r="BN477" s="589">
        <v>0</v>
      </c>
      <c r="BO477" s="589">
        <v>0</v>
      </c>
      <c r="BP477" s="589">
        <v>0</v>
      </c>
      <c r="BQ477" s="589">
        <v>0</v>
      </c>
      <c r="BR477" s="589">
        <v>0</v>
      </c>
      <c r="BS477" s="589">
        <v>0</v>
      </c>
      <c r="BT477" s="589">
        <v>0</v>
      </c>
      <c r="BU477" s="589">
        <v>0</v>
      </c>
      <c r="BV477" s="588">
        <f t="shared" si="388"/>
        <v>6.25E-2</v>
      </c>
      <c r="BW477" s="588">
        <v>625</v>
      </c>
      <c r="BX477" s="623">
        <f t="shared" si="426"/>
        <v>0.25</v>
      </c>
      <c r="BY477" s="633">
        <v>0</v>
      </c>
      <c r="BZ477" s="632">
        <v>3</v>
      </c>
      <c r="CA477" s="1022">
        <v>3</v>
      </c>
      <c r="CB477" s="557">
        <f t="shared" si="427"/>
        <v>3</v>
      </c>
      <c r="CC477" s="557">
        <f t="shared" si="428"/>
        <v>0.48</v>
      </c>
      <c r="CD477" s="622">
        <f t="shared" si="389"/>
        <v>0.48</v>
      </c>
      <c r="CE477" s="621">
        <f t="shared" si="390"/>
        <v>2.9999999999999997E-4</v>
      </c>
      <c r="CF477" s="605">
        <f t="shared" si="391"/>
        <v>0.48</v>
      </c>
      <c r="CG477" s="621">
        <f t="shared" si="392"/>
        <v>2.9999999999999997E-4</v>
      </c>
      <c r="CH477" s="553">
        <f t="shared" si="393"/>
        <v>6.25E-2</v>
      </c>
      <c r="CI477" s="552">
        <v>625</v>
      </c>
      <c r="CJ477" s="551">
        <f t="shared" si="429"/>
        <v>0.25</v>
      </c>
      <c r="CK477" s="871">
        <v>0</v>
      </c>
      <c r="CL477" s="533">
        <f t="shared" si="380"/>
        <v>625</v>
      </c>
      <c r="CM477" s="619">
        <f t="shared" si="430"/>
        <v>0</v>
      </c>
      <c r="CN477" s="619">
        <f t="shared" si="431"/>
        <v>0</v>
      </c>
      <c r="CO477" s="549">
        <f t="shared" si="394"/>
        <v>0</v>
      </c>
      <c r="CP477" s="619">
        <f t="shared" si="395"/>
        <v>0</v>
      </c>
      <c r="CQ477" s="619">
        <f t="shared" si="396"/>
        <v>0</v>
      </c>
      <c r="CR477" s="546">
        <v>9000000</v>
      </c>
      <c r="CS477" s="546">
        <v>9000000</v>
      </c>
      <c r="CT477" s="546">
        <v>0</v>
      </c>
      <c r="CU477" s="546">
        <v>0</v>
      </c>
      <c r="CV477" s="546">
        <v>0</v>
      </c>
      <c r="CW477" s="546">
        <v>0</v>
      </c>
      <c r="CX477" s="546">
        <v>0</v>
      </c>
      <c r="CY477" s="546">
        <v>0</v>
      </c>
      <c r="CZ477" s="618">
        <v>0</v>
      </c>
      <c r="DA477" s="618">
        <v>0</v>
      </c>
      <c r="DB477" s="618">
        <v>0</v>
      </c>
      <c r="DC477" s="618">
        <v>0</v>
      </c>
      <c r="DD477" s="618">
        <v>0</v>
      </c>
      <c r="DE477" s="618">
        <v>0</v>
      </c>
      <c r="DF477" s="618">
        <v>0</v>
      </c>
      <c r="DG477" s="618">
        <v>0</v>
      </c>
      <c r="DH477" s="618">
        <v>0</v>
      </c>
      <c r="DI477" s="618">
        <v>0</v>
      </c>
      <c r="DJ477" s="618">
        <v>0</v>
      </c>
      <c r="DK477" s="1034">
        <f t="shared" si="432"/>
        <v>2088</v>
      </c>
      <c r="DL477" s="543">
        <f t="shared" si="397"/>
        <v>0.25</v>
      </c>
      <c r="DM477" s="542">
        <f t="shared" si="398"/>
        <v>83.52</v>
      </c>
      <c r="DN477" s="594">
        <f t="shared" si="399"/>
        <v>83.52</v>
      </c>
      <c r="DO477" s="540">
        <f t="shared" si="400"/>
        <v>0.20879999999999999</v>
      </c>
      <c r="DP477" s="597">
        <f t="shared" si="418"/>
        <v>0.20879999999999999</v>
      </c>
      <c r="DQ477" s="538">
        <f t="shared" si="401"/>
        <v>0.20879999999999999</v>
      </c>
      <c r="DR477" s="617">
        <f t="shared" si="402"/>
        <v>1</v>
      </c>
      <c r="DS477" s="616">
        <f t="shared" si="403"/>
        <v>0</v>
      </c>
      <c r="DT477" s="259">
        <v>617</v>
      </c>
      <c r="DU477" s="260" t="s">
        <v>250</v>
      </c>
      <c r="DV477" s="259">
        <v>618</v>
      </c>
      <c r="DW477" s="260" t="s">
        <v>249</v>
      </c>
      <c r="DX477" s="259"/>
      <c r="DY477" s="259"/>
      <c r="DZ477" s="259"/>
      <c r="EA477" s="987"/>
      <c r="EB477" s="1041" t="s">
        <v>2778</v>
      </c>
      <c r="EC477" s="802">
        <v>9000000</v>
      </c>
      <c r="EE477" s="1047"/>
    </row>
    <row r="478" spans="4:135" s="534" customFormat="1" ht="51" hidden="1" x14ac:dyDescent="0.3">
      <c r="D478" s="783">
        <v>475</v>
      </c>
      <c r="E478" s="799">
        <v>546</v>
      </c>
      <c r="F478" s="739" t="s">
        <v>203</v>
      </c>
      <c r="G478" s="739" t="s">
        <v>9</v>
      </c>
      <c r="H478" s="739" t="s">
        <v>157</v>
      </c>
      <c r="I478" s="676" t="s">
        <v>1291</v>
      </c>
      <c r="J478" s="573" t="s">
        <v>1292</v>
      </c>
      <c r="K478" s="573" t="s">
        <v>1293</v>
      </c>
      <c r="L478" s="596" t="s">
        <v>2065</v>
      </c>
      <c r="M478" s="571" t="s">
        <v>2017</v>
      </c>
      <c r="N478" s="571">
        <v>0</v>
      </c>
      <c r="O478" s="570">
        <f t="shared" si="419"/>
        <v>4</v>
      </c>
      <c r="P478" s="569">
        <v>4</v>
      </c>
      <c r="Q478" s="628">
        <v>8.8999999999999996E-2</v>
      </c>
      <c r="R478" s="580">
        <f t="shared" si="381"/>
        <v>0</v>
      </c>
      <c r="S478" s="627">
        <v>0</v>
      </c>
      <c r="T478" s="575">
        <f t="shared" si="420"/>
        <v>0</v>
      </c>
      <c r="U478" s="992">
        <v>2</v>
      </c>
      <c r="V478" s="626">
        <f t="shared" si="421"/>
        <v>2</v>
      </c>
      <c r="W478" s="594">
        <f t="shared" si="422"/>
        <v>0</v>
      </c>
      <c r="X478" s="594">
        <f t="shared" si="382"/>
        <v>0</v>
      </c>
      <c r="Y478" s="594">
        <f t="shared" si="417"/>
        <v>0</v>
      </c>
      <c r="Z478" s="594">
        <f t="shared" si="383"/>
        <v>100</v>
      </c>
      <c r="AA478" s="593">
        <v>0</v>
      </c>
      <c r="AB478" s="593">
        <v>0</v>
      </c>
      <c r="AC478" s="593">
        <v>0</v>
      </c>
      <c r="AD478" s="593">
        <v>0</v>
      </c>
      <c r="AE478" s="593">
        <v>0</v>
      </c>
      <c r="AF478" s="593">
        <v>0</v>
      </c>
      <c r="AG478" s="593">
        <v>0</v>
      </c>
      <c r="AH478" s="593">
        <v>0</v>
      </c>
      <c r="AI478" s="593">
        <v>20700000</v>
      </c>
      <c r="AJ478" s="593">
        <v>20700000</v>
      </c>
      <c r="AK478" s="593">
        <v>0</v>
      </c>
      <c r="AL478" s="593">
        <v>0</v>
      </c>
      <c r="AM478" s="593">
        <v>0</v>
      </c>
      <c r="AN478" s="593">
        <v>0</v>
      </c>
      <c r="AO478" s="593">
        <v>0</v>
      </c>
      <c r="AP478" s="593">
        <v>0</v>
      </c>
      <c r="AQ478" s="593">
        <v>0</v>
      </c>
      <c r="AR478" s="593">
        <v>0</v>
      </c>
      <c r="AS478" s="593">
        <v>0</v>
      </c>
      <c r="AT478" s="570">
        <f t="shared" si="384"/>
        <v>0</v>
      </c>
      <c r="AU478" s="571">
        <v>0</v>
      </c>
      <c r="AV478" s="625">
        <f t="shared" si="423"/>
        <v>0</v>
      </c>
      <c r="AW478" s="1003">
        <v>1</v>
      </c>
      <c r="AX478" s="604">
        <f t="shared" si="424"/>
        <v>1</v>
      </c>
      <c r="AY478" s="604">
        <f t="shared" si="425"/>
        <v>0</v>
      </c>
      <c r="AZ478" s="604">
        <f t="shared" si="385"/>
        <v>0</v>
      </c>
      <c r="BA478" s="592">
        <f t="shared" si="386"/>
        <v>0</v>
      </c>
      <c r="BB478" s="592">
        <f t="shared" si="387"/>
        <v>100</v>
      </c>
      <c r="BC478" s="591">
        <v>0</v>
      </c>
      <c r="BD478" s="591">
        <v>0</v>
      </c>
      <c r="BE478" s="591">
        <v>0</v>
      </c>
      <c r="BF478" s="591">
        <v>0</v>
      </c>
      <c r="BG478" s="591">
        <v>0</v>
      </c>
      <c r="BH478" s="591">
        <v>0</v>
      </c>
      <c r="BI478" s="591">
        <v>0</v>
      </c>
      <c r="BJ478" s="591">
        <v>0</v>
      </c>
      <c r="BK478" s="624">
        <v>0</v>
      </c>
      <c r="BL478" s="589">
        <v>0</v>
      </c>
      <c r="BM478" s="589">
        <v>0</v>
      </c>
      <c r="BN478" s="589">
        <v>0</v>
      </c>
      <c r="BO478" s="589">
        <v>0</v>
      </c>
      <c r="BP478" s="589">
        <v>0</v>
      </c>
      <c r="BQ478" s="589">
        <v>0</v>
      </c>
      <c r="BR478" s="589">
        <v>0</v>
      </c>
      <c r="BS478" s="589">
        <v>0</v>
      </c>
      <c r="BT478" s="589">
        <v>0</v>
      </c>
      <c r="BU478" s="589">
        <v>0</v>
      </c>
      <c r="BV478" s="588">
        <f t="shared" si="388"/>
        <v>6.6750000000000004E-2</v>
      </c>
      <c r="BW478" s="588">
        <v>3</v>
      </c>
      <c r="BX478" s="623">
        <f t="shared" si="426"/>
        <v>0.75</v>
      </c>
      <c r="BY478" s="587">
        <v>3</v>
      </c>
      <c r="BZ478" s="645">
        <v>3</v>
      </c>
      <c r="CA478" s="1017">
        <v>3</v>
      </c>
      <c r="CB478" s="557">
        <f t="shared" si="427"/>
        <v>3</v>
      </c>
      <c r="CC478" s="557">
        <f t="shared" si="428"/>
        <v>100</v>
      </c>
      <c r="CD478" s="622">
        <f t="shared" si="389"/>
        <v>100</v>
      </c>
      <c r="CE478" s="621">
        <f t="shared" si="390"/>
        <v>6.6750000000000004E-2</v>
      </c>
      <c r="CF478" s="605">
        <f t="shared" si="391"/>
        <v>100</v>
      </c>
      <c r="CG478" s="621">
        <f t="shared" si="392"/>
        <v>6.6750000000000004E-2</v>
      </c>
      <c r="CH478" s="553">
        <f t="shared" si="393"/>
        <v>2.2249999999999999E-2</v>
      </c>
      <c r="CI478" s="552">
        <v>1</v>
      </c>
      <c r="CJ478" s="551">
        <f t="shared" si="429"/>
        <v>0.25</v>
      </c>
      <c r="CK478" s="871">
        <v>1</v>
      </c>
      <c r="CL478" s="533">
        <f t="shared" si="380"/>
        <v>0</v>
      </c>
      <c r="CM478" s="619">
        <f t="shared" si="430"/>
        <v>1</v>
      </c>
      <c r="CN478" s="619">
        <f t="shared" si="431"/>
        <v>100</v>
      </c>
      <c r="CO478" s="549">
        <f t="shared" si="394"/>
        <v>100</v>
      </c>
      <c r="CP478" s="619">
        <f t="shared" si="395"/>
        <v>2.2250000000000002E-2</v>
      </c>
      <c r="CQ478" s="619">
        <f t="shared" si="396"/>
        <v>2.2250000000000002E-2</v>
      </c>
      <c r="CR478" s="546">
        <v>300000000</v>
      </c>
      <c r="CS478" s="546">
        <v>300000000</v>
      </c>
      <c r="CT478" s="546">
        <v>0</v>
      </c>
      <c r="CU478" s="546">
        <v>0</v>
      </c>
      <c r="CV478" s="546">
        <v>0</v>
      </c>
      <c r="CW478" s="546">
        <v>0</v>
      </c>
      <c r="CX478" s="546">
        <v>0</v>
      </c>
      <c r="CY478" s="546">
        <v>0</v>
      </c>
      <c r="CZ478" s="618">
        <v>0</v>
      </c>
      <c r="DA478" s="618">
        <v>0</v>
      </c>
      <c r="DB478" s="618">
        <v>0</v>
      </c>
      <c r="DC478" s="618">
        <v>0</v>
      </c>
      <c r="DD478" s="618">
        <v>0</v>
      </c>
      <c r="DE478" s="618">
        <v>0</v>
      </c>
      <c r="DF478" s="618">
        <v>0</v>
      </c>
      <c r="DG478" s="618">
        <v>0</v>
      </c>
      <c r="DH478" s="618">
        <v>0</v>
      </c>
      <c r="DI478" s="618">
        <v>0</v>
      </c>
      <c r="DJ478" s="618">
        <v>0</v>
      </c>
      <c r="DK478" s="1034">
        <f t="shared" si="432"/>
        <v>7</v>
      </c>
      <c r="DL478" s="543">
        <f t="shared" si="397"/>
        <v>8.8999999999999996E-2</v>
      </c>
      <c r="DM478" s="542">
        <f t="shared" si="398"/>
        <v>175</v>
      </c>
      <c r="DN478" s="594">
        <f t="shared" si="399"/>
        <v>100</v>
      </c>
      <c r="DO478" s="540">
        <f t="shared" si="400"/>
        <v>8.900000000000001E-2</v>
      </c>
      <c r="DP478" s="597">
        <f t="shared" si="418"/>
        <v>8.8999999999999996E-2</v>
      </c>
      <c r="DQ478" s="538">
        <f t="shared" si="401"/>
        <v>8.8999999999999996E-2</v>
      </c>
      <c r="DR478" s="617">
        <f t="shared" si="402"/>
        <v>1</v>
      </c>
      <c r="DS478" s="616">
        <f t="shared" si="403"/>
        <v>0</v>
      </c>
      <c r="DT478" s="259">
        <v>616</v>
      </c>
      <c r="DU478" s="260" t="s">
        <v>251</v>
      </c>
      <c r="DV478" s="259"/>
      <c r="DW478" s="260" t="s">
        <v>242</v>
      </c>
      <c r="DX478" s="259"/>
      <c r="DY478" s="259"/>
      <c r="DZ478" s="259"/>
      <c r="EA478" s="987"/>
      <c r="EB478" s="1041" t="s">
        <v>2779</v>
      </c>
      <c r="EC478" s="802">
        <v>200000000</v>
      </c>
      <c r="EE478" s="1047"/>
    </row>
    <row r="479" spans="4:135" s="534" customFormat="1" ht="51" hidden="1" x14ac:dyDescent="0.3">
      <c r="D479" s="783">
        <v>476</v>
      </c>
      <c r="E479" s="799">
        <v>547</v>
      </c>
      <c r="F479" s="574" t="s">
        <v>203</v>
      </c>
      <c r="G479" s="574" t="s">
        <v>19</v>
      </c>
      <c r="H479" s="574" t="s">
        <v>157</v>
      </c>
      <c r="I479" s="574" t="s">
        <v>1291</v>
      </c>
      <c r="J479" s="573" t="s">
        <v>1474</v>
      </c>
      <c r="K479" s="573" t="s">
        <v>1294</v>
      </c>
      <c r="L479" s="596" t="s">
        <v>1593</v>
      </c>
      <c r="M479" s="571" t="s">
        <v>2017</v>
      </c>
      <c r="N479" s="571">
        <v>0</v>
      </c>
      <c r="O479" s="570">
        <f t="shared" si="419"/>
        <v>5</v>
      </c>
      <c r="P479" s="569">
        <v>5</v>
      </c>
      <c r="Q479" s="631">
        <v>0.16500000000000001</v>
      </c>
      <c r="R479" s="580">
        <f t="shared" si="381"/>
        <v>0.13200000000000001</v>
      </c>
      <c r="S479" s="627">
        <v>4</v>
      </c>
      <c r="T479" s="575">
        <f t="shared" si="420"/>
        <v>0.8</v>
      </c>
      <c r="U479" s="992">
        <v>4</v>
      </c>
      <c r="V479" s="626">
        <f t="shared" si="421"/>
        <v>4</v>
      </c>
      <c r="W479" s="594">
        <f t="shared" si="422"/>
        <v>100</v>
      </c>
      <c r="X479" s="594">
        <f t="shared" si="382"/>
        <v>100</v>
      </c>
      <c r="Y479" s="594">
        <f t="shared" si="417"/>
        <v>0.13200000000000001</v>
      </c>
      <c r="Z479" s="594">
        <f t="shared" si="383"/>
        <v>100</v>
      </c>
      <c r="AA479" s="593">
        <v>3860000000</v>
      </c>
      <c r="AB479" s="593">
        <v>1000000000</v>
      </c>
      <c r="AC479" s="593">
        <v>0</v>
      </c>
      <c r="AD479" s="593">
        <v>0</v>
      </c>
      <c r="AE479" s="593">
        <v>0</v>
      </c>
      <c r="AF479" s="593">
        <v>0</v>
      </c>
      <c r="AG479" s="593">
        <v>0</v>
      </c>
      <c r="AH479" s="593">
        <v>2860000000</v>
      </c>
      <c r="AI479" s="593">
        <v>1000000000</v>
      </c>
      <c r="AJ479" s="593">
        <v>1000000000</v>
      </c>
      <c r="AK479" s="593">
        <v>0</v>
      </c>
      <c r="AL479" s="593">
        <v>0</v>
      </c>
      <c r="AM479" s="593">
        <v>0</v>
      </c>
      <c r="AN479" s="593">
        <v>0</v>
      </c>
      <c r="AO479" s="593">
        <v>0</v>
      </c>
      <c r="AP479" s="593">
        <v>0</v>
      </c>
      <c r="AQ479" s="593">
        <v>0</v>
      </c>
      <c r="AR479" s="593">
        <v>2860622000</v>
      </c>
      <c r="AS479" s="593" t="s">
        <v>2064</v>
      </c>
      <c r="AT479" s="630">
        <f t="shared" si="384"/>
        <v>3.3000000000000002E-2</v>
      </c>
      <c r="AU479" s="571">
        <v>1</v>
      </c>
      <c r="AV479" s="625">
        <f t="shared" si="423"/>
        <v>0.2</v>
      </c>
      <c r="AW479" s="1003">
        <v>1</v>
      </c>
      <c r="AX479" s="604">
        <f t="shared" si="424"/>
        <v>1</v>
      </c>
      <c r="AY479" s="604">
        <f t="shared" si="425"/>
        <v>100</v>
      </c>
      <c r="AZ479" s="604">
        <f t="shared" si="385"/>
        <v>100</v>
      </c>
      <c r="BA479" s="592">
        <f t="shared" si="386"/>
        <v>3.3000000000000002E-2</v>
      </c>
      <c r="BB479" s="592">
        <f t="shared" si="387"/>
        <v>100</v>
      </c>
      <c r="BC479" s="591">
        <v>8100000000</v>
      </c>
      <c r="BD479" s="591">
        <v>0</v>
      </c>
      <c r="BE479" s="591">
        <v>2100000000</v>
      </c>
      <c r="BF479" s="591">
        <v>0</v>
      </c>
      <c r="BG479" s="591">
        <v>0</v>
      </c>
      <c r="BH479" s="591">
        <v>0</v>
      </c>
      <c r="BI479" s="591">
        <v>0</v>
      </c>
      <c r="BJ479" s="591">
        <v>6000000000</v>
      </c>
      <c r="BK479" s="624">
        <v>16640000</v>
      </c>
      <c r="BL479" s="589">
        <v>16640000</v>
      </c>
      <c r="BM479" s="589">
        <v>0</v>
      </c>
      <c r="BN479" s="589">
        <v>0</v>
      </c>
      <c r="BO479" s="589">
        <v>0</v>
      </c>
      <c r="BP479" s="589">
        <v>0</v>
      </c>
      <c r="BQ479" s="589">
        <v>0</v>
      </c>
      <c r="BR479" s="589">
        <v>0</v>
      </c>
      <c r="BS479" s="589">
        <v>0</v>
      </c>
      <c r="BT479" s="589">
        <v>0</v>
      </c>
      <c r="BU479" s="589">
        <v>0</v>
      </c>
      <c r="BV479" s="588">
        <f t="shared" si="388"/>
        <v>0</v>
      </c>
      <c r="BW479" s="588">
        <v>0</v>
      </c>
      <c r="BX479" s="623">
        <f t="shared" si="426"/>
        <v>0</v>
      </c>
      <c r="BY479" s="633">
        <v>0</v>
      </c>
      <c r="BZ479" s="632">
        <v>0</v>
      </c>
      <c r="CA479" s="1022">
        <v>0</v>
      </c>
      <c r="CB479" s="557">
        <f t="shared" si="427"/>
        <v>0</v>
      </c>
      <c r="CC479" s="557">
        <f t="shared" si="428"/>
        <v>0</v>
      </c>
      <c r="CD479" s="622">
        <f t="shared" si="389"/>
        <v>0</v>
      </c>
      <c r="CE479" s="621">
        <f t="shared" si="390"/>
        <v>0</v>
      </c>
      <c r="CF479" s="605">
        <f t="shared" si="391"/>
        <v>0</v>
      </c>
      <c r="CG479" s="621">
        <f t="shared" si="392"/>
        <v>0</v>
      </c>
      <c r="CH479" s="553">
        <f t="shared" si="393"/>
        <v>0</v>
      </c>
      <c r="CI479" s="552">
        <v>0</v>
      </c>
      <c r="CJ479" s="551">
        <f t="shared" si="429"/>
        <v>0</v>
      </c>
      <c r="CK479" s="871">
        <v>0</v>
      </c>
      <c r="CL479" s="533">
        <f t="shared" si="380"/>
        <v>0</v>
      </c>
      <c r="CM479" s="619">
        <f t="shared" si="430"/>
        <v>0</v>
      </c>
      <c r="CN479" s="619">
        <f t="shared" si="431"/>
        <v>0</v>
      </c>
      <c r="CO479" s="549">
        <f t="shared" si="394"/>
        <v>0</v>
      </c>
      <c r="CP479" s="619">
        <f t="shared" si="395"/>
        <v>0</v>
      </c>
      <c r="CQ479" s="619">
        <f t="shared" si="396"/>
        <v>0</v>
      </c>
      <c r="CR479" s="546">
        <v>1000000000</v>
      </c>
      <c r="CS479" s="546">
        <v>500000000</v>
      </c>
      <c r="CT479" s="546">
        <v>0</v>
      </c>
      <c r="CU479" s="546">
        <v>0</v>
      </c>
      <c r="CV479" s="546">
        <v>0</v>
      </c>
      <c r="CW479" s="546">
        <v>0</v>
      </c>
      <c r="CX479" s="546">
        <v>0</v>
      </c>
      <c r="CY479" s="546">
        <v>500000000</v>
      </c>
      <c r="CZ479" s="618">
        <v>0</v>
      </c>
      <c r="DA479" s="618">
        <v>0</v>
      </c>
      <c r="DB479" s="618">
        <v>0</v>
      </c>
      <c r="DC479" s="618">
        <v>0</v>
      </c>
      <c r="DD479" s="618">
        <v>0</v>
      </c>
      <c r="DE479" s="618">
        <v>0</v>
      </c>
      <c r="DF479" s="618">
        <v>0</v>
      </c>
      <c r="DG479" s="618">
        <v>0</v>
      </c>
      <c r="DH479" s="618">
        <v>0</v>
      </c>
      <c r="DI479" s="618">
        <v>0</v>
      </c>
      <c r="DJ479" s="618">
        <v>0</v>
      </c>
      <c r="DK479" s="1034">
        <f t="shared" si="432"/>
        <v>5</v>
      </c>
      <c r="DL479" s="543">
        <f t="shared" si="397"/>
        <v>0.16500000000000001</v>
      </c>
      <c r="DM479" s="542">
        <f t="shared" si="398"/>
        <v>100</v>
      </c>
      <c r="DN479" s="594">
        <f t="shared" si="399"/>
        <v>100</v>
      </c>
      <c r="DO479" s="540">
        <f t="shared" si="400"/>
        <v>0.16500000000000001</v>
      </c>
      <c r="DP479" s="597">
        <f t="shared" si="418"/>
        <v>0.16500000000000001</v>
      </c>
      <c r="DQ479" s="538">
        <f t="shared" si="401"/>
        <v>0.16500000000000001</v>
      </c>
      <c r="DR479" s="617">
        <f t="shared" si="402"/>
        <v>1</v>
      </c>
      <c r="DS479" s="616">
        <f t="shared" si="403"/>
        <v>0</v>
      </c>
      <c r="DT479" s="259">
        <v>616</v>
      </c>
      <c r="DU479" s="260" t="s">
        <v>251</v>
      </c>
      <c r="DV479" s="259"/>
      <c r="DW479" s="260" t="s">
        <v>242</v>
      </c>
      <c r="DX479" s="259"/>
      <c r="DY479" s="259"/>
      <c r="DZ479" s="259"/>
      <c r="EA479" s="987"/>
      <c r="EB479" s="1041" t="s">
        <v>2780</v>
      </c>
      <c r="EC479" s="802">
        <v>6000000000</v>
      </c>
      <c r="EE479" s="1047"/>
    </row>
    <row r="480" spans="4:135" s="534" customFormat="1" ht="84" hidden="1" x14ac:dyDescent="0.3">
      <c r="D480" s="783">
        <v>477</v>
      </c>
      <c r="E480" s="799">
        <v>548</v>
      </c>
      <c r="F480" s="739" t="s">
        <v>203</v>
      </c>
      <c r="G480" s="739" t="s">
        <v>19</v>
      </c>
      <c r="H480" s="739" t="s">
        <v>157</v>
      </c>
      <c r="I480" s="676" t="s">
        <v>1291</v>
      </c>
      <c r="J480" s="573" t="s">
        <v>1295</v>
      </c>
      <c r="K480" s="573" t="s">
        <v>1296</v>
      </c>
      <c r="L480" s="596" t="s">
        <v>2063</v>
      </c>
      <c r="M480" s="571" t="s">
        <v>2017</v>
      </c>
      <c r="N480" s="571">
        <v>0</v>
      </c>
      <c r="O480" s="570">
        <f t="shared" si="419"/>
        <v>4</v>
      </c>
      <c r="P480" s="569">
        <v>4</v>
      </c>
      <c r="Q480" s="628">
        <v>0.25</v>
      </c>
      <c r="R480" s="580">
        <f t="shared" si="381"/>
        <v>0</v>
      </c>
      <c r="S480" s="627">
        <v>0</v>
      </c>
      <c r="T480" s="575">
        <f t="shared" si="420"/>
        <v>0</v>
      </c>
      <c r="U480" s="992">
        <v>0</v>
      </c>
      <c r="V480" s="626">
        <f t="shared" si="421"/>
        <v>0</v>
      </c>
      <c r="W480" s="594">
        <f t="shared" si="422"/>
        <v>0</v>
      </c>
      <c r="X480" s="594">
        <f t="shared" si="382"/>
        <v>0</v>
      </c>
      <c r="Y480" s="594">
        <f t="shared" si="417"/>
        <v>0</v>
      </c>
      <c r="Z480" s="594">
        <f t="shared" si="383"/>
        <v>0</v>
      </c>
      <c r="AA480" s="593">
        <v>85000000</v>
      </c>
      <c r="AB480" s="593">
        <v>85000000</v>
      </c>
      <c r="AC480" s="593">
        <v>0</v>
      </c>
      <c r="AD480" s="593">
        <v>0</v>
      </c>
      <c r="AE480" s="593">
        <v>0</v>
      </c>
      <c r="AF480" s="593">
        <v>0</v>
      </c>
      <c r="AG480" s="593">
        <v>0</v>
      </c>
      <c r="AH480" s="593">
        <v>0</v>
      </c>
      <c r="AI480" s="593">
        <v>0</v>
      </c>
      <c r="AJ480" s="593">
        <v>0</v>
      </c>
      <c r="AK480" s="593">
        <v>0</v>
      </c>
      <c r="AL480" s="593">
        <v>0</v>
      </c>
      <c r="AM480" s="593">
        <v>0</v>
      </c>
      <c r="AN480" s="593">
        <v>0</v>
      </c>
      <c r="AO480" s="593">
        <v>0</v>
      </c>
      <c r="AP480" s="593">
        <v>0</v>
      </c>
      <c r="AQ480" s="593">
        <v>0</v>
      </c>
      <c r="AR480" s="593">
        <v>0</v>
      </c>
      <c r="AS480" s="593">
        <v>0</v>
      </c>
      <c r="AT480" s="570">
        <f t="shared" si="384"/>
        <v>6.25E-2</v>
      </c>
      <c r="AU480" s="571">
        <v>1</v>
      </c>
      <c r="AV480" s="625">
        <f t="shared" si="423"/>
        <v>0.25</v>
      </c>
      <c r="AW480" s="1003">
        <v>1</v>
      </c>
      <c r="AX480" s="604">
        <f t="shared" si="424"/>
        <v>1</v>
      </c>
      <c r="AY480" s="604">
        <f t="shared" si="425"/>
        <v>100</v>
      </c>
      <c r="AZ480" s="604">
        <f t="shared" si="385"/>
        <v>100</v>
      </c>
      <c r="BA480" s="592">
        <f t="shared" si="386"/>
        <v>6.25E-2</v>
      </c>
      <c r="BB480" s="592">
        <f t="shared" si="387"/>
        <v>100</v>
      </c>
      <c r="BC480" s="591">
        <v>267000000</v>
      </c>
      <c r="BD480" s="591">
        <v>0</v>
      </c>
      <c r="BE480" s="591">
        <v>267000000</v>
      </c>
      <c r="BF480" s="591">
        <v>0</v>
      </c>
      <c r="BG480" s="591">
        <v>0</v>
      </c>
      <c r="BH480" s="591">
        <v>0</v>
      </c>
      <c r="BI480" s="591">
        <v>0</v>
      </c>
      <c r="BJ480" s="591">
        <v>0</v>
      </c>
      <c r="BK480" s="624">
        <v>536349880</v>
      </c>
      <c r="BL480" s="589">
        <v>536349880</v>
      </c>
      <c r="BM480" s="589">
        <v>0</v>
      </c>
      <c r="BN480" s="589">
        <v>0</v>
      </c>
      <c r="BO480" s="589">
        <v>0</v>
      </c>
      <c r="BP480" s="589">
        <v>0</v>
      </c>
      <c r="BQ480" s="589">
        <v>0</v>
      </c>
      <c r="BR480" s="589">
        <v>0</v>
      </c>
      <c r="BS480" s="589">
        <v>0</v>
      </c>
      <c r="BT480" s="589">
        <v>35600000</v>
      </c>
      <c r="BU480" s="589" t="s">
        <v>2062</v>
      </c>
      <c r="BV480" s="588">
        <f t="shared" si="388"/>
        <v>0.125</v>
      </c>
      <c r="BW480" s="588">
        <v>2</v>
      </c>
      <c r="BX480" s="623">
        <f t="shared" si="426"/>
        <v>0.5</v>
      </c>
      <c r="BY480" s="607">
        <v>3</v>
      </c>
      <c r="BZ480" s="606">
        <v>3</v>
      </c>
      <c r="CA480" s="1021">
        <v>3</v>
      </c>
      <c r="CB480" s="557">
        <f t="shared" si="427"/>
        <v>3</v>
      </c>
      <c r="CC480" s="557">
        <f t="shared" si="428"/>
        <v>150</v>
      </c>
      <c r="CD480" s="622">
        <f t="shared" si="389"/>
        <v>100</v>
      </c>
      <c r="CE480" s="621">
        <f t="shared" si="390"/>
        <v>0.125</v>
      </c>
      <c r="CF480" s="605">
        <f t="shared" si="391"/>
        <v>100</v>
      </c>
      <c r="CG480" s="621">
        <f t="shared" si="392"/>
        <v>0.1875</v>
      </c>
      <c r="CH480" s="553">
        <f t="shared" si="393"/>
        <v>6.25E-2</v>
      </c>
      <c r="CI480" s="552">
        <v>1</v>
      </c>
      <c r="CJ480" s="551">
        <f t="shared" si="429"/>
        <v>0.25</v>
      </c>
      <c r="CK480" s="874">
        <v>0</v>
      </c>
      <c r="CL480" s="533">
        <f t="shared" si="380"/>
        <v>1</v>
      </c>
      <c r="CM480" s="619">
        <f t="shared" si="430"/>
        <v>0</v>
      </c>
      <c r="CN480" s="619">
        <f t="shared" si="431"/>
        <v>0</v>
      </c>
      <c r="CO480" s="549">
        <f t="shared" si="394"/>
        <v>0</v>
      </c>
      <c r="CP480" s="619">
        <f t="shared" si="395"/>
        <v>0</v>
      </c>
      <c r="CQ480" s="619">
        <f t="shared" si="396"/>
        <v>0</v>
      </c>
      <c r="CR480" s="546">
        <v>266000000</v>
      </c>
      <c r="CS480" s="546">
        <v>266000000</v>
      </c>
      <c r="CT480" s="546">
        <v>0</v>
      </c>
      <c r="CU480" s="546">
        <v>0</v>
      </c>
      <c r="CV480" s="546">
        <v>0</v>
      </c>
      <c r="CW480" s="546">
        <v>0</v>
      </c>
      <c r="CX480" s="546">
        <v>0</v>
      </c>
      <c r="CY480" s="546">
        <v>0</v>
      </c>
      <c r="CZ480" s="618">
        <v>0</v>
      </c>
      <c r="DA480" s="618">
        <v>0</v>
      </c>
      <c r="DB480" s="618">
        <v>0</v>
      </c>
      <c r="DC480" s="618">
        <v>0</v>
      </c>
      <c r="DD480" s="618">
        <v>0</v>
      </c>
      <c r="DE480" s="618">
        <v>0</v>
      </c>
      <c r="DF480" s="618">
        <v>0</v>
      </c>
      <c r="DG480" s="618">
        <v>0</v>
      </c>
      <c r="DH480" s="618">
        <v>0</v>
      </c>
      <c r="DI480" s="618">
        <v>0</v>
      </c>
      <c r="DJ480" s="618">
        <v>0</v>
      </c>
      <c r="DK480" s="1034">
        <f t="shared" si="432"/>
        <v>4</v>
      </c>
      <c r="DL480" s="543">
        <f t="shared" si="397"/>
        <v>0.25</v>
      </c>
      <c r="DM480" s="542">
        <f t="shared" si="398"/>
        <v>100</v>
      </c>
      <c r="DN480" s="594">
        <f t="shared" si="399"/>
        <v>100</v>
      </c>
      <c r="DO480" s="540">
        <f t="shared" si="400"/>
        <v>0.25</v>
      </c>
      <c r="DP480" s="597">
        <f t="shared" si="418"/>
        <v>0.25</v>
      </c>
      <c r="DQ480" s="538">
        <f t="shared" si="401"/>
        <v>0.25</v>
      </c>
      <c r="DR480" s="617">
        <f t="shared" si="402"/>
        <v>1</v>
      </c>
      <c r="DS480" s="616">
        <f t="shared" si="403"/>
        <v>0</v>
      </c>
      <c r="DT480" s="259">
        <v>616</v>
      </c>
      <c r="DU480" s="260" t="s">
        <v>251</v>
      </c>
      <c r="DV480" s="259">
        <v>617</v>
      </c>
      <c r="DW480" s="260" t="s">
        <v>250</v>
      </c>
      <c r="DX480" s="259">
        <v>618</v>
      </c>
      <c r="DY480" s="259"/>
      <c r="DZ480" s="259"/>
      <c r="EA480" s="987"/>
      <c r="EB480" s="1041" t="s">
        <v>2781</v>
      </c>
      <c r="EC480" s="802">
        <v>267000000</v>
      </c>
      <c r="EE480" s="1047"/>
    </row>
    <row r="481" spans="4:135" s="534" customFormat="1" ht="51" hidden="1" x14ac:dyDescent="0.3">
      <c r="D481" s="783">
        <v>478</v>
      </c>
      <c r="E481" s="799">
        <v>549</v>
      </c>
      <c r="F481" s="739" t="s">
        <v>203</v>
      </c>
      <c r="G481" s="739" t="s">
        <v>19</v>
      </c>
      <c r="H481" s="739" t="s">
        <v>157</v>
      </c>
      <c r="I481" s="676" t="s">
        <v>1291</v>
      </c>
      <c r="J481" s="573" t="s">
        <v>1297</v>
      </c>
      <c r="K481" s="573" t="s">
        <v>1298</v>
      </c>
      <c r="L481" s="596" t="s">
        <v>2061</v>
      </c>
      <c r="M481" s="571" t="s">
        <v>2017</v>
      </c>
      <c r="N481" s="571">
        <v>0</v>
      </c>
      <c r="O481" s="570">
        <f t="shared" si="419"/>
        <v>4</v>
      </c>
      <c r="P481" s="569">
        <v>4</v>
      </c>
      <c r="Q481" s="628">
        <v>0.16500000000000001</v>
      </c>
      <c r="R481" s="580">
        <f t="shared" si="381"/>
        <v>4.1250000000000002E-2</v>
      </c>
      <c r="S481" s="627">
        <v>1</v>
      </c>
      <c r="T481" s="575">
        <f t="shared" si="420"/>
        <v>0.25</v>
      </c>
      <c r="U481" s="992">
        <v>0</v>
      </c>
      <c r="V481" s="626">
        <f t="shared" si="421"/>
        <v>0</v>
      </c>
      <c r="W481" s="594">
        <f t="shared" si="422"/>
        <v>0</v>
      </c>
      <c r="X481" s="594">
        <f t="shared" si="382"/>
        <v>0</v>
      </c>
      <c r="Y481" s="594">
        <f t="shared" si="417"/>
        <v>0</v>
      </c>
      <c r="Z481" s="594">
        <f t="shared" si="383"/>
        <v>0</v>
      </c>
      <c r="AA481" s="593">
        <v>0</v>
      </c>
      <c r="AB481" s="593">
        <v>0</v>
      </c>
      <c r="AC481" s="593">
        <v>0</v>
      </c>
      <c r="AD481" s="593">
        <v>0</v>
      </c>
      <c r="AE481" s="593">
        <v>0</v>
      </c>
      <c r="AF481" s="593">
        <v>0</v>
      </c>
      <c r="AG481" s="593">
        <v>0</v>
      </c>
      <c r="AH481" s="593">
        <v>0</v>
      </c>
      <c r="AI481" s="593">
        <v>0</v>
      </c>
      <c r="AJ481" s="593">
        <v>0</v>
      </c>
      <c r="AK481" s="593">
        <v>0</v>
      </c>
      <c r="AL481" s="593">
        <v>0</v>
      </c>
      <c r="AM481" s="593">
        <v>0</v>
      </c>
      <c r="AN481" s="593">
        <v>0</v>
      </c>
      <c r="AO481" s="593">
        <v>0</v>
      </c>
      <c r="AP481" s="593">
        <v>0</v>
      </c>
      <c r="AQ481" s="593">
        <v>0</v>
      </c>
      <c r="AR481" s="593">
        <v>0</v>
      </c>
      <c r="AS481" s="593">
        <v>0</v>
      </c>
      <c r="AT481" s="570">
        <f t="shared" si="384"/>
        <v>4.1250000000000002E-2</v>
      </c>
      <c r="AU481" s="571">
        <v>1</v>
      </c>
      <c r="AV481" s="625">
        <f t="shared" si="423"/>
        <v>0.25</v>
      </c>
      <c r="AW481" s="1003">
        <v>3</v>
      </c>
      <c r="AX481" s="604">
        <f t="shared" si="424"/>
        <v>3</v>
      </c>
      <c r="AY481" s="604">
        <f t="shared" si="425"/>
        <v>300</v>
      </c>
      <c r="AZ481" s="604">
        <f t="shared" si="385"/>
        <v>100</v>
      </c>
      <c r="BA481" s="592">
        <f t="shared" si="386"/>
        <v>4.1250000000000002E-2</v>
      </c>
      <c r="BB481" s="592">
        <f t="shared" si="387"/>
        <v>100</v>
      </c>
      <c r="BC481" s="591">
        <v>0</v>
      </c>
      <c r="BD481" s="591">
        <v>0</v>
      </c>
      <c r="BE481" s="591">
        <v>0</v>
      </c>
      <c r="BF481" s="591">
        <v>0</v>
      </c>
      <c r="BG481" s="591">
        <v>0</v>
      </c>
      <c r="BH481" s="591">
        <v>0</v>
      </c>
      <c r="BI481" s="591">
        <v>0</v>
      </c>
      <c r="BJ481" s="591">
        <v>0</v>
      </c>
      <c r="BK481" s="624">
        <v>53882574</v>
      </c>
      <c r="BL481" s="589">
        <v>53882574</v>
      </c>
      <c r="BM481" s="589">
        <v>0</v>
      </c>
      <c r="BN481" s="589">
        <v>0</v>
      </c>
      <c r="BO481" s="589">
        <v>0</v>
      </c>
      <c r="BP481" s="589">
        <v>0</v>
      </c>
      <c r="BQ481" s="589">
        <v>0</v>
      </c>
      <c r="BR481" s="589">
        <v>0</v>
      </c>
      <c r="BS481" s="589">
        <v>0</v>
      </c>
      <c r="BT481" s="589">
        <v>0</v>
      </c>
      <c r="BU481" s="589">
        <v>0</v>
      </c>
      <c r="BV481" s="588">
        <f t="shared" si="388"/>
        <v>4.1250000000000002E-2</v>
      </c>
      <c r="BW481" s="588">
        <v>1</v>
      </c>
      <c r="BX481" s="623">
        <f t="shared" si="426"/>
        <v>0.25</v>
      </c>
      <c r="BY481" s="587">
        <v>2</v>
      </c>
      <c r="BZ481" s="586">
        <v>0</v>
      </c>
      <c r="CA481" s="1021">
        <v>2</v>
      </c>
      <c r="CB481" s="557">
        <f t="shared" si="427"/>
        <v>2</v>
      </c>
      <c r="CC481" s="557">
        <f t="shared" si="428"/>
        <v>200</v>
      </c>
      <c r="CD481" s="622">
        <f t="shared" si="389"/>
        <v>100</v>
      </c>
      <c r="CE481" s="621">
        <f t="shared" si="390"/>
        <v>4.1250000000000002E-2</v>
      </c>
      <c r="CF481" s="605">
        <f t="shared" si="391"/>
        <v>100</v>
      </c>
      <c r="CG481" s="621">
        <f t="shared" si="392"/>
        <v>8.2500000000000004E-2</v>
      </c>
      <c r="CH481" s="553">
        <f t="shared" si="393"/>
        <v>4.1250000000000002E-2</v>
      </c>
      <c r="CI481" s="552">
        <v>1</v>
      </c>
      <c r="CJ481" s="551">
        <f t="shared" si="429"/>
        <v>0.25</v>
      </c>
      <c r="CK481" s="875">
        <v>0</v>
      </c>
      <c r="CL481" s="533">
        <f t="shared" si="380"/>
        <v>1</v>
      </c>
      <c r="CM481" s="619">
        <f t="shared" si="430"/>
        <v>0</v>
      </c>
      <c r="CN481" s="619">
        <f t="shared" si="431"/>
        <v>0</v>
      </c>
      <c r="CO481" s="549">
        <f t="shared" si="394"/>
        <v>0</v>
      </c>
      <c r="CP481" s="619">
        <f t="shared" si="395"/>
        <v>0</v>
      </c>
      <c r="CQ481" s="619">
        <f t="shared" si="396"/>
        <v>0</v>
      </c>
      <c r="CR481" s="546">
        <v>0</v>
      </c>
      <c r="CS481" s="546">
        <v>0</v>
      </c>
      <c r="CT481" s="546">
        <v>0</v>
      </c>
      <c r="CU481" s="546">
        <v>0</v>
      </c>
      <c r="CV481" s="546">
        <v>0</v>
      </c>
      <c r="CW481" s="546">
        <v>0</v>
      </c>
      <c r="CX481" s="546">
        <v>0</v>
      </c>
      <c r="CY481" s="546">
        <v>0</v>
      </c>
      <c r="CZ481" s="618">
        <v>0</v>
      </c>
      <c r="DA481" s="618">
        <v>0</v>
      </c>
      <c r="DB481" s="618">
        <v>0</v>
      </c>
      <c r="DC481" s="618">
        <v>0</v>
      </c>
      <c r="DD481" s="618">
        <v>0</v>
      </c>
      <c r="DE481" s="618">
        <v>0</v>
      </c>
      <c r="DF481" s="618">
        <v>0</v>
      </c>
      <c r="DG481" s="618">
        <v>0</v>
      </c>
      <c r="DH481" s="618">
        <v>0</v>
      </c>
      <c r="DI481" s="618">
        <v>0</v>
      </c>
      <c r="DJ481" s="618">
        <v>0</v>
      </c>
      <c r="DK481" s="1034">
        <f t="shared" si="432"/>
        <v>5</v>
      </c>
      <c r="DL481" s="543">
        <f t="shared" si="397"/>
        <v>0.16500000000000001</v>
      </c>
      <c r="DM481" s="542">
        <f t="shared" si="398"/>
        <v>125</v>
      </c>
      <c r="DN481" s="594">
        <f t="shared" si="399"/>
        <v>100</v>
      </c>
      <c r="DO481" s="540">
        <f t="shared" si="400"/>
        <v>0.16500000000000001</v>
      </c>
      <c r="DP481" s="597">
        <f t="shared" si="418"/>
        <v>0.16500000000000001</v>
      </c>
      <c r="DQ481" s="538">
        <f t="shared" si="401"/>
        <v>0.16500000000000001</v>
      </c>
      <c r="DR481" s="617">
        <f t="shared" si="402"/>
        <v>1</v>
      </c>
      <c r="DS481" s="616">
        <f t="shared" si="403"/>
        <v>0</v>
      </c>
      <c r="DT481" s="259">
        <v>618</v>
      </c>
      <c r="DU481" s="260" t="s">
        <v>249</v>
      </c>
      <c r="DV481" s="259"/>
      <c r="DW481" s="260" t="s">
        <v>242</v>
      </c>
      <c r="DX481" s="259"/>
      <c r="DY481" s="259"/>
      <c r="DZ481" s="259"/>
      <c r="EA481" s="987"/>
      <c r="EB481" s="1041" t="s">
        <v>2782</v>
      </c>
      <c r="EC481" s="802">
        <v>0</v>
      </c>
      <c r="EE481" s="1047"/>
    </row>
    <row r="482" spans="4:135" s="534" customFormat="1" ht="102" hidden="1" x14ac:dyDescent="0.3">
      <c r="D482" s="783">
        <v>479</v>
      </c>
      <c r="E482" s="799">
        <v>550</v>
      </c>
      <c r="F482" s="739" t="s">
        <v>203</v>
      </c>
      <c r="G482" s="739" t="s">
        <v>19</v>
      </c>
      <c r="H482" s="739" t="s">
        <v>157</v>
      </c>
      <c r="I482" s="676" t="s">
        <v>1299</v>
      </c>
      <c r="J482" s="573" t="s">
        <v>1300</v>
      </c>
      <c r="K482" s="573" t="s">
        <v>1301</v>
      </c>
      <c r="L482" s="596" t="s">
        <v>1593</v>
      </c>
      <c r="M482" s="571" t="s">
        <v>2017</v>
      </c>
      <c r="N482" s="571">
        <v>0</v>
      </c>
      <c r="O482" s="570">
        <f t="shared" si="419"/>
        <v>12</v>
      </c>
      <c r="P482" s="569">
        <v>12</v>
      </c>
      <c r="Q482" s="628">
        <v>0.16500000000000001</v>
      </c>
      <c r="R482" s="580">
        <f t="shared" si="381"/>
        <v>4.1250000000000002E-2</v>
      </c>
      <c r="S482" s="627">
        <v>3</v>
      </c>
      <c r="T482" s="575">
        <f t="shared" si="420"/>
        <v>0.25</v>
      </c>
      <c r="U482" s="992">
        <v>3</v>
      </c>
      <c r="V482" s="626">
        <f t="shared" si="421"/>
        <v>3</v>
      </c>
      <c r="W482" s="594">
        <f t="shared" si="422"/>
        <v>100</v>
      </c>
      <c r="X482" s="594">
        <f t="shared" si="382"/>
        <v>100</v>
      </c>
      <c r="Y482" s="594">
        <f t="shared" si="417"/>
        <v>4.1250000000000002E-2</v>
      </c>
      <c r="Z482" s="594">
        <f t="shared" si="383"/>
        <v>100</v>
      </c>
      <c r="AA482" s="593">
        <v>0</v>
      </c>
      <c r="AB482" s="593">
        <v>0</v>
      </c>
      <c r="AC482" s="593">
        <v>0</v>
      </c>
      <c r="AD482" s="593">
        <v>0</v>
      </c>
      <c r="AE482" s="593">
        <v>0</v>
      </c>
      <c r="AF482" s="593">
        <v>0</v>
      </c>
      <c r="AG482" s="593">
        <v>0</v>
      </c>
      <c r="AH482" s="593">
        <v>0</v>
      </c>
      <c r="AI482" s="593">
        <v>0</v>
      </c>
      <c r="AJ482" s="593">
        <v>0</v>
      </c>
      <c r="AK482" s="593">
        <v>0</v>
      </c>
      <c r="AL482" s="593">
        <v>0</v>
      </c>
      <c r="AM482" s="593">
        <v>0</v>
      </c>
      <c r="AN482" s="593">
        <v>0</v>
      </c>
      <c r="AO482" s="593">
        <v>0</v>
      </c>
      <c r="AP482" s="593">
        <v>0</v>
      </c>
      <c r="AQ482" s="593">
        <v>0</v>
      </c>
      <c r="AR482" s="593">
        <v>0</v>
      </c>
      <c r="AS482" s="593">
        <v>0</v>
      </c>
      <c r="AT482" s="570">
        <f t="shared" si="384"/>
        <v>4.1250000000000002E-2</v>
      </c>
      <c r="AU482" s="571">
        <v>3</v>
      </c>
      <c r="AV482" s="625">
        <f t="shared" si="423"/>
        <v>0.25</v>
      </c>
      <c r="AW482" s="1003">
        <v>2</v>
      </c>
      <c r="AX482" s="604">
        <f t="shared" si="424"/>
        <v>2</v>
      </c>
      <c r="AY482" s="604">
        <f t="shared" si="425"/>
        <v>66.666666666666671</v>
      </c>
      <c r="AZ482" s="604">
        <f t="shared" si="385"/>
        <v>66.666666666666671</v>
      </c>
      <c r="BA482" s="592">
        <f t="shared" si="386"/>
        <v>2.7500000000000004E-2</v>
      </c>
      <c r="BB482" s="592">
        <f t="shared" si="387"/>
        <v>66.666666666666671</v>
      </c>
      <c r="BC482" s="591">
        <v>0</v>
      </c>
      <c r="BD482" s="591">
        <v>0</v>
      </c>
      <c r="BE482" s="591">
        <v>0</v>
      </c>
      <c r="BF482" s="591">
        <v>0</v>
      </c>
      <c r="BG482" s="591">
        <v>0</v>
      </c>
      <c r="BH482" s="591">
        <v>0</v>
      </c>
      <c r="BI482" s="591">
        <v>0</v>
      </c>
      <c r="BJ482" s="591">
        <v>0</v>
      </c>
      <c r="BK482" s="624">
        <v>0</v>
      </c>
      <c r="BL482" s="589">
        <v>0</v>
      </c>
      <c r="BM482" s="589">
        <v>0</v>
      </c>
      <c r="BN482" s="589">
        <v>0</v>
      </c>
      <c r="BO482" s="589">
        <v>0</v>
      </c>
      <c r="BP482" s="589">
        <v>0</v>
      </c>
      <c r="BQ482" s="589">
        <v>0</v>
      </c>
      <c r="BR482" s="589">
        <v>0</v>
      </c>
      <c r="BS482" s="589">
        <v>0</v>
      </c>
      <c r="BT482" s="589">
        <v>0</v>
      </c>
      <c r="BU482" s="589">
        <v>0</v>
      </c>
      <c r="BV482" s="588">
        <f t="shared" si="388"/>
        <v>4.1250000000000002E-2</v>
      </c>
      <c r="BW482" s="588">
        <v>3</v>
      </c>
      <c r="BX482" s="623">
        <f t="shared" si="426"/>
        <v>0.25</v>
      </c>
      <c r="BY482" s="633">
        <v>0</v>
      </c>
      <c r="BZ482" s="632">
        <v>0</v>
      </c>
      <c r="CA482" s="1022">
        <v>0</v>
      </c>
      <c r="CB482" s="557">
        <f t="shared" si="427"/>
        <v>0</v>
      </c>
      <c r="CC482" s="557">
        <f t="shared" si="428"/>
        <v>0</v>
      </c>
      <c r="CD482" s="622">
        <f t="shared" si="389"/>
        <v>0</v>
      </c>
      <c r="CE482" s="621">
        <f t="shared" si="390"/>
        <v>0</v>
      </c>
      <c r="CF482" s="605">
        <f t="shared" si="391"/>
        <v>0</v>
      </c>
      <c r="CG482" s="621">
        <f t="shared" si="392"/>
        <v>0</v>
      </c>
      <c r="CH482" s="553">
        <f t="shared" si="393"/>
        <v>4.1250000000000002E-2</v>
      </c>
      <c r="CI482" s="552">
        <v>3</v>
      </c>
      <c r="CJ482" s="551">
        <f t="shared" si="429"/>
        <v>0.25</v>
      </c>
      <c r="CK482" s="871">
        <v>0</v>
      </c>
      <c r="CL482" s="533">
        <f t="shared" si="380"/>
        <v>3</v>
      </c>
      <c r="CM482" s="619">
        <f t="shared" si="430"/>
        <v>0</v>
      </c>
      <c r="CN482" s="619">
        <f t="shared" si="431"/>
        <v>0</v>
      </c>
      <c r="CO482" s="549">
        <f t="shared" si="394"/>
        <v>0</v>
      </c>
      <c r="CP482" s="619">
        <f t="shared" si="395"/>
        <v>0</v>
      </c>
      <c r="CQ482" s="619">
        <f t="shared" si="396"/>
        <v>0</v>
      </c>
      <c r="CR482" s="546">
        <v>0</v>
      </c>
      <c r="CS482" s="546">
        <v>0</v>
      </c>
      <c r="CT482" s="546">
        <v>0</v>
      </c>
      <c r="CU482" s="546">
        <v>0</v>
      </c>
      <c r="CV482" s="546">
        <v>0</v>
      </c>
      <c r="CW482" s="546">
        <v>0</v>
      </c>
      <c r="CX482" s="546">
        <v>0</v>
      </c>
      <c r="CY482" s="546">
        <v>0</v>
      </c>
      <c r="CZ482" s="618">
        <v>0</v>
      </c>
      <c r="DA482" s="618">
        <v>0</v>
      </c>
      <c r="DB482" s="618">
        <v>0</v>
      </c>
      <c r="DC482" s="618">
        <v>0</v>
      </c>
      <c r="DD482" s="618">
        <v>0</v>
      </c>
      <c r="DE482" s="618">
        <v>0</v>
      </c>
      <c r="DF482" s="618">
        <v>0</v>
      </c>
      <c r="DG482" s="618">
        <v>0</v>
      </c>
      <c r="DH482" s="618">
        <v>0</v>
      </c>
      <c r="DI482" s="618">
        <v>0</v>
      </c>
      <c r="DJ482" s="618">
        <v>0</v>
      </c>
      <c r="DK482" s="1034">
        <f t="shared" si="432"/>
        <v>5</v>
      </c>
      <c r="DL482" s="543">
        <f t="shared" si="397"/>
        <v>0.16500000000000001</v>
      </c>
      <c r="DM482" s="542">
        <f t="shared" si="398"/>
        <v>41.666666666666664</v>
      </c>
      <c r="DN482" s="594">
        <f t="shared" si="399"/>
        <v>41.666666666666664</v>
      </c>
      <c r="DO482" s="540">
        <f t="shared" si="400"/>
        <v>6.8750000000000006E-2</v>
      </c>
      <c r="DP482" s="597">
        <f t="shared" si="418"/>
        <v>6.8750000000000006E-2</v>
      </c>
      <c r="DQ482" s="538">
        <f t="shared" si="401"/>
        <v>6.8750000000000006E-2</v>
      </c>
      <c r="DR482" s="617">
        <f t="shared" si="402"/>
        <v>1</v>
      </c>
      <c r="DS482" s="616">
        <f t="shared" si="403"/>
        <v>0</v>
      </c>
      <c r="DT482" s="259">
        <v>618</v>
      </c>
      <c r="DU482" s="260" t="s">
        <v>249</v>
      </c>
      <c r="DV482" s="259"/>
      <c r="DW482" s="260" t="s">
        <v>242</v>
      </c>
      <c r="DX482" s="259"/>
      <c r="DY482" s="259"/>
      <c r="DZ482" s="259"/>
      <c r="EA482" s="987"/>
      <c r="EB482" s="1041" t="s">
        <v>2783</v>
      </c>
      <c r="EC482" s="802">
        <v>0</v>
      </c>
      <c r="EE482" s="1047"/>
    </row>
    <row r="483" spans="4:135" s="534" customFormat="1" ht="51" hidden="1" x14ac:dyDescent="0.3">
      <c r="D483" s="783">
        <v>480</v>
      </c>
      <c r="E483" s="799">
        <v>551</v>
      </c>
      <c r="F483" s="739" t="s">
        <v>203</v>
      </c>
      <c r="G483" s="739" t="s">
        <v>9</v>
      </c>
      <c r="H483" s="739" t="s">
        <v>157</v>
      </c>
      <c r="I483" s="676" t="s">
        <v>1302</v>
      </c>
      <c r="J483" s="573" t="s">
        <v>1303</v>
      </c>
      <c r="K483" s="573" t="s">
        <v>1304</v>
      </c>
      <c r="L483" s="596" t="s">
        <v>2060</v>
      </c>
      <c r="M483" s="571" t="s">
        <v>2017</v>
      </c>
      <c r="N483" s="571">
        <v>0</v>
      </c>
      <c r="O483" s="570">
        <f>+N483+P483</f>
        <v>15</v>
      </c>
      <c r="P483" s="569">
        <v>15</v>
      </c>
      <c r="Q483" s="628">
        <v>8.8999999999999996E-2</v>
      </c>
      <c r="R483" s="580">
        <f t="shared" si="381"/>
        <v>0</v>
      </c>
      <c r="S483" s="627">
        <v>0</v>
      </c>
      <c r="T483" s="575">
        <f t="shared" si="420"/>
        <v>0</v>
      </c>
      <c r="U483" s="992">
        <v>0</v>
      </c>
      <c r="V483" s="626">
        <f t="shared" si="421"/>
        <v>0</v>
      </c>
      <c r="W483" s="594">
        <f t="shared" si="422"/>
        <v>0</v>
      </c>
      <c r="X483" s="594">
        <f t="shared" si="382"/>
        <v>0</v>
      </c>
      <c r="Y483" s="594">
        <f t="shared" si="417"/>
        <v>0</v>
      </c>
      <c r="Z483" s="594">
        <f t="shared" si="383"/>
        <v>0</v>
      </c>
      <c r="AA483" s="593">
        <v>0</v>
      </c>
      <c r="AB483" s="593">
        <v>0</v>
      </c>
      <c r="AC483" s="593">
        <v>0</v>
      </c>
      <c r="AD483" s="593">
        <v>0</v>
      </c>
      <c r="AE483" s="593">
        <v>0</v>
      </c>
      <c r="AF483" s="593">
        <v>0</v>
      </c>
      <c r="AG483" s="593">
        <v>0</v>
      </c>
      <c r="AH483" s="593">
        <v>0</v>
      </c>
      <c r="AI483" s="593">
        <v>0</v>
      </c>
      <c r="AJ483" s="593">
        <v>0</v>
      </c>
      <c r="AK483" s="593">
        <v>0</v>
      </c>
      <c r="AL483" s="593">
        <v>0</v>
      </c>
      <c r="AM483" s="593">
        <v>0</v>
      </c>
      <c r="AN483" s="593">
        <v>0</v>
      </c>
      <c r="AO483" s="593">
        <v>0</v>
      </c>
      <c r="AP483" s="593">
        <v>0</v>
      </c>
      <c r="AQ483" s="593">
        <v>0</v>
      </c>
      <c r="AR483" s="593">
        <v>0</v>
      </c>
      <c r="AS483" s="593">
        <v>0</v>
      </c>
      <c r="AT483" s="570">
        <f t="shared" si="384"/>
        <v>1.78E-2</v>
      </c>
      <c r="AU483" s="571">
        <v>3</v>
      </c>
      <c r="AV483" s="625">
        <f t="shared" si="423"/>
        <v>0.2</v>
      </c>
      <c r="AW483" s="1003">
        <v>8</v>
      </c>
      <c r="AX483" s="604">
        <f t="shared" si="424"/>
        <v>8</v>
      </c>
      <c r="AY483" s="604">
        <f t="shared" si="425"/>
        <v>266.66666666666669</v>
      </c>
      <c r="AZ483" s="604">
        <f t="shared" si="385"/>
        <v>100</v>
      </c>
      <c r="BA483" s="592">
        <f t="shared" si="386"/>
        <v>1.78E-2</v>
      </c>
      <c r="BB483" s="592">
        <f t="shared" si="387"/>
        <v>100</v>
      </c>
      <c r="BC483" s="591">
        <v>100000000</v>
      </c>
      <c r="BD483" s="591">
        <v>0</v>
      </c>
      <c r="BE483" s="591">
        <v>100000000</v>
      </c>
      <c r="BF483" s="591">
        <v>0</v>
      </c>
      <c r="BG483" s="591">
        <v>0</v>
      </c>
      <c r="BH483" s="591">
        <v>0</v>
      </c>
      <c r="BI483" s="591">
        <v>0</v>
      </c>
      <c r="BJ483" s="591">
        <v>0</v>
      </c>
      <c r="BK483" s="624">
        <v>1651403216</v>
      </c>
      <c r="BL483" s="589">
        <v>1651403216</v>
      </c>
      <c r="BM483" s="589">
        <v>0</v>
      </c>
      <c r="BN483" s="589">
        <v>0</v>
      </c>
      <c r="BO483" s="589">
        <v>0</v>
      </c>
      <c r="BP483" s="589">
        <v>0</v>
      </c>
      <c r="BQ483" s="589">
        <v>0</v>
      </c>
      <c r="BR483" s="589">
        <v>0</v>
      </c>
      <c r="BS483" s="589">
        <v>0</v>
      </c>
      <c r="BT483" s="589">
        <v>0</v>
      </c>
      <c r="BU483" s="589">
        <v>0</v>
      </c>
      <c r="BV483" s="588">
        <f t="shared" si="388"/>
        <v>3.56E-2</v>
      </c>
      <c r="BW483" s="588">
        <v>6</v>
      </c>
      <c r="BX483" s="623">
        <f t="shared" si="426"/>
        <v>0.4</v>
      </c>
      <c r="BY483" s="607">
        <v>9</v>
      </c>
      <c r="BZ483" s="629">
        <v>9</v>
      </c>
      <c r="CA483" s="1017">
        <v>9</v>
      </c>
      <c r="CB483" s="557">
        <f t="shared" si="427"/>
        <v>9</v>
      </c>
      <c r="CC483" s="557">
        <f t="shared" si="428"/>
        <v>150</v>
      </c>
      <c r="CD483" s="622">
        <f t="shared" si="389"/>
        <v>100</v>
      </c>
      <c r="CE483" s="621">
        <f t="shared" si="390"/>
        <v>3.56E-2</v>
      </c>
      <c r="CF483" s="605">
        <f t="shared" si="391"/>
        <v>100</v>
      </c>
      <c r="CG483" s="621">
        <f t="shared" si="392"/>
        <v>5.3399999999999996E-2</v>
      </c>
      <c r="CH483" s="553">
        <f t="shared" si="393"/>
        <v>3.56E-2</v>
      </c>
      <c r="CI483" s="552">
        <v>6</v>
      </c>
      <c r="CJ483" s="551">
        <f t="shared" si="429"/>
        <v>0.4</v>
      </c>
      <c r="CK483" s="874">
        <v>15</v>
      </c>
      <c r="CL483" s="533">
        <f t="shared" si="380"/>
        <v>-9</v>
      </c>
      <c r="CM483" s="619">
        <f t="shared" si="430"/>
        <v>15</v>
      </c>
      <c r="CN483" s="619">
        <f t="shared" si="431"/>
        <v>250</v>
      </c>
      <c r="CO483" s="549">
        <f t="shared" si="394"/>
        <v>100</v>
      </c>
      <c r="CP483" s="619">
        <f t="shared" si="395"/>
        <v>3.56E-2</v>
      </c>
      <c r="CQ483" s="619">
        <f t="shared" si="396"/>
        <v>8.900000000000001E-2</v>
      </c>
      <c r="CR483" s="546">
        <v>500000000</v>
      </c>
      <c r="CS483" s="546">
        <v>500000000</v>
      </c>
      <c r="CT483" s="546">
        <v>0</v>
      </c>
      <c r="CU483" s="546">
        <v>0</v>
      </c>
      <c r="CV483" s="546">
        <v>0</v>
      </c>
      <c r="CW483" s="546">
        <v>0</v>
      </c>
      <c r="CX483" s="546">
        <v>0</v>
      </c>
      <c r="CY483" s="546">
        <v>0</v>
      </c>
      <c r="CZ483" s="618">
        <v>0</v>
      </c>
      <c r="DA483" s="618">
        <v>0</v>
      </c>
      <c r="DB483" s="618">
        <v>0</v>
      </c>
      <c r="DC483" s="618">
        <v>0</v>
      </c>
      <c r="DD483" s="618">
        <v>0</v>
      </c>
      <c r="DE483" s="618">
        <v>0</v>
      </c>
      <c r="DF483" s="618">
        <v>0</v>
      </c>
      <c r="DG483" s="618">
        <v>0</v>
      </c>
      <c r="DH483" s="618">
        <v>0</v>
      </c>
      <c r="DI483" s="618">
        <v>0</v>
      </c>
      <c r="DJ483" s="618">
        <v>0</v>
      </c>
      <c r="DK483" s="1034">
        <f t="shared" si="432"/>
        <v>32</v>
      </c>
      <c r="DL483" s="543">
        <f t="shared" si="397"/>
        <v>8.8999999999999996E-2</v>
      </c>
      <c r="DM483" s="542">
        <f t="shared" si="398"/>
        <v>213.33333333333334</v>
      </c>
      <c r="DN483" s="594">
        <f t="shared" si="399"/>
        <v>100</v>
      </c>
      <c r="DO483" s="540">
        <f t="shared" si="400"/>
        <v>8.900000000000001E-2</v>
      </c>
      <c r="DP483" s="597">
        <f t="shared" si="418"/>
        <v>8.8999999999999996E-2</v>
      </c>
      <c r="DQ483" s="538">
        <f t="shared" si="401"/>
        <v>8.8999999999999996E-2</v>
      </c>
      <c r="DR483" s="617">
        <f t="shared" si="402"/>
        <v>1</v>
      </c>
      <c r="DS483" s="616">
        <f t="shared" si="403"/>
        <v>0</v>
      </c>
      <c r="DT483" s="259">
        <v>616</v>
      </c>
      <c r="DU483" s="260" t="s">
        <v>251</v>
      </c>
      <c r="DV483" s="259"/>
      <c r="DW483" s="260" t="s">
        <v>242</v>
      </c>
      <c r="DX483" s="259"/>
      <c r="DY483" s="259"/>
      <c r="DZ483" s="259"/>
      <c r="EA483" s="987"/>
      <c r="EB483" s="1041" t="s">
        <v>2784</v>
      </c>
      <c r="EC483" s="802">
        <v>500000000</v>
      </c>
      <c r="EE483" s="1047"/>
    </row>
    <row r="484" spans="4:135" s="534" customFormat="1" ht="102" hidden="1" x14ac:dyDescent="0.3">
      <c r="D484" s="783">
        <v>481</v>
      </c>
      <c r="E484" s="799">
        <v>552</v>
      </c>
      <c r="F484" s="739" t="s">
        <v>203</v>
      </c>
      <c r="G484" s="739" t="s">
        <v>19</v>
      </c>
      <c r="H484" s="739" t="s">
        <v>158</v>
      </c>
      <c r="I484" s="739" t="s">
        <v>1305</v>
      </c>
      <c r="J484" s="573" t="s">
        <v>1306</v>
      </c>
      <c r="K484" s="573" t="s">
        <v>1307</v>
      </c>
      <c r="L484" s="596" t="s">
        <v>2059</v>
      </c>
      <c r="M484" s="571" t="s">
        <v>2017</v>
      </c>
      <c r="N484" s="571">
        <v>4</v>
      </c>
      <c r="O484" s="570">
        <f t="shared" si="419"/>
        <v>8</v>
      </c>
      <c r="P484" s="569">
        <v>4</v>
      </c>
      <c r="Q484" s="628">
        <v>8.8999999999999996E-2</v>
      </c>
      <c r="R484" s="580">
        <f t="shared" si="381"/>
        <v>2.2249999999999999E-2</v>
      </c>
      <c r="S484" s="627">
        <v>1</v>
      </c>
      <c r="T484" s="575">
        <f t="shared" si="420"/>
        <v>0.25</v>
      </c>
      <c r="U484" s="992">
        <v>1</v>
      </c>
      <c r="V484" s="626">
        <f t="shared" si="421"/>
        <v>1</v>
      </c>
      <c r="W484" s="594">
        <f t="shared" si="422"/>
        <v>100</v>
      </c>
      <c r="X484" s="594">
        <f t="shared" si="382"/>
        <v>100</v>
      </c>
      <c r="Y484" s="594">
        <f t="shared" si="417"/>
        <v>2.2250000000000002E-2</v>
      </c>
      <c r="Z484" s="594">
        <f t="shared" si="383"/>
        <v>100</v>
      </c>
      <c r="AA484" s="593">
        <v>115000000</v>
      </c>
      <c r="AB484" s="593">
        <v>115000000</v>
      </c>
      <c r="AC484" s="593">
        <v>0</v>
      </c>
      <c r="AD484" s="593">
        <v>0</v>
      </c>
      <c r="AE484" s="593">
        <v>0</v>
      </c>
      <c r="AF484" s="593">
        <v>0</v>
      </c>
      <c r="AG484" s="593">
        <v>0</v>
      </c>
      <c r="AH484" s="593">
        <v>0</v>
      </c>
      <c r="AI484" s="593">
        <v>49993000</v>
      </c>
      <c r="AJ484" s="593">
        <v>49993000</v>
      </c>
      <c r="AK484" s="593">
        <v>0</v>
      </c>
      <c r="AL484" s="593">
        <v>0</v>
      </c>
      <c r="AM484" s="593">
        <v>0</v>
      </c>
      <c r="AN484" s="593">
        <v>0</v>
      </c>
      <c r="AO484" s="593">
        <v>0</v>
      </c>
      <c r="AP484" s="593">
        <v>0</v>
      </c>
      <c r="AQ484" s="593">
        <v>0</v>
      </c>
      <c r="AR484" s="593">
        <v>0</v>
      </c>
      <c r="AS484" s="593">
        <v>0</v>
      </c>
      <c r="AT484" s="570">
        <f t="shared" si="384"/>
        <v>2.2249999999999999E-2</v>
      </c>
      <c r="AU484" s="571">
        <v>1</v>
      </c>
      <c r="AV484" s="625">
        <f t="shared" si="423"/>
        <v>0.25</v>
      </c>
      <c r="AW484" s="1003">
        <v>1</v>
      </c>
      <c r="AX484" s="604">
        <f t="shared" si="424"/>
        <v>1</v>
      </c>
      <c r="AY484" s="604">
        <f t="shared" si="425"/>
        <v>100</v>
      </c>
      <c r="AZ484" s="604">
        <f t="shared" si="385"/>
        <v>100</v>
      </c>
      <c r="BA484" s="592">
        <f t="shared" si="386"/>
        <v>2.2250000000000002E-2</v>
      </c>
      <c r="BB484" s="592">
        <f t="shared" si="387"/>
        <v>100</v>
      </c>
      <c r="BC484" s="591">
        <v>42000000</v>
      </c>
      <c r="BD484" s="591">
        <v>0</v>
      </c>
      <c r="BE484" s="591">
        <v>42000000</v>
      </c>
      <c r="BF484" s="591">
        <v>0</v>
      </c>
      <c r="BG484" s="591">
        <v>0</v>
      </c>
      <c r="BH484" s="591">
        <v>0</v>
      </c>
      <c r="BI484" s="591">
        <v>0</v>
      </c>
      <c r="BJ484" s="591">
        <v>0</v>
      </c>
      <c r="BK484" s="624">
        <v>53336155</v>
      </c>
      <c r="BL484" s="589">
        <v>53336155</v>
      </c>
      <c r="BM484" s="589">
        <v>0</v>
      </c>
      <c r="BN484" s="589">
        <v>0</v>
      </c>
      <c r="BO484" s="589">
        <v>0</v>
      </c>
      <c r="BP484" s="589">
        <v>0</v>
      </c>
      <c r="BQ484" s="589">
        <v>0</v>
      </c>
      <c r="BR484" s="589">
        <v>0</v>
      </c>
      <c r="BS484" s="589">
        <v>0</v>
      </c>
      <c r="BT484" s="589">
        <v>0</v>
      </c>
      <c r="BU484" s="589">
        <v>0</v>
      </c>
      <c r="BV484" s="588">
        <f t="shared" si="388"/>
        <v>2.2249999999999999E-2</v>
      </c>
      <c r="BW484" s="588">
        <v>1</v>
      </c>
      <c r="BX484" s="623">
        <f t="shared" si="426"/>
        <v>0.25</v>
      </c>
      <c r="BY484" s="607">
        <v>0.30000001192092896</v>
      </c>
      <c r="BZ484" s="606">
        <v>0.3</v>
      </c>
      <c r="CA484" s="1021">
        <v>1</v>
      </c>
      <c r="CB484" s="557">
        <f t="shared" si="427"/>
        <v>1</v>
      </c>
      <c r="CC484" s="557">
        <f t="shared" si="428"/>
        <v>100</v>
      </c>
      <c r="CD484" s="622">
        <f t="shared" si="389"/>
        <v>100</v>
      </c>
      <c r="CE484" s="621">
        <f t="shared" si="390"/>
        <v>2.2250000000000002E-2</v>
      </c>
      <c r="CF484" s="605">
        <f t="shared" si="391"/>
        <v>100</v>
      </c>
      <c r="CG484" s="621">
        <f t="shared" si="392"/>
        <v>2.2250000000000002E-2</v>
      </c>
      <c r="CH484" s="553">
        <f t="shared" si="393"/>
        <v>2.2249999999999999E-2</v>
      </c>
      <c r="CI484" s="552">
        <v>1</v>
      </c>
      <c r="CJ484" s="551">
        <f t="shared" si="429"/>
        <v>0.25</v>
      </c>
      <c r="CK484" s="875">
        <v>0</v>
      </c>
      <c r="CL484" s="533">
        <f t="shared" si="380"/>
        <v>1</v>
      </c>
      <c r="CM484" s="619">
        <f t="shared" si="430"/>
        <v>0</v>
      </c>
      <c r="CN484" s="619">
        <f t="shared" si="431"/>
        <v>0</v>
      </c>
      <c r="CO484" s="549">
        <f t="shared" si="394"/>
        <v>0</v>
      </c>
      <c r="CP484" s="619">
        <f t="shared" si="395"/>
        <v>0</v>
      </c>
      <c r="CQ484" s="619">
        <f t="shared" si="396"/>
        <v>0</v>
      </c>
      <c r="CR484" s="546">
        <v>96000000</v>
      </c>
      <c r="CS484" s="546">
        <v>96000000</v>
      </c>
      <c r="CT484" s="546">
        <v>0</v>
      </c>
      <c r="CU484" s="546">
        <v>0</v>
      </c>
      <c r="CV484" s="546">
        <v>0</v>
      </c>
      <c r="CW484" s="546">
        <v>0</v>
      </c>
      <c r="CX484" s="546">
        <v>0</v>
      </c>
      <c r="CY484" s="546">
        <v>0</v>
      </c>
      <c r="CZ484" s="618">
        <v>0</v>
      </c>
      <c r="DA484" s="618">
        <v>0</v>
      </c>
      <c r="DB484" s="618">
        <v>0</v>
      </c>
      <c r="DC484" s="618">
        <v>0</v>
      </c>
      <c r="DD484" s="618">
        <v>0</v>
      </c>
      <c r="DE484" s="618">
        <v>0</v>
      </c>
      <c r="DF484" s="618">
        <v>0</v>
      </c>
      <c r="DG484" s="618">
        <v>0</v>
      </c>
      <c r="DH484" s="618">
        <v>0</v>
      </c>
      <c r="DI484" s="618">
        <v>0</v>
      </c>
      <c r="DJ484" s="618">
        <v>0</v>
      </c>
      <c r="DK484" s="1034">
        <f t="shared" si="432"/>
        <v>3</v>
      </c>
      <c r="DL484" s="543">
        <f t="shared" si="397"/>
        <v>8.8999999999999996E-2</v>
      </c>
      <c r="DM484" s="542">
        <f t="shared" si="398"/>
        <v>75</v>
      </c>
      <c r="DN484" s="594">
        <f t="shared" si="399"/>
        <v>75</v>
      </c>
      <c r="DO484" s="540">
        <f t="shared" si="400"/>
        <v>6.6750000000000004E-2</v>
      </c>
      <c r="DP484" s="597">
        <f t="shared" si="418"/>
        <v>6.6750000000000004E-2</v>
      </c>
      <c r="DQ484" s="538">
        <f t="shared" si="401"/>
        <v>6.6750000000000004E-2</v>
      </c>
      <c r="DR484" s="617">
        <f t="shared" si="402"/>
        <v>1</v>
      </c>
      <c r="DS484" s="616">
        <f t="shared" si="403"/>
        <v>0</v>
      </c>
      <c r="DT484" s="259">
        <v>623</v>
      </c>
      <c r="DU484" s="260" t="s">
        <v>245</v>
      </c>
      <c r="DV484" s="259"/>
      <c r="DW484" s="260" t="s">
        <v>242</v>
      </c>
      <c r="DX484" s="259"/>
      <c r="DY484" s="259"/>
      <c r="DZ484" s="259"/>
      <c r="EA484" s="987"/>
      <c r="EB484" s="1041" t="s">
        <v>2785</v>
      </c>
      <c r="EC484" s="802">
        <v>96000000</v>
      </c>
      <c r="EE484" s="1047"/>
    </row>
    <row r="485" spans="4:135" s="534" customFormat="1" ht="156" hidden="1" x14ac:dyDescent="0.3">
      <c r="D485" s="783">
        <v>482</v>
      </c>
      <c r="E485" s="799">
        <v>553</v>
      </c>
      <c r="F485" s="739" t="s">
        <v>203</v>
      </c>
      <c r="G485" s="739" t="s">
        <v>7</v>
      </c>
      <c r="H485" s="739" t="s">
        <v>158</v>
      </c>
      <c r="I485" s="676" t="s">
        <v>1305</v>
      </c>
      <c r="J485" s="573" t="s">
        <v>1308</v>
      </c>
      <c r="K485" s="573" t="s">
        <v>1309</v>
      </c>
      <c r="L485" s="596" t="s">
        <v>2057</v>
      </c>
      <c r="M485" s="571" t="s">
        <v>2017</v>
      </c>
      <c r="N485" s="571">
        <v>0</v>
      </c>
      <c r="O485" s="570">
        <f t="shared" si="419"/>
        <v>117</v>
      </c>
      <c r="P485" s="569">
        <v>117</v>
      </c>
      <c r="Q485" s="628">
        <v>0.16500000000000001</v>
      </c>
      <c r="R485" s="580">
        <f t="shared" si="381"/>
        <v>4.2307692307692303E-2</v>
      </c>
      <c r="S485" s="627">
        <v>30</v>
      </c>
      <c r="T485" s="575">
        <f t="shared" si="420"/>
        <v>0.25641025641025639</v>
      </c>
      <c r="U485" s="992">
        <v>56</v>
      </c>
      <c r="V485" s="626">
        <f t="shared" si="421"/>
        <v>56</v>
      </c>
      <c r="W485" s="594">
        <f t="shared" si="422"/>
        <v>186.66666666666666</v>
      </c>
      <c r="X485" s="594">
        <f t="shared" si="382"/>
        <v>100</v>
      </c>
      <c r="Y485" s="594">
        <f t="shared" si="417"/>
        <v>4.2307692307692296E-2</v>
      </c>
      <c r="Z485" s="594">
        <f t="shared" si="383"/>
        <v>100</v>
      </c>
      <c r="AA485" s="593">
        <v>0</v>
      </c>
      <c r="AB485" s="593">
        <v>0</v>
      </c>
      <c r="AC485" s="593">
        <v>0</v>
      </c>
      <c r="AD485" s="593">
        <v>0</v>
      </c>
      <c r="AE485" s="593">
        <v>0</v>
      </c>
      <c r="AF485" s="593">
        <v>0</v>
      </c>
      <c r="AG485" s="593">
        <v>0</v>
      </c>
      <c r="AH485" s="593">
        <v>0</v>
      </c>
      <c r="AI485" s="593">
        <v>50000000</v>
      </c>
      <c r="AJ485" s="593">
        <v>50000000</v>
      </c>
      <c r="AK485" s="593">
        <v>0</v>
      </c>
      <c r="AL485" s="593">
        <v>0</v>
      </c>
      <c r="AM485" s="593">
        <v>0</v>
      </c>
      <c r="AN485" s="593">
        <v>0</v>
      </c>
      <c r="AO485" s="593">
        <v>0</v>
      </c>
      <c r="AP485" s="593">
        <v>0</v>
      </c>
      <c r="AQ485" s="593">
        <v>0</v>
      </c>
      <c r="AR485" s="593">
        <v>5000000</v>
      </c>
      <c r="AS485" s="593" t="s">
        <v>2058</v>
      </c>
      <c r="AT485" s="571">
        <f t="shared" si="384"/>
        <v>7.0512820512820512E-2</v>
      </c>
      <c r="AU485" s="571">
        <v>50</v>
      </c>
      <c r="AV485" s="571">
        <f t="shared" si="423"/>
        <v>0.42735042735042733</v>
      </c>
      <c r="AW485" s="1003">
        <v>35</v>
      </c>
      <c r="AX485" s="604">
        <f t="shared" si="424"/>
        <v>35</v>
      </c>
      <c r="AY485" s="604">
        <f t="shared" si="425"/>
        <v>70</v>
      </c>
      <c r="AZ485" s="604">
        <f t="shared" si="385"/>
        <v>70</v>
      </c>
      <c r="BA485" s="592">
        <f t="shared" si="386"/>
        <v>4.9358974358974364E-2</v>
      </c>
      <c r="BB485" s="592">
        <f t="shared" si="387"/>
        <v>70</v>
      </c>
      <c r="BC485" s="591">
        <v>13000000</v>
      </c>
      <c r="BD485" s="591">
        <v>0</v>
      </c>
      <c r="BE485" s="591">
        <v>13000000</v>
      </c>
      <c r="BF485" s="591">
        <v>0</v>
      </c>
      <c r="BG485" s="591">
        <v>0</v>
      </c>
      <c r="BH485" s="591">
        <v>0</v>
      </c>
      <c r="BI485" s="591">
        <v>0</v>
      </c>
      <c r="BJ485" s="591">
        <v>0</v>
      </c>
      <c r="BK485" s="624">
        <v>13000000</v>
      </c>
      <c r="BL485" s="589">
        <v>13000000</v>
      </c>
      <c r="BM485" s="589">
        <v>0</v>
      </c>
      <c r="BN485" s="589">
        <v>0</v>
      </c>
      <c r="BO485" s="589">
        <v>0</v>
      </c>
      <c r="BP485" s="589">
        <v>0</v>
      </c>
      <c r="BQ485" s="589">
        <v>0</v>
      </c>
      <c r="BR485" s="589">
        <v>0</v>
      </c>
      <c r="BS485" s="589">
        <v>0</v>
      </c>
      <c r="BT485" s="589">
        <v>0</v>
      </c>
      <c r="BU485" s="589">
        <v>0</v>
      </c>
      <c r="BV485" s="588">
        <f t="shared" si="388"/>
        <v>5.2179487179487179E-2</v>
      </c>
      <c r="BW485" s="588">
        <v>37</v>
      </c>
      <c r="BX485" s="623">
        <f t="shared" si="426"/>
        <v>0.31623931623931623</v>
      </c>
      <c r="BY485" s="639">
        <v>25</v>
      </c>
      <c r="BZ485" s="638">
        <v>25</v>
      </c>
      <c r="CA485" s="1018">
        <v>35</v>
      </c>
      <c r="CB485" s="557">
        <f t="shared" si="427"/>
        <v>35</v>
      </c>
      <c r="CC485" s="557">
        <f t="shared" si="428"/>
        <v>94.594594594594597</v>
      </c>
      <c r="CD485" s="622">
        <f t="shared" si="389"/>
        <v>94.594594594594597</v>
      </c>
      <c r="CE485" s="621">
        <f t="shared" si="390"/>
        <v>4.9358974358974364E-2</v>
      </c>
      <c r="CF485" s="605">
        <f t="shared" si="391"/>
        <v>94.594594594594597</v>
      </c>
      <c r="CG485" s="621">
        <f t="shared" si="392"/>
        <v>4.9358974358974364E-2</v>
      </c>
      <c r="CH485" s="553">
        <f t="shared" si="393"/>
        <v>0</v>
      </c>
      <c r="CI485" s="552">
        <v>0</v>
      </c>
      <c r="CJ485" s="551">
        <f t="shared" si="429"/>
        <v>0</v>
      </c>
      <c r="CK485" s="875">
        <v>0</v>
      </c>
      <c r="CL485" s="533">
        <f t="shared" si="380"/>
        <v>0</v>
      </c>
      <c r="CM485" s="619">
        <f t="shared" si="430"/>
        <v>0</v>
      </c>
      <c r="CN485" s="619">
        <f t="shared" si="431"/>
        <v>0</v>
      </c>
      <c r="CO485" s="549">
        <f t="shared" si="394"/>
        <v>0</v>
      </c>
      <c r="CP485" s="619">
        <f t="shared" si="395"/>
        <v>0</v>
      </c>
      <c r="CQ485" s="619">
        <f t="shared" si="396"/>
        <v>0</v>
      </c>
      <c r="CR485" s="546">
        <v>30000000</v>
      </c>
      <c r="CS485" s="546">
        <v>30000000</v>
      </c>
      <c r="CT485" s="546">
        <v>0</v>
      </c>
      <c r="CU485" s="546">
        <v>0</v>
      </c>
      <c r="CV485" s="546">
        <v>0</v>
      </c>
      <c r="CW485" s="546">
        <v>0</v>
      </c>
      <c r="CX485" s="546">
        <v>0</v>
      </c>
      <c r="CY485" s="546">
        <v>0</v>
      </c>
      <c r="CZ485" s="618">
        <v>0</v>
      </c>
      <c r="DA485" s="618">
        <v>0</v>
      </c>
      <c r="DB485" s="618">
        <v>0</v>
      </c>
      <c r="DC485" s="618">
        <v>0</v>
      </c>
      <c r="DD485" s="618">
        <v>0</v>
      </c>
      <c r="DE485" s="618">
        <v>0</v>
      </c>
      <c r="DF485" s="618">
        <v>0</v>
      </c>
      <c r="DG485" s="618">
        <v>0</v>
      </c>
      <c r="DH485" s="618">
        <v>0</v>
      </c>
      <c r="DI485" s="618">
        <v>0</v>
      </c>
      <c r="DJ485" s="618">
        <v>0</v>
      </c>
      <c r="DK485" s="1034">
        <f t="shared" si="432"/>
        <v>126</v>
      </c>
      <c r="DL485" s="543">
        <f t="shared" si="397"/>
        <v>0.16499999999999998</v>
      </c>
      <c r="DM485" s="542">
        <f t="shared" si="398"/>
        <v>107.69230769230769</v>
      </c>
      <c r="DN485" s="594">
        <f t="shared" si="399"/>
        <v>100</v>
      </c>
      <c r="DO485" s="540">
        <f t="shared" si="400"/>
        <v>0.16500000000000001</v>
      </c>
      <c r="DP485" s="597">
        <f t="shared" si="418"/>
        <v>0.16500000000000001</v>
      </c>
      <c r="DQ485" s="538">
        <f t="shared" si="401"/>
        <v>0.16500000000000001</v>
      </c>
      <c r="DR485" s="617">
        <f t="shared" si="402"/>
        <v>1</v>
      </c>
      <c r="DS485" s="616">
        <f t="shared" si="403"/>
        <v>2.0816681711721685E-17</v>
      </c>
      <c r="DT485" s="259">
        <v>9</v>
      </c>
      <c r="DU485" s="260" t="s">
        <v>352</v>
      </c>
      <c r="DV485" s="259">
        <v>10</v>
      </c>
      <c r="DW485" s="260" t="s">
        <v>298</v>
      </c>
      <c r="DX485" s="259">
        <v>39</v>
      </c>
      <c r="DY485" s="259">
        <v>40</v>
      </c>
      <c r="DZ485" s="259">
        <v>79</v>
      </c>
      <c r="EA485" s="987">
        <v>619</v>
      </c>
      <c r="EB485" s="1041" t="s">
        <v>2786</v>
      </c>
      <c r="EC485" s="802">
        <v>30000000</v>
      </c>
      <c r="EE485" s="1047"/>
    </row>
    <row r="486" spans="4:135" s="534" customFormat="1" ht="96" hidden="1" x14ac:dyDescent="0.3">
      <c r="D486" s="783">
        <v>483</v>
      </c>
      <c r="E486" s="799">
        <v>554</v>
      </c>
      <c r="F486" s="739" t="s">
        <v>203</v>
      </c>
      <c r="G486" s="739" t="s">
        <v>7</v>
      </c>
      <c r="H486" s="739" t="s">
        <v>158</v>
      </c>
      <c r="I486" s="676" t="s">
        <v>1305</v>
      </c>
      <c r="J486" s="573" t="s">
        <v>1310</v>
      </c>
      <c r="K486" s="573" t="s">
        <v>1311</v>
      </c>
      <c r="L486" s="596" t="s">
        <v>2057</v>
      </c>
      <c r="M486" s="571" t="s">
        <v>2017</v>
      </c>
      <c r="N486" s="571">
        <v>21</v>
      </c>
      <c r="O486" s="570">
        <f t="shared" si="419"/>
        <v>82</v>
      </c>
      <c r="P486" s="569">
        <v>61</v>
      </c>
      <c r="Q486" s="628">
        <v>0.16500000000000001</v>
      </c>
      <c r="R486" s="580">
        <f t="shared" si="381"/>
        <v>0</v>
      </c>
      <c r="S486" s="627">
        <v>0</v>
      </c>
      <c r="T486" s="575">
        <f t="shared" si="420"/>
        <v>0</v>
      </c>
      <c r="U486" s="992">
        <v>11</v>
      </c>
      <c r="V486" s="626">
        <f t="shared" si="421"/>
        <v>11</v>
      </c>
      <c r="W486" s="594">
        <f t="shared" si="422"/>
        <v>0</v>
      </c>
      <c r="X486" s="594">
        <f t="shared" si="382"/>
        <v>0</v>
      </c>
      <c r="Y486" s="594">
        <f t="shared" si="417"/>
        <v>0</v>
      </c>
      <c r="Z486" s="594">
        <f t="shared" si="383"/>
        <v>100</v>
      </c>
      <c r="AA486" s="593">
        <v>10000000</v>
      </c>
      <c r="AB486" s="593">
        <v>10000000</v>
      </c>
      <c r="AC486" s="593">
        <v>0</v>
      </c>
      <c r="AD486" s="593">
        <v>0</v>
      </c>
      <c r="AE486" s="593">
        <v>0</v>
      </c>
      <c r="AF486" s="593">
        <v>0</v>
      </c>
      <c r="AG486" s="593">
        <v>0</v>
      </c>
      <c r="AH486" s="593">
        <v>0</v>
      </c>
      <c r="AI486" s="593">
        <v>0</v>
      </c>
      <c r="AJ486" s="593">
        <v>0</v>
      </c>
      <c r="AK486" s="593">
        <v>0</v>
      </c>
      <c r="AL486" s="593">
        <v>0</v>
      </c>
      <c r="AM486" s="593">
        <v>0</v>
      </c>
      <c r="AN486" s="593">
        <v>0</v>
      </c>
      <c r="AO486" s="593">
        <v>0</v>
      </c>
      <c r="AP486" s="593">
        <v>0</v>
      </c>
      <c r="AQ486" s="593">
        <v>0</v>
      </c>
      <c r="AR486" s="593">
        <v>0</v>
      </c>
      <c r="AS486" s="593">
        <v>0</v>
      </c>
      <c r="AT486" s="571">
        <f t="shared" si="384"/>
        <v>2.7049180327868853E-2</v>
      </c>
      <c r="AU486" s="571">
        <v>10</v>
      </c>
      <c r="AV486" s="571">
        <f t="shared" si="423"/>
        <v>0.16393442622950818</v>
      </c>
      <c r="AW486" s="1003">
        <v>13</v>
      </c>
      <c r="AX486" s="604">
        <f t="shared" si="424"/>
        <v>13</v>
      </c>
      <c r="AY486" s="604">
        <f t="shared" si="425"/>
        <v>130</v>
      </c>
      <c r="AZ486" s="604">
        <f t="shared" si="385"/>
        <v>100</v>
      </c>
      <c r="BA486" s="592">
        <f t="shared" si="386"/>
        <v>2.7049180327868853E-2</v>
      </c>
      <c r="BB486" s="592">
        <f t="shared" si="387"/>
        <v>100</v>
      </c>
      <c r="BC486" s="591">
        <v>30000000</v>
      </c>
      <c r="BD486" s="591">
        <v>0</v>
      </c>
      <c r="BE486" s="591">
        <v>30000000</v>
      </c>
      <c r="BF486" s="591">
        <v>0</v>
      </c>
      <c r="BG486" s="591">
        <v>0</v>
      </c>
      <c r="BH486" s="591">
        <v>0</v>
      </c>
      <c r="BI486" s="591">
        <v>0</v>
      </c>
      <c r="BJ486" s="591">
        <v>0</v>
      </c>
      <c r="BK486" s="624">
        <v>0</v>
      </c>
      <c r="BL486" s="589">
        <v>0</v>
      </c>
      <c r="BM486" s="589">
        <v>0</v>
      </c>
      <c r="BN486" s="589">
        <v>0</v>
      </c>
      <c r="BO486" s="589">
        <v>0</v>
      </c>
      <c r="BP486" s="589">
        <v>0</v>
      </c>
      <c r="BQ486" s="589">
        <v>0</v>
      </c>
      <c r="BR486" s="589">
        <v>0</v>
      </c>
      <c r="BS486" s="589">
        <v>0</v>
      </c>
      <c r="BT486" s="589">
        <v>0</v>
      </c>
      <c r="BU486" s="589">
        <v>0</v>
      </c>
      <c r="BV486" s="588">
        <f t="shared" si="388"/>
        <v>6.7622950819672137E-2</v>
      </c>
      <c r="BW486" s="588">
        <v>25</v>
      </c>
      <c r="BX486" s="623">
        <f t="shared" si="426"/>
        <v>0.4098360655737705</v>
      </c>
      <c r="BY486" s="637">
        <v>12</v>
      </c>
      <c r="BZ486" s="644">
        <v>12</v>
      </c>
      <c r="CA486" s="1018">
        <v>63</v>
      </c>
      <c r="CB486" s="557">
        <f t="shared" si="427"/>
        <v>63</v>
      </c>
      <c r="CC486" s="557">
        <f t="shared" si="428"/>
        <v>252</v>
      </c>
      <c r="CD486" s="622">
        <f t="shared" si="389"/>
        <v>100</v>
      </c>
      <c r="CE486" s="621">
        <f t="shared" si="390"/>
        <v>6.7622950819672137E-2</v>
      </c>
      <c r="CF486" s="605">
        <f t="shared" si="391"/>
        <v>100</v>
      </c>
      <c r="CG486" s="621">
        <f t="shared" si="392"/>
        <v>0.17040983606557381</v>
      </c>
      <c r="CH486" s="553">
        <f t="shared" si="393"/>
        <v>7.0327868852459022E-2</v>
      </c>
      <c r="CI486" s="552">
        <v>26</v>
      </c>
      <c r="CJ486" s="551">
        <f t="shared" si="429"/>
        <v>0.42622950819672129</v>
      </c>
      <c r="CK486" s="875">
        <v>0</v>
      </c>
      <c r="CL486" s="533">
        <f t="shared" si="380"/>
        <v>26</v>
      </c>
      <c r="CM486" s="619">
        <f t="shared" si="430"/>
        <v>0</v>
      </c>
      <c r="CN486" s="619">
        <f t="shared" si="431"/>
        <v>0</v>
      </c>
      <c r="CO486" s="549">
        <f t="shared" si="394"/>
        <v>0</v>
      </c>
      <c r="CP486" s="619">
        <f t="shared" si="395"/>
        <v>0</v>
      </c>
      <c r="CQ486" s="619">
        <f t="shared" si="396"/>
        <v>0</v>
      </c>
      <c r="CR486" s="546">
        <v>0</v>
      </c>
      <c r="CS486" s="546">
        <v>0</v>
      </c>
      <c r="CT486" s="546">
        <v>0</v>
      </c>
      <c r="CU486" s="546">
        <v>0</v>
      </c>
      <c r="CV486" s="546">
        <v>0</v>
      </c>
      <c r="CW486" s="546">
        <v>0</v>
      </c>
      <c r="CX486" s="546">
        <v>0</v>
      </c>
      <c r="CY486" s="546">
        <v>0</v>
      </c>
      <c r="CZ486" s="618">
        <v>0</v>
      </c>
      <c r="DA486" s="618">
        <v>0</v>
      </c>
      <c r="DB486" s="618">
        <v>0</v>
      </c>
      <c r="DC486" s="618">
        <v>0</v>
      </c>
      <c r="DD486" s="618">
        <v>0</v>
      </c>
      <c r="DE486" s="618">
        <v>0</v>
      </c>
      <c r="DF486" s="618">
        <v>0</v>
      </c>
      <c r="DG486" s="618">
        <v>0</v>
      </c>
      <c r="DH486" s="618">
        <v>0</v>
      </c>
      <c r="DI486" s="618">
        <v>0</v>
      </c>
      <c r="DJ486" s="618">
        <v>0</v>
      </c>
      <c r="DK486" s="1034">
        <f t="shared" si="432"/>
        <v>87</v>
      </c>
      <c r="DL486" s="543">
        <f t="shared" si="397"/>
        <v>0.16500000000000001</v>
      </c>
      <c r="DM486" s="542">
        <f t="shared" si="398"/>
        <v>142.62295081967213</v>
      </c>
      <c r="DN486" s="594">
        <f t="shared" si="399"/>
        <v>100</v>
      </c>
      <c r="DO486" s="540">
        <f t="shared" si="400"/>
        <v>0.16500000000000001</v>
      </c>
      <c r="DP486" s="597">
        <f t="shared" si="418"/>
        <v>0.16500000000000001</v>
      </c>
      <c r="DQ486" s="538">
        <f t="shared" si="401"/>
        <v>0.16500000000000001</v>
      </c>
      <c r="DR486" s="617">
        <f t="shared" si="402"/>
        <v>1</v>
      </c>
      <c r="DS486" s="616">
        <f t="shared" si="403"/>
        <v>0</v>
      </c>
      <c r="DT486" s="259">
        <v>619</v>
      </c>
      <c r="DU486" s="260" t="s">
        <v>431</v>
      </c>
      <c r="DV486" s="259"/>
      <c r="DW486" s="260" t="s">
        <v>242</v>
      </c>
      <c r="DX486" s="259"/>
      <c r="DY486" s="259"/>
      <c r="DZ486" s="259"/>
      <c r="EA486" s="987"/>
      <c r="EB486" s="1041" t="s">
        <v>2787</v>
      </c>
      <c r="EC486" s="802">
        <v>0</v>
      </c>
      <c r="EE486" s="1047"/>
    </row>
    <row r="487" spans="4:135" s="534" customFormat="1" ht="96" hidden="1" x14ac:dyDescent="0.3">
      <c r="D487" s="783">
        <v>484</v>
      </c>
      <c r="E487" s="799">
        <v>555</v>
      </c>
      <c r="F487" s="739" t="s">
        <v>203</v>
      </c>
      <c r="G487" s="739" t="s">
        <v>10</v>
      </c>
      <c r="H487" s="739" t="s">
        <v>158</v>
      </c>
      <c r="I487" s="676" t="s">
        <v>1312</v>
      </c>
      <c r="J487" s="573" t="s">
        <v>1313</v>
      </c>
      <c r="K487" s="573" t="s">
        <v>1314</v>
      </c>
      <c r="L487" s="596" t="s">
        <v>1593</v>
      </c>
      <c r="M487" s="571" t="s">
        <v>2017</v>
      </c>
      <c r="N487" s="571">
        <v>0</v>
      </c>
      <c r="O487" s="570">
        <f t="shared" si="419"/>
        <v>101</v>
      </c>
      <c r="P487" s="569">
        <v>101</v>
      </c>
      <c r="Q487" s="628">
        <v>0.16500000000000001</v>
      </c>
      <c r="R487" s="580">
        <f t="shared" si="381"/>
        <v>0</v>
      </c>
      <c r="S487" s="627">
        <v>0</v>
      </c>
      <c r="T487" s="575">
        <f t="shared" si="420"/>
        <v>0</v>
      </c>
      <c r="U487" s="992">
        <v>31</v>
      </c>
      <c r="V487" s="626">
        <f t="shared" si="421"/>
        <v>31</v>
      </c>
      <c r="W487" s="594">
        <f t="shared" si="422"/>
        <v>0</v>
      </c>
      <c r="X487" s="594">
        <f t="shared" si="382"/>
        <v>0</v>
      </c>
      <c r="Y487" s="594">
        <f t="shared" si="417"/>
        <v>0</v>
      </c>
      <c r="Z487" s="594">
        <f t="shared" si="383"/>
        <v>100</v>
      </c>
      <c r="AA487" s="593">
        <v>0</v>
      </c>
      <c r="AB487" s="593">
        <v>0</v>
      </c>
      <c r="AC487" s="593">
        <v>0</v>
      </c>
      <c r="AD487" s="593">
        <v>0</v>
      </c>
      <c r="AE487" s="593">
        <v>0</v>
      </c>
      <c r="AF487" s="593">
        <v>0</v>
      </c>
      <c r="AG487" s="593">
        <v>0</v>
      </c>
      <c r="AH487" s="593">
        <v>0</v>
      </c>
      <c r="AI487" s="593">
        <v>0</v>
      </c>
      <c r="AJ487" s="593">
        <v>0</v>
      </c>
      <c r="AK487" s="593">
        <v>0</v>
      </c>
      <c r="AL487" s="593">
        <v>0</v>
      </c>
      <c r="AM487" s="593">
        <v>0</v>
      </c>
      <c r="AN487" s="593">
        <v>0</v>
      </c>
      <c r="AO487" s="593">
        <v>0</v>
      </c>
      <c r="AP487" s="593">
        <v>0</v>
      </c>
      <c r="AQ487" s="593">
        <v>0</v>
      </c>
      <c r="AR487" s="593">
        <v>0</v>
      </c>
      <c r="AS487" s="593">
        <v>0</v>
      </c>
      <c r="AT487" s="571">
        <f t="shared" si="384"/>
        <v>6.2079207920792086E-2</v>
      </c>
      <c r="AU487" s="571">
        <v>38</v>
      </c>
      <c r="AV487" s="571">
        <f t="shared" si="423"/>
        <v>0.37623762376237624</v>
      </c>
      <c r="AW487" s="1003">
        <v>38</v>
      </c>
      <c r="AX487" s="604">
        <f t="shared" si="424"/>
        <v>38</v>
      </c>
      <c r="AY487" s="604">
        <f t="shared" si="425"/>
        <v>100</v>
      </c>
      <c r="AZ487" s="604">
        <f t="shared" si="385"/>
        <v>100</v>
      </c>
      <c r="BA487" s="592">
        <f t="shared" si="386"/>
        <v>6.2079207920792093E-2</v>
      </c>
      <c r="BB487" s="592">
        <f t="shared" si="387"/>
        <v>100</v>
      </c>
      <c r="BC487" s="591">
        <v>0</v>
      </c>
      <c r="BD487" s="591">
        <v>0</v>
      </c>
      <c r="BE487" s="591">
        <v>0</v>
      </c>
      <c r="BF487" s="591">
        <v>0</v>
      </c>
      <c r="BG487" s="591">
        <v>0</v>
      </c>
      <c r="BH487" s="591">
        <v>0</v>
      </c>
      <c r="BI487" s="591">
        <v>0</v>
      </c>
      <c r="BJ487" s="591">
        <v>0</v>
      </c>
      <c r="BK487" s="624">
        <v>0</v>
      </c>
      <c r="BL487" s="589">
        <v>0</v>
      </c>
      <c r="BM487" s="589">
        <v>0</v>
      </c>
      <c r="BN487" s="589">
        <v>0</v>
      </c>
      <c r="BO487" s="589">
        <v>0</v>
      </c>
      <c r="BP487" s="589">
        <v>0</v>
      </c>
      <c r="BQ487" s="589">
        <v>0</v>
      </c>
      <c r="BR487" s="589">
        <v>0</v>
      </c>
      <c r="BS487" s="589">
        <v>0</v>
      </c>
      <c r="BT487" s="589">
        <v>0</v>
      </c>
      <c r="BU487" s="589">
        <v>0</v>
      </c>
      <c r="BV487" s="588">
        <f t="shared" si="388"/>
        <v>6.2079207920792086E-2</v>
      </c>
      <c r="BW487" s="588">
        <v>38</v>
      </c>
      <c r="BX487" s="623">
        <f t="shared" si="426"/>
        <v>0.37623762376237624</v>
      </c>
      <c r="BY487" s="633">
        <v>0</v>
      </c>
      <c r="BZ487" s="641">
        <v>0</v>
      </c>
      <c r="CA487" s="1019">
        <v>0</v>
      </c>
      <c r="CB487" s="557">
        <f t="shared" si="427"/>
        <v>0</v>
      </c>
      <c r="CC487" s="557">
        <f t="shared" si="428"/>
        <v>0</v>
      </c>
      <c r="CD487" s="622">
        <f t="shared" si="389"/>
        <v>0</v>
      </c>
      <c r="CE487" s="621">
        <f t="shared" si="390"/>
        <v>0</v>
      </c>
      <c r="CF487" s="605">
        <f t="shared" si="391"/>
        <v>0</v>
      </c>
      <c r="CG487" s="621">
        <f t="shared" si="392"/>
        <v>0</v>
      </c>
      <c r="CH487" s="553">
        <f t="shared" si="393"/>
        <v>4.0841584158415843E-2</v>
      </c>
      <c r="CI487" s="552">
        <v>25</v>
      </c>
      <c r="CJ487" s="551">
        <f t="shared" si="429"/>
        <v>0.24752475247524752</v>
      </c>
      <c r="CK487" s="871">
        <v>0</v>
      </c>
      <c r="CL487" s="533">
        <f t="shared" si="380"/>
        <v>25</v>
      </c>
      <c r="CM487" s="619">
        <f t="shared" si="430"/>
        <v>0</v>
      </c>
      <c r="CN487" s="619">
        <f t="shared" si="431"/>
        <v>0</v>
      </c>
      <c r="CO487" s="549">
        <f t="shared" si="394"/>
        <v>0</v>
      </c>
      <c r="CP487" s="619">
        <f t="shared" si="395"/>
        <v>0</v>
      </c>
      <c r="CQ487" s="619">
        <f t="shared" si="396"/>
        <v>0</v>
      </c>
      <c r="CR487" s="546">
        <v>0</v>
      </c>
      <c r="CS487" s="546">
        <v>0</v>
      </c>
      <c r="CT487" s="546">
        <v>0</v>
      </c>
      <c r="CU487" s="546">
        <v>0</v>
      </c>
      <c r="CV487" s="546">
        <v>0</v>
      </c>
      <c r="CW487" s="546">
        <v>0</v>
      </c>
      <c r="CX487" s="546">
        <v>0</v>
      </c>
      <c r="CY487" s="546">
        <v>0</v>
      </c>
      <c r="CZ487" s="618">
        <v>0</v>
      </c>
      <c r="DA487" s="618">
        <v>0</v>
      </c>
      <c r="DB487" s="618">
        <v>0</v>
      </c>
      <c r="DC487" s="618">
        <v>0</v>
      </c>
      <c r="DD487" s="618">
        <v>0</v>
      </c>
      <c r="DE487" s="618">
        <v>0</v>
      </c>
      <c r="DF487" s="618">
        <v>0</v>
      </c>
      <c r="DG487" s="618">
        <v>0</v>
      </c>
      <c r="DH487" s="618">
        <v>0</v>
      </c>
      <c r="DI487" s="618">
        <v>0</v>
      </c>
      <c r="DJ487" s="618">
        <v>0</v>
      </c>
      <c r="DK487" s="1034">
        <f t="shared" si="432"/>
        <v>69</v>
      </c>
      <c r="DL487" s="543">
        <f t="shared" si="397"/>
        <v>0.16500000000000001</v>
      </c>
      <c r="DM487" s="542">
        <f t="shared" si="398"/>
        <v>68.316831683168317</v>
      </c>
      <c r="DN487" s="594">
        <f t="shared" si="399"/>
        <v>68.316831683168317</v>
      </c>
      <c r="DO487" s="540">
        <f t="shared" si="400"/>
        <v>0.11272277227722773</v>
      </c>
      <c r="DP487" s="597">
        <f t="shared" si="418"/>
        <v>0.11272277227722773</v>
      </c>
      <c r="DQ487" s="538">
        <f t="shared" si="401"/>
        <v>0.11272277227722773</v>
      </c>
      <c r="DR487" s="617">
        <f t="shared" si="402"/>
        <v>1</v>
      </c>
      <c r="DS487" s="616">
        <f t="shared" si="403"/>
        <v>0</v>
      </c>
      <c r="DT487" s="259">
        <v>619</v>
      </c>
      <c r="DU487" s="260" t="s">
        <v>431</v>
      </c>
      <c r="DV487" s="259"/>
      <c r="DW487" s="260" t="s">
        <v>242</v>
      </c>
      <c r="DX487" s="259"/>
      <c r="DY487" s="259"/>
      <c r="DZ487" s="259"/>
      <c r="EA487" s="987"/>
      <c r="EB487" s="1041" t="s">
        <v>2788</v>
      </c>
      <c r="EC487" s="802">
        <v>0</v>
      </c>
      <c r="EE487" s="1047"/>
    </row>
    <row r="488" spans="4:135" s="534" customFormat="1" ht="96" hidden="1" x14ac:dyDescent="0.3">
      <c r="D488" s="783">
        <v>485</v>
      </c>
      <c r="E488" s="799">
        <v>556</v>
      </c>
      <c r="F488" s="739" t="s">
        <v>203</v>
      </c>
      <c r="G488" s="739" t="s">
        <v>9</v>
      </c>
      <c r="H488" s="739" t="s">
        <v>158</v>
      </c>
      <c r="I488" s="676" t="s">
        <v>1312</v>
      </c>
      <c r="J488" s="573" t="s">
        <v>1313</v>
      </c>
      <c r="K488" s="573" t="s">
        <v>1315</v>
      </c>
      <c r="L488" s="596" t="s">
        <v>2055</v>
      </c>
      <c r="M488" s="571" t="s">
        <v>2017</v>
      </c>
      <c r="N488" s="571">
        <v>0</v>
      </c>
      <c r="O488" s="570">
        <f t="shared" si="419"/>
        <v>78</v>
      </c>
      <c r="P488" s="571">
        <v>78</v>
      </c>
      <c r="Q488" s="628">
        <v>0.16500000000000001</v>
      </c>
      <c r="R488" s="580">
        <f t="shared" si="381"/>
        <v>0</v>
      </c>
      <c r="S488" s="627">
        <v>0</v>
      </c>
      <c r="T488" s="575">
        <f t="shared" si="420"/>
        <v>0</v>
      </c>
      <c r="U488" s="992">
        <v>0</v>
      </c>
      <c r="V488" s="626">
        <f t="shared" si="421"/>
        <v>0</v>
      </c>
      <c r="W488" s="594">
        <f t="shared" si="422"/>
        <v>0</v>
      </c>
      <c r="X488" s="594">
        <f t="shared" si="382"/>
        <v>0</v>
      </c>
      <c r="Y488" s="594">
        <f t="shared" si="417"/>
        <v>0</v>
      </c>
      <c r="Z488" s="594">
        <f t="shared" si="383"/>
        <v>0</v>
      </c>
      <c r="AA488" s="593">
        <v>50000000</v>
      </c>
      <c r="AB488" s="593">
        <v>50000000</v>
      </c>
      <c r="AC488" s="593">
        <v>0</v>
      </c>
      <c r="AD488" s="593">
        <v>0</v>
      </c>
      <c r="AE488" s="593">
        <v>0</v>
      </c>
      <c r="AF488" s="593">
        <v>0</v>
      </c>
      <c r="AG488" s="593">
        <v>0</v>
      </c>
      <c r="AH488" s="593">
        <v>0</v>
      </c>
      <c r="AI488" s="593">
        <v>0</v>
      </c>
      <c r="AJ488" s="593">
        <v>0</v>
      </c>
      <c r="AK488" s="593">
        <v>0</v>
      </c>
      <c r="AL488" s="593">
        <v>0</v>
      </c>
      <c r="AM488" s="593">
        <v>0</v>
      </c>
      <c r="AN488" s="593">
        <v>0</v>
      </c>
      <c r="AO488" s="593">
        <v>0</v>
      </c>
      <c r="AP488" s="593">
        <v>0</v>
      </c>
      <c r="AQ488" s="593">
        <v>0</v>
      </c>
      <c r="AR488" s="593">
        <v>0</v>
      </c>
      <c r="AS488" s="593">
        <v>0</v>
      </c>
      <c r="AT488" s="571">
        <f t="shared" si="384"/>
        <v>5.2884615384615391E-2</v>
      </c>
      <c r="AU488" s="571">
        <v>25</v>
      </c>
      <c r="AV488" s="571">
        <f t="shared" si="423"/>
        <v>0.32051282051282054</v>
      </c>
      <c r="AW488" s="1003">
        <v>303</v>
      </c>
      <c r="AX488" s="604">
        <f t="shared" si="424"/>
        <v>303</v>
      </c>
      <c r="AY488" s="604">
        <f t="shared" si="425"/>
        <v>1212</v>
      </c>
      <c r="AZ488" s="604">
        <f t="shared" si="385"/>
        <v>100</v>
      </c>
      <c r="BA488" s="592">
        <f t="shared" si="386"/>
        <v>5.2884615384615391E-2</v>
      </c>
      <c r="BB488" s="592">
        <f t="shared" si="387"/>
        <v>100</v>
      </c>
      <c r="BC488" s="591">
        <v>0</v>
      </c>
      <c r="BD488" s="591">
        <v>0</v>
      </c>
      <c r="BE488" s="591">
        <v>0</v>
      </c>
      <c r="BF488" s="591">
        <v>0</v>
      </c>
      <c r="BG488" s="591">
        <v>0</v>
      </c>
      <c r="BH488" s="591">
        <v>0</v>
      </c>
      <c r="BI488" s="591">
        <v>0</v>
      </c>
      <c r="BJ488" s="591">
        <v>0</v>
      </c>
      <c r="BK488" s="624">
        <v>0</v>
      </c>
      <c r="BL488" s="589">
        <v>0</v>
      </c>
      <c r="BM488" s="589">
        <v>0</v>
      </c>
      <c r="BN488" s="589">
        <v>0</v>
      </c>
      <c r="BO488" s="589">
        <v>0</v>
      </c>
      <c r="BP488" s="589">
        <v>0</v>
      </c>
      <c r="BQ488" s="589">
        <v>0</v>
      </c>
      <c r="BR488" s="589">
        <v>0</v>
      </c>
      <c r="BS488" s="589">
        <v>0</v>
      </c>
      <c r="BT488" s="589">
        <v>0</v>
      </c>
      <c r="BU488" s="589">
        <v>0</v>
      </c>
      <c r="BV488" s="588">
        <f t="shared" si="388"/>
        <v>5.2884615384615391E-2</v>
      </c>
      <c r="BW488" s="588">
        <v>25</v>
      </c>
      <c r="BX488" s="623">
        <f t="shared" si="426"/>
        <v>0.32051282051282054</v>
      </c>
      <c r="BY488" s="607">
        <v>283</v>
      </c>
      <c r="BZ488" s="629">
        <v>283</v>
      </c>
      <c r="CA488" s="1017">
        <v>453</v>
      </c>
      <c r="CB488" s="557">
        <f t="shared" si="427"/>
        <v>453</v>
      </c>
      <c r="CC488" s="557">
        <f t="shared" si="428"/>
        <v>1812</v>
      </c>
      <c r="CD488" s="622">
        <f t="shared" si="389"/>
        <v>100</v>
      </c>
      <c r="CE488" s="621">
        <f t="shared" si="390"/>
        <v>5.2884615384615391E-2</v>
      </c>
      <c r="CF488" s="605">
        <f t="shared" si="391"/>
        <v>100</v>
      </c>
      <c r="CG488" s="621">
        <f t="shared" si="392"/>
        <v>0.95826923076923098</v>
      </c>
      <c r="CH488" s="553">
        <f t="shared" si="393"/>
        <v>5.9230769230769233E-2</v>
      </c>
      <c r="CI488" s="552">
        <v>28</v>
      </c>
      <c r="CJ488" s="551">
        <f t="shared" si="429"/>
        <v>0.35897435897435898</v>
      </c>
      <c r="CK488" s="875">
        <v>0</v>
      </c>
      <c r="CL488" s="533">
        <f t="shared" si="380"/>
        <v>28</v>
      </c>
      <c r="CM488" s="619">
        <f t="shared" si="430"/>
        <v>0</v>
      </c>
      <c r="CN488" s="619">
        <f t="shared" si="431"/>
        <v>0</v>
      </c>
      <c r="CO488" s="549">
        <f t="shared" si="394"/>
        <v>0</v>
      </c>
      <c r="CP488" s="619">
        <f t="shared" si="395"/>
        <v>0</v>
      </c>
      <c r="CQ488" s="619">
        <f t="shared" si="396"/>
        <v>0</v>
      </c>
      <c r="CR488" s="546">
        <v>0</v>
      </c>
      <c r="CS488" s="546">
        <v>0</v>
      </c>
      <c r="CT488" s="546">
        <v>0</v>
      </c>
      <c r="CU488" s="546">
        <v>0</v>
      </c>
      <c r="CV488" s="546">
        <v>0</v>
      </c>
      <c r="CW488" s="546">
        <v>0</v>
      </c>
      <c r="CX488" s="546">
        <v>0</v>
      </c>
      <c r="CY488" s="546">
        <v>0</v>
      </c>
      <c r="CZ488" s="618">
        <v>0</v>
      </c>
      <c r="DA488" s="618">
        <v>0</v>
      </c>
      <c r="DB488" s="618">
        <v>0</v>
      </c>
      <c r="DC488" s="618">
        <v>0</v>
      </c>
      <c r="DD488" s="618">
        <v>0</v>
      </c>
      <c r="DE488" s="618">
        <v>0</v>
      </c>
      <c r="DF488" s="618">
        <v>0</v>
      </c>
      <c r="DG488" s="618">
        <v>0</v>
      </c>
      <c r="DH488" s="618">
        <v>0</v>
      </c>
      <c r="DI488" s="618">
        <v>0</v>
      </c>
      <c r="DJ488" s="618">
        <v>0</v>
      </c>
      <c r="DK488" s="1034">
        <f t="shared" si="432"/>
        <v>756</v>
      </c>
      <c r="DL488" s="543">
        <f t="shared" si="397"/>
        <v>0.16500000000000001</v>
      </c>
      <c r="DM488" s="542">
        <f t="shared" si="398"/>
        <v>969.23076923076928</v>
      </c>
      <c r="DN488" s="594">
        <f t="shared" si="399"/>
        <v>100</v>
      </c>
      <c r="DO488" s="540">
        <f t="shared" si="400"/>
        <v>0.16500000000000001</v>
      </c>
      <c r="DP488" s="597">
        <f t="shared" si="418"/>
        <v>0.16500000000000001</v>
      </c>
      <c r="DQ488" s="538">
        <f t="shared" si="401"/>
        <v>0.16500000000000001</v>
      </c>
      <c r="DR488" s="617">
        <f t="shared" si="402"/>
        <v>1</v>
      </c>
      <c r="DS488" s="616">
        <f t="shared" si="403"/>
        <v>0</v>
      </c>
      <c r="DT488" s="259">
        <v>619</v>
      </c>
      <c r="DU488" s="260" t="s">
        <v>431</v>
      </c>
      <c r="DV488" s="259"/>
      <c r="DW488" s="260" t="s">
        <v>242</v>
      </c>
      <c r="DX488" s="259"/>
      <c r="DY488" s="259"/>
      <c r="DZ488" s="259"/>
      <c r="EA488" s="987"/>
      <c r="EB488" s="1041" t="s">
        <v>2789</v>
      </c>
      <c r="EC488" s="802">
        <v>0</v>
      </c>
      <c r="EE488" s="1047"/>
    </row>
    <row r="489" spans="4:135" s="534" customFormat="1" ht="96" hidden="1" x14ac:dyDescent="0.3">
      <c r="D489" s="783">
        <v>486</v>
      </c>
      <c r="E489" s="799">
        <v>557</v>
      </c>
      <c r="F489" s="739" t="s">
        <v>203</v>
      </c>
      <c r="G489" s="739" t="s">
        <v>10</v>
      </c>
      <c r="H489" s="739" t="s">
        <v>158</v>
      </c>
      <c r="I489" s="676" t="s">
        <v>1312</v>
      </c>
      <c r="J489" s="573" t="s">
        <v>1475</v>
      </c>
      <c r="K489" s="573" t="s">
        <v>1497</v>
      </c>
      <c r="L489" s="596" t="s">
        <v>2056</v>
      </c>
      <c r="M489" s="571" t="s">
        <v>2017</v>
      </c>
      <c r="N489" s="571">
        <v>0</v>
      </c>
      <c r="O489" s="570">
        <f t="shared" si="419"/>
        <v>276</v>
      </c>
      <c r="P489" s="569">
        <v>276</v>
      </c>
      <c r="Q489" s="628">
        <v>0.16500000000000001</v>
      </c>
      <c r="R489" s="580">
        <f t="shared" si="381"/>
        <v>3.2282608695652179E-2</v>
      </c>
      <c r="S489" s="627">
        <v>54</v>
      </c>
      <c r="T489" s="642">
        <f t="shared" si="420"/>
        <v>0.19565217391304349</v>
      </c>
      <c r="U489" s="992">
        <v>91</v>
      </c>
      <c r="V489" s="626">
        <f t="shared" si="421"/>
        <v>91</v>
      </c>
      <c r="W489" s="594">
        <f t="shared" si="422"/>
        <v>168.5185185185185</v>
      </c>
      <c r="X489" s="594">
        <f t="shared" si="382"/>
        <v>100</v>
      </c>
      <c r="Y489" s="594">
        <f t="shared" si="417"/>
        <v>3.2282608695652179E-2</v>
      </c>
      <c r="Z489" s="594">
        <f t="shared" si="383"/>
        <v>100</v>
      </c>
      <c r="AA489" s="593">
        <v>399000000</v>
      </c>
      <c r="AB489" s="593">
        <v>399000000</v>
      </c>
      <c r="AC489" s="593">
        <v>0</v>
      </c>
      <c r="AD489" s="593">
        <v>0</v>
      </c>
      <c r="AE489" s="593">
        <v>0</v>
      </c>
      <c r="AF489" s="593">
        <v>0</v>
      </c>
      <c r="AG489" s="593">
        <v>0</v>
      </c>
      <c r="AH489" s="593">
        <v>0</v>
      </c>
      <c r="AI489" s="593">
        <v>314200000</v>
      </c>
      <c r="AJ489" s="593">
        <v>314200000</v>
      </c>
      <c r="AK489" s="593">
        <v>0</v>
      </c>
      <c r="AL489" s="593">
        <v>0</v>
      </c>
      <c r="AM489" s="593">
        <v>0</v>
      </c>
      <c r="AN489" s="593">
        <v>0</v>
      </c>
      <c r="AO489" s="593">
        <v>0</v>
      </c>
      <c r="AP489" s="593">
        <v>0</v>
      </c>
      <c r="AQ489" s="593">
        <v>0</v>
      </c>
      <c r="AR489" s="593">
        <v>0</v>
      </c>
      <c r="AS489" s="593">
        <v>0</v>
      </c>
      <c r="AT489" s="571">
        <f t="shared" si="384"/>
        <v>4.1250000000000002E-2</v>
      </c>
      <c r="AU489" s="571">
        <v>69</v>
      </c>
      <c r="AV489" s="571">
        <f t="shared" si="423"/>
        <v>0.25</v>
      </c>
      <c r="AW489" s="1003">
        <v>109</v>
      </c>
      <c r="AX489" s="604">
        <f t="shared" si="424"/>
        <v>109</v>
      </c>
      <c r="AY489" s="604">
        <f t="shared" si="425"/>
        <v>157.97101449275362</v>
      </c>
      <c r="AZ489" s="604">
        <f t="shared" si="385"/>
        <v>100</v>
      </c>
      <c r="BA489" s="592">
        <f t="shared" si="386"/>
        <v>4.1250000000000002E-2</v>
      </c>
      <c r="BB489" s="592">
        <f t="shared" si="387"/>
        <v>100</v>
      </c>
      <c r="BC489" s="591">
        <v>210000000</v>
      </c>
      <c r="BD489" s="591">
        <v>0</v>
      </c>
      <c r="BE489" s="591">
        <v>210000000</v>
      </c>
      <c r="BF489" s="591">
        <v>0</v>
      </c>
      <c r="BG489" s="591">
        <v>0</v>
      </c>
      <c r="BH489" s="591">
        <v>0</v>
      </c>
      <c r="BI489" s="591">
        <v>0</v>
      </c>
      <c r="BJ489" s="591">
        <v>0</v>
      </c>
      <c r="BK489" s="624">
        <v>123894979</v>
      </c>
      <c r="BL489" s="589">
        <v>123894979</v>
      </c>
      <c r="BM489" s="589">
        <v>0</v>
      </c>
      <c r="BN489" s="589">
        <v>0</v>
      </c>
      <c r="BO489" s="589">
        <v>0</v>
      </c>
      <c r="BP489" s="589">
        <v>0</v>
      </c>
      <c r="BQ489" s="589">
        <v>0</v>
      </c>
      <c r="BR489" s="589">
        <v>0</v>
      </c>
      <c r="BS489" s="589">
        <v>0</v>
      </c>
      <c r="BT489" s="589">
        <v>0</v>
      </c>
      <c r="BU489" s="589">
        <v>0</v>
      </c>
      <c r="BV489" s="588">
        <f t="shared" si="388"/>
        <v>1.1956521739130435E-2</v>
      </c>
      <c r="BW489" s="588">
        <v>20</v>
      </c>
      <c r="BX489" s="623">
        <f t="shared" si="426"/>
        <v>7.2463768115942032E-2</v>
      </c>
      <c r="BY489" s="607">
        <v>6</v>
      </c>
      <c r="BZ489" s="629">
        <v>6</v>
      </c>
      <c r="CA489" s="1017">
        <v>20</v>
      </c>
      <c r="CB489" s="557">
        <f t="shared" si="427"/>
        <v>20</v>
      </c>
      <c r="CC489" s="557">
        <f t="shared" si="428"/>
        <v>100</v>
      </c>
      <c r="CD489" s="622">
        <f t="shared" si="389"/>
        <v>100</v>
      </c>
      <c r="CE489" s="621">
        <f t="shared" si="390"/>
        <v>1.1956521739130435E-2</v>
      </c>
      <c r="CF489" s="605">
        <f t="shared" si="391"/>
        <v>100</v>
      </c>
      <c r="CG489" s="621">
        <f t="shared" si="392"/>
        <v>1.1956521739130435E-2</v>
      </c>
      <c r="CH489" s="553">
        <f t="shared" si="393"/>
        <v>7.9510869565217385E-2</v>
      </c>
      <c r="CI489" s="552">
        <v>133</v>
      </c>
      <c r="CJ489" s="551">
        <f t="shared" si="429"/>
        <v>0.48188405797101447</v>
      </c>
      <c r="CK489" s="874">
        <v>10</v>
      </c>
      <c r="CL489" s="533">
        <f t="shared" si="380"/>
        <v>123</v>
      </c>
      <c r="CM489" s="619">
        <f t="shared" si="430"/>
        <v>10</v>
      </c>
      <c r="CN489" s="619">
        <f t="shared" si="431"/>
        <v>7.518796992481203</v>
      </c>
      <c r="CO489" s="549">
        <f t="shared" si="394"/>
        <v>7.518796992481203</v>
      </c>
      <c r="CP489" s="619">
        <f t="shared" si="395"/>
        <v>5.9782608695652176E-3</v>
      </c>
      <c r="CQ489" s="619">
        <f t="shared" si="396"/>
        <v>5.9782608695652176E-3</v>
      </c>
      <c r="CR489" s="546">
        <v>485000000</v>
      </c>
      <c r="CS489" s="546">
        <v>485000000</v>
      </c>
      <c r="CT489" s="546">
        <v>0</v>
      </c>
      <c r="CU489" s="546">
        <v>0</v>
      </c>
      <c r="CV489" s="546">
        <v>0</v>
      </c>
      <c r="CW489" s="546">
        <v>0</v>
      </c>
      <c r="CX489" s="546">
        <v>0</v>
      </c>
      <c r="CY489" s="546">
        <v>0</v>
      </c>
      <c r="CZ489" s="618">
        <v>0</v>
      </c>
      <c r="DA489" s="618">
        <v>0</v>
      </c>
      <c r="DB489" s="618">
        <v>0</v>
      </c>
      <c r="DC489" s="618">
        <v>0</v>
      </c>
      <c r="DD489" s="618">
        <v>0</v>
      </c>
      <c r="DE489" s="618">
        <v>0</v>
      </c>
      <c r="DF489" s="618">
        <v>0</v>
      </c>
      <c r="DG489" s="618">
        <v>0</v>
      </c>
      <c r="DH489" s="618">
        <v>0</v>
      </c>
      <c r="DI489" s="618">
        <v>0</v>
      </c>
      <c r="DJ489" s="618">
        <v>0</v>
      </c>
      <c r="DK489" s="1034">
        <f t="shared" si="432"/>
        <v>230</v>
      </c>
      <c r="DL489" s="543">
        <f t="shared" si="397"/>
        <v>0.16499999999999998</v>
      </c>
      <c r="DM489" s="542">
        <f t="shared" si="398"/>
        <v>83.333333333333329</v>
      </c>
      <c r="DN489" s="594">
        <f t="shared" si="399"/>
        <v>83.333333333333329</v>
      </c>
      <c r="DO489" s="540">
        <f t="shared" si="400"/>
        <v>0.13750000000000001</v>
      </c>
      <c r="DP489" s="597">
        <f t="shared" si="418"/>
        <v>0.13750000000000001</v>
      </c>
      <c r="DQ489" s="538">
        <f t="shared" si="401"/>
        <v>0.13750000000000001</v>
      </c>
      <c r="DR489" s="617">
        <f t="shared" si="402"/>
        <v>1</v>
      </c>
      <c r="DS489" s="616">
        <f t="shared" si="403"/>
        <v>0</v>
      </c>
      <c r="DT489" s="259">
        <v>619</v>
      </c>
      <c r="DU489" s="260" t="s">
        <v>431</v>
      </c>
      <c r="DV489" s="259"/>
      <c r="DW489" s="260" t="s">
        <v>242</v>
      </c>
      <c r="DX489" s="259"/>
      <c r="DY489" s="259"/>
      <c r="DZ489" s="259"/>
      <c r="EA489" s="987"/>
      <c r="EB489" s="1041" t="s">
        <v>2790</v>
      </c>
      <c r="EC489" s="802">
        <v>485000000</v>
      </c>
      <c r="EE489" s="1047"/>
    </row>
    <row r="490" spans="4:135" s="534" customFormat="1" ht="127.5" hidden="1" x14ac:dyDescent="0.3">
      <c r="D490" s="783">
        <v>487</v>
      </c>
      <c r="E490" s="799">
        <v>558</v>
      </c>
      <c r="F490" s="739" t="s">
        <v>203</v>
      </c>
      <c r="G490" s="739" t="s">
        <v>12</v>
      </c>
      <c r="H490" s="739" t="s">
        <v>158</v>
      </c>
      <c r="I490" s="676" t="s">
        <v>1316</v>
      </c>
      <c r="J490" s="573" t="s">
        <v>1317</v>
      </c>
      <c r="K490" s="573" t="s">
        <v>1318</v>
      </c>
      <c r="L490" s="596" t="s">
        <v>2055</v>
      </c>
      <c r="M490" s="571" t="s">
        <v>2017</v>
      </c>
      <c r="N490" s="571">
        <v>0</v>
      </c>
      <c r="O490" s="570">
        <f t="shared" si="419"/>
        <v>116</v>
      </c>
      <c r="P490" s="569">
        <v>116</v>
      </c>
      <c r="Q490" s="628">
        <v>0.16500000000000001</v>
      </c>
      <c r="R490" s="580">
        <f t="shared" si="381"/>
        <v>1.4224137931034485E-2</v>
      </c>
      <c r="S490" s="627">
        <v>10</v>
      </c>
      <c r="T490" s="575">
        <f t="shared" si="420"/>
        <v>8.6206896551724144E-2</v>
      </c>
      <c r="U490" s="992">
        <v>53</v>
      </c>
      <c r="V490" s="626">
        <f t="shared" si="421"/>
        <v>53</v>
      </c>
      <c r="W490" s="594">
        <f t="shared" si="422"/>
        <v>530</v>
      </c>
      <c r="X490" s="594">
        <f t="shared" si="382"/>
        <v>100</v>
      </c>
      <c r="Y490" s="594">
        <f t="shared" si="417"/>
        <v>1.4224137931034487E-2</v>
      </c>
      <c r="Z490" s="594">
        <f t="shared" si="383"/>
        <v>100</v>
      </c>
      <c r="AA490" s="593">
        <v>1600000000</v>
      </c>
      <c r="AB490" s="593">
        <v>1600000000</v>
      </c>
      <c r="AC490" s="593">
        <v>0</v>
      </c>
      <c r="AD490" s="593">
        <v>0</v>
      </c>
      <c r="AE490" s="593">
        <v>0</v>
      </c>
      <c r="AF490" s="593">
        <v>0</v>
      </c>
      <c r="AG490" s="593">
        <v>0</v>
      </c>
      <c r="AH490" s="593">
        <v>0</v>
      </c>
      <c r="AI490" s="593">
        <v>2447142000</v>
      </c>
      <c r="AJ490" s="593">
        <v>2447142000</v>
      </c>
      <c r="AK490" s="593">
        <v>0</v>
      </c>
      <c r="AL490" s="593">
        <v>0</v>
      </c>
      <c r="AM490" s="593">
        <v>0</v>
      </c>
      <c r="AN490" s="593">
        <v>0</v>
      </c>
      <c r="AO490" s="593">
        <v>0</v>
      </c>
      <c r="AP490" s="593">
        <v>0</v>
      </c>
      <c r="AQ490" s="593">
        <v>0</v>
      </c>
      <c r="AR490" s="593">
        <v>0</v>
      </c>
      <c r="AS490" s="593">
        <v>0</v>
      </c>
      <c r="AT490" s="571">
        <f t="shared" si="384"/>
        <v>8.5344827586206901E-2</v>
      </c>
      <c r="AU490" s="571">
        <v>60</v>
      </c>
      <c r="AV490" s="571">
        <f t="shared" si="423"/>
        <v>0.51724137931034486</v>
      </c>
      <c r="AW490" s="1003">
        <v>52</v>
      </c>
      <c r="AX490" s="604">
        <f t="shared" si="424"/>
        <v>52</v>
      </c>
      <c r="AY490" s="604">
        <f t="shared" si="425"/>
        <v>86.666666666666671</v>
      </c>
      <c r="AZ490" s="604">
        <f t="shared" si="385"/>
        <v>86.666666666666671</v>
      </c>
      <c r="BA490" s="592">
        <f t="shared" si="386"/>
        <v>7.3965517241379314E-2</v>
      </c>
      <c r="BB490" s="592">
        <f t="shared" si="387"/>
        <v>86.666666666666671</v>
      </c>
      <c r="BC490" s="591">
        <v>1350000000</v>
      </c>
      <c r="BD490" s="591">
        <v>0</v>
      </c>
      <c r="BE490" s="591">
        <v>1350000000</v>
      </c>
      <c r="BF490" s="591">
        <v>0</v>
      </c>
      <c r="BG490" s="591">
        <v>0</v>
      </c>
      <c r="BH490" s="591">
        <v>0</v>
      </c>
      <c r="BI490" s="591">
        <v>0</v>
      </c>
      <c r="BJ490" s="591">
        <v>0</v>
      </c>
      <c r="BK490" s="624">
        <v>5048799127</v>
      </c>
      <c r="BL490" s="589">
        <v>5048799127</v>
      </c>
      <c r="BM490" s="589">
        <v>0</v>
      </c>
      <c r="BN490" s="589">
        <v>0</v>
      </c>
      <c r="BO490" s="589">
        <v>0</v>
      </c>
      <c r="BP490" s="589">
        <v>0</v>
      </c>
      <c r="BQ490" s="589">
        <v>0</v>
      </c>
      <c r="BR490" s="589">
        <v>0</v>
      </c>
      <c r="BS490" s="589">
        <v>0</v>
      </c>
      <c r="BT490" s="589">
        <v>19732143</v>
      </c>
      <c r="BU490" s="589" t="s">
        <v>2054</v>
      </c>
      <c r="BV490" s="588">
        <f t="shared" si="388"/>
        <v>6.5431034482758624E-2</v>
      </c>
      <c r="BW490" s="588">
        <v>46</v>
      </c>
      <c r="BX490" s="623">
        <f t="shared" si="426"/>
        <v>0.39655172413793105</v>
      </c>
      <c r="BY490" s="607">
        <v>0</v>
      </c>
      <c r="BZ490" s="629">
        <v>0</v>
      </c>
      <c r="CA490" s="1017">
        <v>87</v>
      </c>
      <c r="CB490" s="557">
        <f t="shared" si="427"/>
        <v>87</v>
      </c>
      <c r="CC490" s="557">
        <f t="shared" si="428"/>
        <v>189.13043478260869</v>
      </c>
      <c r="CD490" s="622">
        <f t="shared" si="389"/>
        <v>100</v>
      </c>
      <c r="CE490" s="621">
        <f t="shared" si="390"/>
        <v>6.5431034482758624E-2</v>
      </c>
      <c r="CF490" s="605">
        <f t="shared" si="391"/>
        <v>100</v>
      </c>
      <c r="CG490" s="621">
        <f t="shared" si="392"/>
        <v>0.12375</v>
      </c>
      <c r="CH490" s="553">
        <f t="shared" si="393"/>
        <v>0</v>
      </c>
      <c r="CI490" s="552">
        <v>0</v>
      </c>
      <c r="CJ490" s="551">
        <f t="shared" si="429"/>
        <v>0</v>
      </c>
      <c r="CK490" s="874">
        <v>0</v>
      </c>
      <c r="CL490" s="533">
        <f t="shared" si="380"/>
        <v>0</v>
      </c>
      <c r="CM490" s="619">
        <f t="shared" si="430"/>
        <v>0</v>
      </c>
      <c r="CN490" s="619">
        <f t="shared" si="431"/>
        <v>0</v>
      </c>
      <c r="CO490" s="549">
        <f t="shared" si="394"/>
        <v>0</v>
      </c>
      <c r="CP490" s="619">
        <f t="shared" si="395"/>
        <v>0</v>
      </c>
      <c r="CQ490" s="619">
        <f t="shared" si="396"/>
        <v>0</v>
      </c>
      <c r="CR490" s="546">
        <v>3116000000</v>
      </c>
      <c r="CS490" s="546">
        <v>3116000000</v>
      </c>
      <c r="CT490" s="546">
        <v>0</v>
      </c>
      <c r="CU490" s="546">
        <v>0</v>
      </c>
      <c r="CV490" s="546">
        <v>0</v>
      </c>
      <c r="CW490" s="546">
        <v>0</v>
      </c>
      <c r="CX490" s="546">
        <v>0</v>
      </c>
      <c r="CY490" s="546">
        <v>0</v>
      </c>
      <c r="CZ490" s="618">
        <v>0</v>
      </c>
      <c r="DA490" s="618">
        <v>0</v>
      </c>
      <c r="DB490" s="618">
        <v>0</v>
      </c>
      <c r="DC490" s="618">
        <v>0</v>
      </c>
      <c r="DD490" s="618">
        <v>0</v>
      </c>
      <c r="DE490" s="618">
        <v>0</v>
      </c>
      <c r="DF490" s="618">
        <v>0</v>
      </c>
      <c r="DG490" s="618">
        <v>0</v>
      </c>
      <c r="DH490" s="618">
        <v>0</v>
      </c>
      <c r="DI490" s="618">
        <v>0</v>
      </c>
      <c r="DJ490" s="618">
        <v>0</v>
      </c>
      <c r="DK490" s="1034">
        <f t="shared" si="432"/>
        <v>192</v>
      </c>
      <c r="DL490" s="543">
        <f t="shared" si="397"/>
        <v>0.16500000000000001</v>
      </c>
      <c r="DM490" s="542">
        <f t="shared" si="398"/>
        <v>165.51724137931035</v>
      </c>
      <c r="DN490" s="594">
        <f t="shared" si="399"/>
        <v>100</v>
      </c>
      <c r="DO490" s="540">
        <f t="shared" si="400"/>
        <v>0.16500000000000001</v>
      </c>
      <c r="DP490" s="597">
        <f t="shared" si="418"/>
        <v>0.16500000000000001</v>
      </c>
      <c r="DQ490" s="538">
        <f t="shared" si="401"/>
        <v>0.16500000000000001</v>
      </c>
      <c r="DR490" s="617">
        <f t="shared" si="402"/>
        <v>1</v>
      </c>
      <c r="DS490" s="616">
        <f t="shared" si="403"/>
        <v>-1.3877787807814457E-17</v>
      </c>
      <c r="DT490" s="259">
        <v>619</v>
      </c>
      <c r="DU490" s="260" t="s">
        <v>431</v>
      </c>
      <c r="DV490" s="259"/>
      <c r="DW490" s="260" t="s">
        <v>242</v>
      </c>
      <c r="DX490" s="259"/>
      <c r="DY490" s="259"/>
      <c r="DZ490" s="259"/>
      <c r="EA490" s="987"/>
      <c r="EB490" s="1041" t="s">
        <v>2791</v>
      </c>
      <c r="EC490" s="802">
        <v>3116000000</v>
      </c>
      <c r="EE490" s="1047"/>
    </row>
    <row r="491" spans="4:135" s="534" customFormat="1" ht="267.75" hidden="1" x14ac:dyDescent="0.3">
      <c r="D491" s="783">
        <v>488</v>
      </c>
      <c r="E491" s="799">
        <v>559</v>
      </c>
      <c r="F491" s="739" t="s">
        <v>203</v>
      </c>
      <c r="G491" s="739" t="s">
        <v>12</v>
      </c>
      <c r="H491" s="739" t="s">
        <v>158</v>
      </c>
      <c r="I491" s="676" t="s">
        <v>1316</v>
      </c>
      <c r="J491" s="573" t="s">
        <v>1319</v>
      </c>
      <c r="K491" s="573" t="s">
        <v>1320</v>
      </c>
      <c r="L491" s="596" t="s">
        <v>1593</v>
      </c>
      <c r="M491" s="571" t="s">
        <v>2017</v>
      </c>
      <c r="N491" s="571">
        <v>0</v>
      </c>
      <c r="O491" s="570">
        <f t="shared" si="419"/>
        <v>60</v>
      </c>
      <c r="P491" s="569">
        <v>60</v>
      </c>
      <c r="Q491" s="628">
        <v>0.25</v>
      </c>
      <c r="R491" s="580">
        <f t="shared" si="381"/>
        <v>6.25E-2</v>
      </c>
      <c r="S491" s="627">
        <v>15</v>
      </c>
      <c r="T491" s="642">
        <f t="shared" si="420"/>
        <v>0.25</v>
      </c>
      <c r="U491" s="992">
        <v>21</v>
      </c>
      <c r="V491" s="626">
        <f t="shared" si="421"/>
        <v>21</v>
      </c>
      <c r="W491" s="594">
        <f t="shared" si="422"/>
        <v>140</v>
      </c>
      <c r="X491" s="594">
        <f t="shared" si="382"/>
        <v>100</v>
      </c>
      <c r="Y491" s="594">
        <f t="shared" si="417"/>
        <v>6.25E-2</v>
      </c>
      <c r="Z491" s="594">
        <f t="shared" si="383"/>
        <v>100</v>
      </c>
      <c r="AA491" s="593">
        <v>934000000</v>
      </c>
      <c r="AB491" s="593">
        <v>934000000</v>
      </c>
      <c r="AC491" s="593">
        <v>0</v>
      </c>
      <c r="AD491" s="593">
        <v>0</v>
      </c>
      <c r="AE491" s="593">
        <v>0</v>
      </c>
      <c r="AF491" s="593">
        <v>0</v>
      </c>
      <c r="AG491" s="593">
        <v>0</v>
      </c>
      <c r="AH491" s="593">
        <v>0</v>
      </c>
      <c r="AI491" s="593">
        <v>932500000</v>
      </c>
      <c r="AJ491" s="593">
        <v>932500000</v>
      </c>
      <c r="AK491" s="593">
        <v>0</v>
      </c>
      <c r="AL491" s="593">
        <v>0</v>
      </c>
      <c r="AM491" s="593">
        <v>0</v>
      </c>
      <c r="AN491" s="593">
        <v>0</v>
      </c>
      <c r="AO491" s="593">
        <v>0</v>
      </c>
      <c r="AP491" s="593">
        <v>0</v>
      </c>
      <c r="AQ491" s="593">
        <v>0</v>
      </c>
      <c r="AR491" s="593">
        <v>0</v>
      </c>
      <c r="AS491" s="593">
        <v>0</v>
      </c>
      <c r="AT491" s="571">
        <f t="shared" si="384"/>
        <v>0.1875</v>
      </c>
      <c r="AU491" s="571">
        <v>45</v>
      </c>
      <c r="AV491" s="571">
        <f t="shared" si="423"/>
        <v>0.75</v>
      </c>
      <c r="AW491" s="1003">
        <v>32</v>
      </c>
      <c r="AX491" s="604">
        <f t="shared" si="424"/>
        <v>32</v>
      </c>
      <c r="AY491" s="604">
        <f t="shared" si="425"/>
        <v>71.111111111111114</v>
      </c>
      <c r="AZ491" s="604">
        <f t="shared" si="385"/>
        <v>71.111111111111114</v>
      </c>
      <c r="BA491" s="592">
        <f t="shared" si="386"/>
        <v>0.13333333333333333</v>
      </c>
      <c r="BB491" s="592">
        <f t="shared" si="387"/>
        <v>71.111111111111114</v>
      </c>
      <c r="BC491" s="591">
        <v>2000000000</v>
      </c>
      <c r="BD491" s="591">
        <v>0</v>
      </c>
      <c r="BE491" s="591">
        <v>2000000000</v>
      </c>
      <c r="BF491" s="591">
        <v>0</v>
      </c>
      <c r="BG491" s="591">
        <v>0</v>
      </c>
      <c r="BH491" s="591">
        <v>0</v>
      </c>
      <c r="BI491" s="591">
        <v>0</v>
      </c>
      <c r="BJ491" s="591">
        <v>0</v>
      </c>
      <c r="BK491" s="624">
        <v>2266670201</v>
      </c>
      <c r="BL491" s="589">
        <v>2266670201</v>
      </c>
      <c r="BM491" s="589">
        <v>0</v>
      </c>
      <c r="BN491" s="589">
        <v>0</v>
      </c>
      <c r="BO491" s="589">
        <v>0</v>
      </c>
      <c r="BP491" s="589">
        <v>0</v>
      </c>
      <c r="BQ491" s="589">
        <v>0</v>
      </c>
      <c r="BR491" s="589">
        <v>0</v>
      </c>
      <c r="BS491" s="589">
        <v>0</v>
      </c>
      <c r="BT491" s="589">
        <v>294670000</v>
      </c>
      <c r="BU491" s="589" t="s">
        <v>2053</v>
      </c>
      <c r="BV491" s="588">
        <f t="shared" si="388"/>
        <v>0</v>
      </c>
      <c r="BW491" s="588">
        <v>0</v>
      </c>
      <c r="BX491" s="623">
        <f t="shared" si="426"/>
        <v>0</v>
      </c>
      <c r="BY491" s="607">
        <v>0</v>
      </c>
      <c r="BZ491" s="629">
        <v>0</v>
      </c>
      <c r="CA491" s="1017">
        <v>21</v>
      </c>
      <c r="CB491" s="557">
        <f t="shared" si="427"/>
        <v>21</v>
      </c>
      <c r="CC491" s="557">
        <f t="shared" si="428"/>
        <v>0</v>
      </c>
      <c r="CD491" s="622">
        <f t="shared" si="389"/>
        <v>0</v>
      </c>
      <c r="CE491" s="621">
        <f t="shared" si="390"/>
        <v>0</v>
      </c>
      <c r="CF491" s="605">
        <f t="shared" si="391"/>
        <v>0</v>
      </c>
      <c r="CG491" s="621">
        <f t="shared" si="392"/>
        <v>0</v>
      </c>
      <c r="CH491" s="553">
        <f t="shared" si="393"/>
        <v>0</v>
      </c>
      <c r="CI491" s="552">
        <v>0</v>
      </c>
      <c r="CJ491" s="551">
        <f t="shared" si="429"/>
        <v>0</v>
      </c>
      <c r="CK491" s="874">
        <v>0</v>
      </c>
      <c r="CL491" s="533">
        <f t="shared" si="380"/>
        <v>0</v>
      </c>
      <c r="CM491" s="619">
        <f t="shared" si="430"/>
        <v>0</v>
      </c>
      <c r="CN491" s="619">
        <f t="shared" si="431"/>
        <v>0</v>
      </c>
      <c r="CO491" s="549">
        <f t="shared" si="394"/>
        <v>0</v>
      </c>
      <c r="CP491" s="619">
        <f t="shared" si="395"/>
        <v>0</v>
      </c>
      <c r="CQ491" s="619">
        <f t="shared" si="396"/>
        <v>0</v>
      </c>
      <c r="CR491" s="546">
        <v>0</v>
      </c>
      <c r="CS491" s="546">
        <v>0</v>
      </c>
      <c r="CT491" s="546">
        <v>0</v>
      </c>
      <c r="CU491" s="546">
        <v>0</v>
      </c>
      <c r="CV491" s="546">
        <v>0</v>
      </c>
      <c r="CW491" s="546">
        <v>0</v>
      </c>
      <c r="CX491" s="546">
        <v>0</v>
      </c>
      <c r="CY491" s="546">
        <v>0</v>
      </c>
      <c r="CZ491" s="618">
        <v>0</v>
      </c>
      <c r="DA491" s="618">
        <v>0</v>
      </c>
      <c r="DB491" s="618">
        <v>0</v>
      </c>
      <c r="DC491" s="618">
        <v>0</v>
      </c>
      <c r="DD491" s="618">
        <v>0</v>
      </c>
      <c r="DE491" s="618">
        <v>0</v>
      </c>
      <c r="DF491" s="618">
        <v>0</v>
      </c>
      <c r="DG491" s="618">
        <v>0</v>
      </c>
      <c r="DH491" s="618">
        <v>0</v>
      </c>
      <c r="DI491" s="618">
        <v>0</v>
      </c>
      <c r="DJ491" s="618">
        <v>0</v>
      </c>
      <c r="DK491" s="1034">
        <f t="shared" si="432"/>
        <v>74</v>
      </c>
      <c r="DL491" s="543">
        <f t="shared" si="397"/>
        <v>0.25</v>
      </c>
      <c r="DM491" s="542">
        <f t="shared" si="398"/>
        <v>123.33333333333333</v>
      </c>
      <c r="DN491" s="594">
        <f t="shared" si="399"/>
        <v>100</v>
      </c>
      <c r="DO491" s="540">
        <f t="shared" si="400"/>
        <v>0.25</v>
      </c>
      <c r="DP491" s="597">
        <f t="shared" si="418"/>
        <v>0.25</v>
      </c>
      <c r="DQ491" s="538">
        <f t="shared" si="401"/>
        <v>0.25</v>
      </c>
      <c r="DR491" s="617">
        <f t="shared" si="402"/>
        <v>1</v>
      </c>
      <c r="DS491" s="616">
        <f t="shared" si="403"/>
        <v>0</v>
      </c>
      <c r="DT491" s="259">
        <v>619</v>
      </c>
      <c r="DU491" s="260" t="s">
        <v>431</v>
      </c>
      <c r="DV491" s="259"/>
      <c r="DW491" s="260" t="s">
        <v>242</v>
      </c>
      <c r="DX491" s="259"/>
      <c r="DY491" s="259"/>
      <c r="DZ491" s="259"/>
      <c r="EA491" s="987"/>
      <c r="EB491" s="1041" t="s">
        <v>2792</v>
      </c>
      <c r="EC491" s="802">
        <v>0</v>
      </c>
      <c r="EE491" s="1047"/>
    </row>
    <row r="492" spans="4:135" s="534" customFormat="1" ht="102" hidden="1" x14ac:dyDescent="0.3">
      <c r="D492" s="783">
        <v>489</v>
      </c>
      <c r="E492" s="799">
        <v>560</v>
      </c>
      <c r="F492" s="739" t="s">
        <v>203</v>
      </c>
      <c r="G492" s="739" t="s">
        <v>12</v>
      </c>
      <c r="H492" s="739" t="s">
        <v>158</v>
      </c>
      <c r="I492" s="676" t="s">
        <v>1316</v>
      </c>
      <c r="J492" s="573" t="s">
        <v>1321</v>
      </c>
      <c r="K492" s="573" t="s">
        <v>1322</v>
      </c>
      <c r="L492" s="596" t="s">
        <v>2051</v>
      </c>
      <c r="M492" s="571" t="s">
        <v>2017</v>
      </c>
      <c r="N492" s="571">
        <v>257</v>
      </c>
      <c r="O492" s="570">
        <f t="shared" si="419"/>
        <v>2257</v>
      </c>
      <c r="P492" s="569">
        <v>2000</v>
      </c>
      <c r="Q492" s="628">
        <v>0.25</v>
      </c>
      <c r="R492" s="580">
        <f t="shared" si="381"/>
        <v>2.5000000000000001E-2</v>
      </c>
      <c r="S492" s="627">
        <v>200</v>
      </c>
      <c r="T492" s="575">
        <f t="shared" si="420"/>
        <v>0.1</v>
      </c>
      <c r="U492" s="992">
        <v>1581</v>
      </c>
      <c r="V492" s="626">
        <f t="shared" si="421"/>
        <v>1581</v>
      </c>
      <c r="W492" s="594">
        <f t="shared" si="422"/>
        <v>790.5</v>
      </c>
      <c r="X492" s="594">
        <f t="shared" si="382"/>
        <v>100</v>
      </c>
      <c r="Y492" s="594">
        <f t="shared" si="417"/>
        <v>2.5000000000000001E-2</v>
      </c>
      <c r="Z492" s="594">
        <f t="shared" si="383"/>
        <v>100</v>
      </c>
      <c r="AA492" s="593">
        <v>1249000000</v>
      </c>
      <c r="AB492" s="593">
        <v>1249000000</v>
      </c>
      <c r="AC492" s="593">
        <v>0</v>
      </c>
      <c r="AD492" s="593">
        <v>0</v>
      </c>
      <c r="AE492" s="593">
        <v>0</v>
      </c>
      <c r="AF492" s="593">
        <v>0</v>
      </c>
      <c r="AG492" s="593">
        <v>0</v>
      </c>
      <c r="AH492" s="593">
        <v>0</v>
      </c>
      <c r="AI492" s="593">
        <v>166885000</v>
      </c>
      <c r="AJ492" s="593">
        <v>166885000</v>
      </c>
      <c r="AK492" s="593">
        <v>0</v>
      </c>
      <c r="AL492" s="593">
        <v>0</v>
      </c>
      <c r="AM492" s="593">
        <v>0</v>
      </c>
      <c r="AN492" s="593">
        <v>0</v>
      </c>
      <c r="AO492" s="593">
        <v>0</v>
      </c>
      <c r="AP492" s="593">
        <v>0</v>
      </c>
      <c r="AQ492" s="593">
        <v>0</v>
      </c>
      <c r="AR492" s="593">
        <v>0</v>
      </c>
      <c r="AS492" s="593">
        <v>0</v>
      </c>
      <c r="AT492" s="571">
        <f t="shared" si="384"/>
        <v>0.05</v>
      </c>
      <c r="AU492" s="571">
        <v>400</v>
      </c>
      <c r="AV492" s="571">
        <f t="shared" si="423"/>
        <v>0.2</v>
      </c>
      <c r="AW492" s="1003">
        <v>1324</v>
      </c>
      <c r="AX492" s="604">
        <f t="shared" si="424"/>
        <v>1324</v>
      </c>
      <c r="AY492" s="604">
        <f t="shared" si="425"/>
        <v>331</v>
      </c>
      <c r="AZ492" s="604">
        <f t="shared" si="385"/>
        <v>100</v>
      </c>
      <c r="BA492" s="592">
        <f t="shared" si="386"/>
        <v>0.05</v>
      </c>
      <c r="BB492" s="592">
        <f t="shared" si="387"/>
        <v>100</v>
      </c>
      <c r="BC492" s="591">
        <v>191000000</v>
      </c>
      <c r="BD492" s="591">
        <v>0</v>
      </c>
      <c r="BE492" s="591">
        <v>191000000</v>
      </c>
      <c r="BF492" s="591">
        <v>0</v>
      </c>
      <c r="BG492" s="591">
        <v>0</v>
      </c>
      <c r="BH492" s="591">
        <v>0</v>
      </c>
      <c r="BI492" s="591">
        <v>0</v>
      </c>
      <c r="BJ492" s="591">
        <v>0</v>
      </c>
      <c r="BK492" s="624">
        <v>1648891558</v>
      </c>
      <c r="BL492" s="589">
        <v>1648891558</v>
      </c>
      <c r="BM492" s="589">
        <v>0</v>
      </c>
      <c r="BN492" s="589">
        <v>0</v>
      </c>
      <c r="BO492" s="589">
        <v>0</v>
      </c>
      <c r="BP492" s="589">
        <v>0</v>
      </c>
      <c r="BQ492" s="589">
        <v>0</v>
      </c>
      <c r="BR492" s="589">
        <v>0</v>
      </c>
      <c r="BS492" s="589">
        <v>0</v>
      </c>
      <c r="BT492" s="589">
        <v>131752000</v>
      </c>
      <c r="BU492" s="589" t="s">
        <v>2052</v>
      </c>
      <c r="BV492" s="588">
        <f t="shared" si="388"/>
        <v>9.375E-2</v>
      </c>
      <c r="BW492" s="588">
        <v>750</v>
      </c>
      <c r="BX492" s="623">
        <f t="shared" si="426"/>
        <v>0.375</v>
      </c>
      <c r="BY492" s="607">
        <v>413</v>
      </c>
      <c r="BZ492" s="629">
        <v>413</v>
      </c>
      <c r="CA492" s="1017">
        <v>762</v>
      </c>
      <c r="CB492" s="557">
        <f t="shared" si="427"/>
        <v>762</v>
      </c>
      <c r="CC492" s="557">
        <f t="shared" si="428"/>
        <v>101.6</v>
      </c>
      <c r="CD492" s="622">
        <f t="shared" si="389"/>
        <v>100</v>
      </c>
      <c r="CE492" s="621">
        <f t="shared" si="390"/>
        <v>9.375E-2</v>
      </c>
      <c r="CF492" s="605">
        <f t="shared" si="391"/>
        <v>100</v>
      </c>
      <c r="CG492" s="621">
        <f t="shared" si="392"/>
        <v>9.5249999999999987E-2</v>
      </c>
      <c r="CH492" s="553">
        <f t="shared" si="393"/>
        <v>8.1250000000000003E-2</v>
      </c>
      <c r="CI492" s="552">
        <v>650</v>
      </c>
      <c r="CJ492" s="551">
        <f t="shared" si="429"/>
        <v>0.32500000000000001</v>
      </c>
      <c r="CK492" s="874">
        <v>346</v>
      </c>
      <c r="CL492" s="533">
        <f t="shared" si="380"/>
        <v>304</v>
      </c>
      <c r="CM492" s="619">
        <f t="shared" si="430"/>
        <v>346</v>
      </c>
      <c r="CN492" s="619">
        <f t="shared" si="431"/>
        <v>53.230769230769234</v>
      </c>
      <c r="CO492" s="549">
        <f t="shared" si="394"/>
        <v>53.230769230769234</v>
      </c>
      <c r="CP492" s="619">
        <f t="shared" si="395"/>
        <v>4.3250000000000004E-2</v>
      </c>
      <c r="CQ492" s="619">
        <f t="shared" si="396"/>
        <v>4.3250000000000004E-2</v>
      </c>
      <c r="CR492" s="546">
        <v>441000000</v>
      </c>
      <c r="CS492" s="546">
        <v>441000000</v>
      </c>
      <c r="CT492" s="546">
        <v>0</v>
      </c>
      <c r="CU492" s="546">
        <v>0</v>
      </c>
      <c r="CV492" s="546">
        <v>0</v>
      </c>
      <c r="CW492" s="546">
        <v>0</v>
      </c>
      <c r="CX492" s="546">
        <v>0</v>
      </c>
      <c r="CY492" s="546">
        <v>0</v>
      </c>
      <c r="CZ492" s="618">
        <v>0</v>
      </c>
      <c r="DA492" s="618">
        <v>0</v>
      </c>
      <c r="DB492" s="618">
        <v>0</v>
      </c>
      <c r="DC492" s="618">
        <v>0</v>
      </c>
      <c r="DD492" s="618">
        <v>0</v>
      </c>
      <c r="DE492" s="618">
        <v>0</v>
      </c>
      <c r="DF492" s="618">
        <v>0</v>
      </c>
      <c r="DG492" s="618">
        <v>0</v>
      </c>
      <c r="DH492" s="618">
        <v>0</v>
      </c>
      <c r="DI492" s="618">
        <v>0</v>
      </c>
      <c r="DJ492" s="618">
        <v>0</v>
      </c>
      <c r="DK492" s="1034">
        <f t="shared" si="432"/>
        <v>4013</v>
      </c>
      <c r="DL492" s="543">
        <f t="shared" si="397"/>
        <v>0.25</v>
      </c>
      <c r="DM492" s="542">
        <f t="shared" si="398"/>
        <v>200.65</v>
      </c>
      <c r="DN492" s="594">
        <f t="shared" si="399"/>
        <v>100</v>
      </c>
      <c r="DO492" s="540">
        <f t="shared" si="400"/>
        <v>0.25</v>
      </c>
      <c r="DP492" s="597">
        <f t="shared" si="418"/>
        <v>0.25</v>
      </c>
      <c r="DQ492" s="538">
        <f t="shared" si="401"/>
        <v>0.25</v>
      </c>
      <c r="DR492" s="617">
        <f t="shared" si="402"/>
        <v>1</v>
      </c>
      <c r="DS492" s="616">
        <f t="shared" si="403"/>
        <v>0</v>
      </c>
      <c r="DT492" s="259">
        <v>619</v>
      </c>
      <c r="DU492" s="260" t="s">
        <v>431</v>
      </c>
      <c r="DV492" s="259"/>
      <c r="DW492" s="260" t="s">
        <v>242</v>
      </c>
      <c r="DX492" s="259"/>
      <c r="DY492" s="259"/>
      <c r="DZ492" s="259"/>
      <c r="EA492" s="987"/>
      <c r="EB492" s="1041" t="s">
        <v>2793</v>
      </c>
      <c r="EC492" s="802">
        <v>441000000</v>
      </c>
      <c r="EE492" s="1047"/>
    </row>
    <row r="493" spans="4:135" s="534" customFormat="1" ht="96" hidden="1" x14ac:dyDescent="0.3">
      <c r="D493" s="783">
        <v>490</v>
      </c>
      <c r="E493" s="799">
        <v>561</v>
      </c>
      <c r="F493" s="739" t="s">
        <v>203</v>
      </c>
      <c r="G493" s="739" t="s">
        <v>12</v>
      </c>
      <c r="H493" s="739" t="s">
        <v>158</v>
      </c>
      <c r="I493" s="676" t="s">
        <v>1316</v>
      </c>
      <c r="J493" s="573" t="s">
        <v>1323</v>
      </c>
      <c r="K493" s="573" t="s">
        <v>1324</v>
      </c>
      <c r="L493" s="596" t="s">
        <v>2051</v>
      </c>
      <c r="M493" s="571" t="s">
        <v>2017</v>
      </c>
      <c r="N493" s="571">
        <v>0</v>
      </c>
      <c r="O493" s="570">
        <f t="shared" si="419"/>
        <v>2000</v>
      </c>
      <c r="P493" s="569">
        <v>2000</v>
      </c>
      <c r="Q493" s="628">
        <v>0.16500000000000001</v>
      </c>
      <c r="R493" s="580">
        <f t="shared" si="381"/>
        <v>8.2500000000000004E-3</v>
      </c>
      <c r="S493" s="627">
        <v>100</v>
      </c>
      <c r="T493" s="575">
        <f t="shared" si="420"/>
        <v>0.05</v>
      </c>
      <c r="U493" s="992">
        <v>1380</v>
      </c>
      <c r="V493" s="626">
        <f t="shared" si="421"/>
        <v>1380</v>
      </c>
      <c r="W493" s="594">
        <f t="shared" si="422"/>
        <v>1380</v>
      </c>
      <c r="X493" s="594">
        <f t="shared" si="382"/>
        <v>100</v>
      </c>
      <c r="Y493" s="594">
        <f t="shared" si="417"/>
        <v>8.2500000000000004E-3</v>
      </c>
      <c r="Z493" s="594">
        <f t="shared" si="383"/>
        <v>100</v>
      </c>
      <c r="AA493" s="593">
        <v>115000000</v>
      </c>
      <c r="AB493" s="593">
        <v>115000000</v>
      </c>
      <c r="AC493" s="593">
        <v>0</v>
      </c>
      <c r="AD493" s="593">
        <v>0</v>
      </c>
      <c r="AE493" s="593">
        <v>0</v>
      </c>
      <c r="AF493" s="593">
        <v>0</v>
      </c>
      <c r="AG493" s="593">
        <v>0</v>
      </c>
      <c r="AH493" s="593">
        <v>0</v>
      </c>
      <c r="AI493" s="593">
        <v>1046408000</v>
      </c>
      <c r="AJ493" s="593">
        <v>1046408000</v>
      </c>
      <c r="AK493" s="593">
        <v>0</v>
      </c>
      <c r="AL493" s="593">
        <v>0</v>
      </c>
      <c r="AM493" s="593">
        <v>0</v>
      </c>
      <c r="AN493" s="593">
        <v>0</v>
      </c>
      <c r="AO493" s="593">
        <v>0</v>
      </c>
      <c r="AP493" s="593">
        <v>0</v>
      </c>
      <c r="AQ493" s="593">
        <v>0</v>
      </c>
      <c r="AR493" s="593">
        <v>0</v>
      </c>
      <c r="AS493" s="593">
        <v>0</v>
      </c>
      <c r="AT493" s="571">
        <f t="shared" si="384"/>
        <v>7.425000000000001E-2</v>
      </c>
      <c r="AU493" s="571">
        <v>900</v>
      </c>
      <c r="AV493" s="571">
        <f t="shared" si="423"/>
        <v>0.45</v>
      </c>
      <c r="AW493" s="1003">
        <v>1287</v>
      </c>
      <c r="AX493" s="604">
        <f t="shared" si="424"/>
        <v>1287</v>
      </c>
      <c r="AY493" s="604">
        <f t="shared" si="425"/>
        <v>143</v>
      </c>
      <c r="AZ493" s="604">
        <f t="shared" si="385"/>
        <v>100</v>
      </c>
      <c r="BA493" s="592">
        <f t="shared" si="386"/>
        <v>7.425000000000001E-2</v>
      </c>
      <c r="BB493" s="592">
        <f t="shared" si="387"/>
        <v>100</v>
      </c>
      <c r="BC493" s="591">
        <v>0</v>
      </c>
      <c r="BD493" s="591">
        <v>0</v>
      </c>
      <c r="BE493" s="591">
        <v>0</v>
      </c>
      <c r="BF493" s="591">
        <v>0</v>
      </c>
      <c r="BG493" s="591">
        <v>0</v>
      </c>
      <c r="BH493" s="591">
        <v>0</v>
      </c>
      <c r="BI493" s="591">
        <v>0</v>
      </c>
      <c r="BJ493" s="591">
        <v>0</v>
      </c>
      <c r="BK493" s="624">
        <v>106526040</v>
      </c>
      <c r="BL493" s="589">
        <v>106526040</v>
      </c>
      <c r="BM493" s="589">
        <v>0</v>
      </c>
      <c r="BN493" s="589">
        <v>0</v>
      </c>
      <c r="BO493" s="589">
        <v>0</v>
      </c>
      <c r="BP493" s="589">
        <v>0</v>
      </c>
      <c r="BQ493" s="589">
        <v>0</v>
      </c>
      <c r="BR493" s="589">
        <v>0</v>
      </c>
      <c r="BS493" s="589">
        <v>0</v>
      </c>
      <c r="BT493" s="589">
        <v>0</v>
      </c>
      <c r="BU493" s="589">
        <v>0</v>
      </c>
      <c r="BV493" s="588">
        <f t="shared" si="388"/>
        <v>6.6000000000000003E-2</v>
      </c>
      <c r="BW493" s="588">
        <v>800</v>
      </c>
      <c r="BX493" s="623">
        <f t="shared" si="426"/>
        <v>0.4</v>
      </c>
      <c r="BY493" s="607">
        <v>832</v>
      </c>
      <c r="BZ493" s="629">
        <v>832</v>
      </c>
      <c r="CA493" s="1017">
        <v>1406</v>
      </c>
      <c r="CB493" s="557">
        <f t="shared" si="427"/>
        <v>1406</v>
      </c>
      <c r="CC493" s="557">
        <f t="shared" si="428"/>
        <v>175.75</v>
      </c>
      <c r="CD493" s="622">
        <f t="shared" si="389"/>
        <v>100</v>
      </c>
      <c r="CE493" s="621">
        <f t="shared" si="390"/>
        <v>6.6000000000000003E-2</v>
      </c>
      <c r="CF493" s="605">
        <f t="shared" si="391"/>
        <v>100</v>
      </c>
      <c r="CG493" s="621">
        <f t="shared" si="392"/>
        <v>0.11599500000000001</v>
      </c>
      <c r="CH493" s="553">
        <f t="shared" si="393"/>
        <v>1.6500000000000001E-2</v>
      </c>
      <c r="CI493" s="552">
        <v>200</v>
      </c>
      <c r="CJ493" s="551">
        <f t="shared" si="429"/>
        <v>0.1</v>
      </c>
      <c r="CK493" s="874">
        <v>364</v>
      </c>
      <c r="CL493" s="533">
        <f t="shared" si="380"/>
        <v>-164</v>
      </c>
      <c r="CM493" s="619">
        <f t="shared" si="430"/>
        <v>364</v>
      </c>
      <c r="CN493" s="619">
        <f t="shared" si="431"/>
        <v>182</v>
      </c>
      <c r="CO493" s="549">
        <f t="shared" si="394"/>
        <v>100</v>
      </c>
      <c r="CP493" s="619">
        <f t="shared" si="395"/>
        <v>1.6500000000000001E-2</v>
      </c>
      <c r="CQ493" s="619">
        <f t="shared" si="396"/>
        <v>3.0030000000000001E-2</v>
      </c>
      <c r="CR493" s="546">
        <v>0</v>
      </c>
      <c r="CS493" s="546">
        <v>0</v>
      </c>
      <c r="CT493" s="546">
        <v>0</v>
      </c>
      <c r="CU493" s="546">
        <v>0</v>
      </c>
      <c r="CV493" s="546">
        <v>0</v>
      </c>
      <c r="CW493" s="546">
        <v>0</v>
      </c>
      <c r="CX493" s="546">
        <v>0</v>
      </c>
      <c r="CY493" s="546">
        <v>0</v>
      </c>
      <c r="CZ493" s="618">
        <v>0</v>
      </c>
      <c r="DA493" s="618">
        <v>0</v>
      </c>
      <c r="DB493" s="618">
        <v>0</v>
      </c>
      <c r="DC493" s="618">
        <v>0</v>
      </c>
      <c r="DD493" s="618">
        <v>0</v>
      </c>
      <c r="DE493" s="618">
        <v>0</v>
      </c>
      <c r="DF493" s="618">
        <v>0</v>
      </c>
      <c r="DG493" s="618">
        <v>0</v>
      </c>
      <c r="DH493" s="618">
        <v>0</v>
      </c>
      <c r="DI493" s="618">
        <v>0</v>
      </c>
      <c r="DJ493" s="618">
        <v>0</v>
      </c>
      <c r="DK493" s="1034">
        <f t="shared" si="432"/>
        <v>4437</v>
      </c>
      <c r="DL493" s="543">
        <f t="shared" si="397"/>
        <v>0.16500000000000004</v>
      </c>
      <c r="DM493" s="542">
        <f t="shared" si="398"/>
        <v>221.85</v>
      </c>
      <c r="DN493" s="594">
        <f t="shared" si="399"/>
        <v>100</v>
      </c>
      <c r="DO493" s="540">
        <f t="shared" si="400"/>
        <v>0.16500000000000001</v>
      </c>
      <c r="DP493" s="597">
        <f t="shared" si="418"/>
        <v>0.16500000000000001</v>
      </c>
      <c r="DQ493" s="538">
        <f t="shared" si="401"/>
        <v>0.16500000000000001</v>
      </c>
      <c r="DR493" s="617">
        <f t="shared" si="402"/>
        <v>1</v>
      </c>
      <c r="DS493" s="616">
        <f t="shared" si="403"/>
        <v>0</v>
      </c>
      <c r="DT493" s="259">
        <v>619</v>
      </c>
      <c r="DU493" s="260" t="s">
        <v>431</v>
      </c>
      <c r="DV493" s="259"/>
      <c r="DW493" s="260" t="s">
        <v>242</v>
      </c>
      <c r="DX493" s="259"/>
      <c r="DY493" s="259"/>
      <c r="DZ493" s="259"/>
      <c r="EA493" s="987"/>
      <c r="EB493" s="1041" t="s">
        <v>2794</v>
      </c>
      <c r="EC493" s="802">
        <v>0</v>
      </c>
      <c r="EE493" s="1047"/>
    </row>
    <row r="494" spans="4:135" s="534" customFormat="1" ht="96" hidden="1" x14ac:dyDescent="0.3">
      <c r="D494" s="783">
        <v>491</v>
      </c>
      <c r="E494" s="799">
        <v>562</v>
      </c>
      <c r="F494" s="739" t="s">
        <v>203</v>
      </c>
      <c r="G494" s="739" t="s">
        <v>12</v>
      </c>
      <c r="H494" s="739" t="s">
        <v>158</v>
      </c>
      <c r="I494" s="676" t="s">
        <v>1316</v>
      </c>
      <c r="J494" s="573" t="s">
        <v>1325</v>
      </c>
      <c r="K494" s="573" t="s">
        <v>1326</v>
      </c>
      <c r="L494" s="596" t="s">
        <v>2050</v>
      </c>
      <c r="M494" s="571" t="s">
        <v>2017</v>
      </c>
      <c r="N494" s="571">
        <v>0</v>
      </c>
      <c r="O494" s="570">
        <f t="shared" si="419"/>
        <v>3</v>
      </c>
      <c r="P494" s="569">
        <v>3</v>
      </c>
      <c r="Q494" s="628">
        <v>0.16500000000000001</v>
      </c>
      <c r="R494" s="580">
        <f t="shared" si="381"/>
        <v>0</v>
      </c>
      <c r="S494" s="627">
        <v>0</v>
      </c>
      <c r="T494" s="575">
        <f t="shared" si="420"/>
        <v>0</v>
      </c>
      <c r="U494" s="992">
        <v>0</v>
      </c>
      <c r="V494" s="626">
        <f t="shared" si="421"/>
        <v>0</v>
      </c>
      <c r="W494" s="594">
        <f t="shared" si="422"/>
        <v>0</v>
      </c>
      <c r="X494" s="594">
        <f t="shared" si="382"/>
        <v>0</v>
      </c>
      <c r="Y494" s="594">
        <f t="shared" si="417"/>
        <v>0</v>
      </c>
      <c r="Z494" s="594">
        <f t="shared" si="383"/>
        <v>0</v>
      </c>
      <c r="AA494" s="593">
        <v>0</v>
      </c>
      <c r="AB494" s="593">
        <v>0</v>
      </c>
      <c r="AC494" s="593">
        <v>0</v>
      </c>
      <c r="AD494" s="593">
        <v>0</v>
      </c>
      <c r="AE494" s="593">
        <v>0</v>
      </c>
      <c r="AF494" s="593">
        <v>0</v>
      </c>
      <c r="AG494" s="593">
        <v>0</v>
      </c>
      <c r="AH494" s="593">
        <v>0</v>
      </c>
      <c r="AI494" s="593">
        <v>0</v>
      </c>
      <c r="AJ494" s="593">
        <v>0</v>
      </c>
      <c r="AK494" s="593">
        <v>0</v>
      </c>
      <c r="AL494" s="593">
        <v>0</v>
      </c>
      <c r="AM494" s="593">
        <v>0</v>
      </c>
      <c r="AN494" s="593">
        <v>0</v>
      </c>
      <c r="AO494" s="593">
        <v>0</v>
      </c>
      <c r="AP494" s="593">
        <v>0</v>
      </c>
      <c r="AQ494" s="593">
        <v>0</v>
      </c>
      <c r="AR494" s="593">
        <v>0</v>
      </c>
      <c r="AS494" s="593">
        <v>0</v>
      </c>
      <c r="AT494" s="571">
        <f t="shared" si="384"/>
        <v>0.11</v>
      </c>
      <c r="AU494" s="571">
        <v>2</v>
      </c>
      <c r="AV494" s="571">
        <f t="shared" si="423"/>
        <v>0.66666666666666663</v>
      </c>
      <c r="AW494" s="1003">
        <v>0</v>
      </c>
      <c r="AX494" s="604">
        <f t="shared" si="424"/>
        <v>0</v>
      </c>
      <c r="AY494" s="604">
        <f t="shared" si="425"/>
        <v>0</v>
      </c>
      <c r="AZ494" s="604">
        <f t="shared" si="385"/>
        <v>0</v>
      </c>
      <c r="BA494" s="592">
        <f t="shared" si="386"/>
        <v>0</v>
      </c>
      <c r="BB494" s="592">
        <f t="shared" si="387"/>
        <v>0</v>
      </c>
      <c r="BC494" s="591">
        <v>0</v>
      </c>
      <c r="BD494" s="591">
        <v>0</v>
      </c>
      <c r="BE494" s="591">
        <v>0</v>
      </c>
      <c r="BF494" s="591">
        <v>0</v>
      </c>
      <c r="BG494" s="591">
        <v>0</v>
      </c>
      <c r="BH494" s="591">
        <v>0</v>
      </c>
      <c r="BI494" s="591">
        <v>0</v>
      </c>
      <c r="BJ494" s="591">
        <v>0</v>
      </c>
      <c r="BK494" s="624">
        <v>0</v>
      </c>
      <c r="BL494" s="589">
        <v>0</v>
      </c>
      <c r="BM494" s="589">
        <v>0</v>
      </c>
      <c r="BN494" s="589">
        <v>0</v>
      </c>
      <c r="BO494" s="589">
        <v>0</v>
      </c>
      <c r="BP494" s="589">
        <v>0</v>
      </c>
      <c r="BQ494" s="589">
        <v>0</v>
      </c>
      <c r="BR494" s="589">
        <v>0</v>
      </c>
      <c r="BS494" s="589">
        <v>0</v>
      </c>
      <c r="BT494" s="589">
        <v>0</v>
      </c>
      <c r="BU494" s="589">
        <v>0</v>
      </c>
      <c r="BV494" s="588">
        <f t="shared" si="388"/>
        <v>5.5E-2</v>
      </c>
      <c r="BW494" s="588">
        <v>1</v>
      </c>
      <c r="BX494" s="623">
        <f t="shared" si="426"/>
        <v>0.33333333333333331</v>
      </c>
      <c r="BY494" s="607">
        <v>0</v>
      </c>
      <c r="BZ494" s="629">
        <v>0</v>
      </c>
      <c r="CA494" s="1017">
        <v>0</v>
      </c>
      <c r="CB494" s="557">
        <f t="shared" si="427"/>
        <v>0</v>
      </c>
      <c r="CC494" s="557">
        <f t="shared" si="428"/>
        <v>0</v>
      </c>
      <c r="CD494" s="622">
        <f t="shared" si="389"/>
        <v>0</v>
      </c>
      <c r="CE494" s="621">
        <f t="shared" si="390"/>
        <v>0</v>
      </c>
      <c r="CF494" s="605">
        <f t="shared" si="391"/>
        <v>0</v>
      </c>
      <c r="CG494" s="621">
        <f t="shared" si="392"/>
        <v>0</v>
      </c>
      <c r="CH494" s="553">
        <f t="shared" si="393"/>
        <v>0</v>
      </c>
      <c r="CI494" s="552">
        <v>0</v>
      </c>
      <c r="CJ494" s="551">
        <f t="shared" si="429"/>
        <v>0</v>
      </c>
      <c r="CK494" s="874">
        <v>0</v>
      </c>
      <c r="CL494" s="533">
        <f t="shared" si="380"/>
        <v>0</v>
      </c>
      <c r="CM494" s="619">
        <f t="shared" si="430"/>
        <v>0</v>
      </c>
      <c r="CN494" s="619">
        <f t="shared" si="431"/>
        <v>0</v>
      </c>
      <c r="CO494" s="549">
        <f t="shared" si="394"/>
        <v>0</v>
      </c>
      <c r="CP494" s="619">
        <f t="shared" si="395"/>
        <v>0</v>
      </c>
      <c r="CQ494" s="619">
        <f t="shared" si="396"/>
        <v>0</v>
      </c>
      <c r="CR494" s="546">
        <v>0</v>
      </c>
      <c r="CS494" s="546">
        <v>0</v>
      </c>
      <c r="CT494" s="546">
        <v>0</v>
      </c>
      <c r="CU494" s="546">
        <v>0</v>
      </c>
      <c r="CV494" s="546">
        <v>0</v>
      </c>
      <c r="CW494" s="546">
        <v>0</v>
      </c>
      <c r="CX494" s="546">
        <v>0</v>
      </c>
      <c r="CY494" s="546">
        <v>0</v>
      </c>
      <c r="CZ494" s="618">
        <v>0</v>
      </c>
      <c r="DA494" s="618">
        <v>0</v>
      </c>
      <c r="DB494" s="618">
        <v>0</v>
      </c>
      <c r="DC494" s="618">
        <v>0</v>
      </c>
      <c r="DD494" s="618">
        <v>0</v>
      </c>
      <c r="DE494" s="618">
        <v>0</v>
      </c>
      <c r="DF494" s="618">
        <v>0</v>
      </c>
      <c r="DG494" s="618">
        <v>0</v>
      </c>
      <c r="DH494" s="618">
        <v>0</v>
      </c>
      <c r="DI494" s="618">
        <v>0</v>
      </c>
      <c r="DJ494" s="618">
        <v>0</v>
      </c>
      <c r="DK494" s="1034">
        <f t="shared" si="432"/>
        <v>0</v>
      </c>
      <c r="DL494" s="543">
        <f t="shared" si="397"/>
        <v>0.16500000000000001</v>
      </c>
      <c r="DM494" s="542">
        <f t="shared" si="398"/>
        <v>0</v>
      </c>
      <c r="DN494" s="594">
        <f t="shared" si="399"/>
        <v>0</v>
      </c>
      <c r="DO494" s="540">
        <f t="shared" si="400"/>
        <v>0</v>
      </c>
      <c r="DP494" s="597">
        <f t="shared" si="418"/>
        <v>0</v>
      </c>
      <c r="DQ494" s="538">
        <f t="shared" si="401"/>
        <v>0</v>
      </c>
      <c r="DR494" s="617">
        <f t="shared" si="402"/>
        <v>1</v>
      </c>
      <c r="DS494" s="616">
        <f t="shared" si="403"/>
        <v>6.9388939039072284E-18</v>
      </c>
      <c r="DT494" s="259">
        <v>619</v>
      </c>
      <c r="DU494" s="260" t="s">
        <v>431</v>
      </c>
      <c r="DV494" s="259"/>
      <c r="DW494" s="260" t="s">
        <v>242</v>
      </c>
      <c r="DX494" s="259"/>
      <c r="DY494" s="259"/>
      <c r="DZ494" s="259"/>
      <c r="EA494" s="987"/>
      <c r="EB494" s="1041" t="s">
        <v>2795</v>
      </c>
      <c r="EC494" s="802">
        <v>0</v>
      </c>
      <c r="EE494" s="1047"/>
    </row>
    <row r="495" spans="4:135" s="534" customFormat="1" ht="127.5" hidden="1" x14ac:dyDescent="0.3">
      <c r="D495" s="783">
        <v>492</v>
      </c>
      <c r="E495" s="799">
        <v>563</v>
      </c>
      <c r="F495" s="739" t="s">
        <v>203</v>
      </c>
      <c r="G495" s="739" t="s">
        <v>12</v>
      </c>
      <c r="H495" s="739" t="s">
        <v>158</v>
      </c>
      <c r="I495" s="676" t="s">
        <v>1316</v>
      </c>
      <c r="J495" s="573" t="s">
        <v>1327</v>
      </c>
      <c r="K495" s="573" t="s">
        <v>1328</v>
      </c>
      <c r="L495" s="596" t="s">
        <v>1593</v>
      </c>
      <c r="M495" s="571" t="s">
        <v>2017</v>
      </c>
      <c r="N495" s="571">
        <v>0</v>
      </c>
      <c r="O495" s="570">
        <f t="shared" si="419"/>
        <v>40</v>
      </c>
      <c r="P495" s="569">
        <v>40</v>
      </c>
      <c r="Q495" s="628">
        <v>0.25</v>
      </c>
      <c r="R495" s="580">
        <f t="shared" si="381"/>
        <v>2.5000000000000001E-2</v>
      </c>
      <c r="S495" s="627">
        <v>4</v>
      </c>
      <c r="T495" s="575">
        <f t="shared" si="420"/>
        <v>0.1</v>
      </c>
      <c r="U495" s="992">
        <v>2</v>
      </c>
      <c r="V495" s="626">
        <f t="shared" si="421"/>
        <v>2</v>
      </c>
      <c r="W495" s="594">
        <f t="shared" si="422"/>
        <v>50</v>
      </c>
      <c r="X495" s="594">
        <f t="shared" si="382"/>
        <v>50</v>
      </c>
      <c r="Y495" s="594">
        <f t="shared" si="417"/>
        <v>1.2500000000000001E-2</v>
      </c>
      <c r="Z495" s="594">
        <f t="shared" si="383"/>
        <v>50</v>
      </c>
      <c r="AA495" s="593">
        <v>0</v>
      </c>
      <c r="AB495" s="593">
        <v>0</v>
      </c>
      <c r="AC495" s="593">
        <v>0</v>
      </c>
      <c r="AD495" s="593">
        <v>0</v>
      </c>
      <c r="AE495" s="593">
        <v>0</v>
      </c>
      <c r="AF495" s="593">
        <v>0</v>
      </c>
      <c r="AG495" s="593">
        <v>0</v>
      </c>
      <c r="AH495" s="593">
        <v>0</v>
      </c>
      <c r="AI495" s="593">
        <v>6000000</v>
      </c>
      <c r="AJ495" s="593">
        <v>6000000</v>
      </c>
      <c r="AK495" s="593">
        <v>0</v>
      </c>
      <c r="AL495" s="593">
        <v>0</v>
      </c>
      <c r="AM495" s="593">
        <v>0</v>
      </c>
      <c r="AN495" s="593">
        <v>0</v>
      </c>
      <c r="AO495" s="593">
        <v>0</v>
      </c>
      <c r="AP495" s="593">
        <v>0</v>
      </c>
      <c r="AQ495" s="593">
        <v>0</v>
      </c>
      <c r="AR495" s="593">
        <v>0</v>
      </c>
      <c r="AS495" s="593">
        <v>0</v>
      </c>
      <c r="AT495" s="571">
        <f t="shared" si="384"/>
        <v>0.13125000000000001</v>
      </c>
      <c r="AU495" s="571">
        <v>21</v>
      </c>
      <c r="AV495" s="571">
        <f t="shared" si="423"/>
        <v>0.52500000000000002</v>
      </c>
      <c r="AW495" s="1003">
        <v>16</v>
      </c>
      <c r="AX495" s="604">
        <f t="shared" si="424"/>
        <v>16</v>
      </c>
      <c r="AY495" s="604">
        <f t="shared" si="425"/>
        <v>76.19047619047619</v>
      </c>
      <c r="AZ495" s="604">
        <f t="shared" si="385"/>
        <v>76.19047619047619</v>
      </c>
      <c r="BA495" s="592">
        <f t="shared" si="386"/>
        <v>0.1</v>
      </c>
      <c r="BB495" s="592">
        <f t="shared" si="387"/>
        <v>76.19047619047619</v>
      </c>
      <c r="BC495" s="591">
        <v>0</v>
      </c>
      <c r="BD495" s="591">
        <v>0</v>
      </c>
      <c r="BE495" s="591">
        <v>0</v>
      </c>
      <c r="BF495" s="591">
        <v>0</v>
      </c>
      <c r="BG495" s="591">
        <v>0</v>
      </c>
      <c r="BH495" s="591">
        <v>0</v>
      </c>
      <c r="BI495" s="591">
        <v>0</v>
      </c>
      <c r="BJ495" s="591">
        <v>0</v>
      </c>
      <c r="BK495" s="624">
        <v>35000000</v>
      </c>
      <c r="BL495" s="589">
        <v>35000000</v>
      </c>
      <c r="BM495" s="589">
        <v>0</v>
      </c>
      <c r="BN495" s="589">
        <v>0</v>
      </c>
      <c r="BO495" s="589">
        <v>0</v>
      </c>
      <c r="BP495" s="589">
        <v>0</v>
      </c>
      <c r="BQ495" s="589">
        <v>0</v>
      </c>
      <c r="BR495" s="589">
        <v>0</v>
      </c>
      <c r="BS495" s="589">
        <v>0</v>
      </c>
      <c r="BT495" s="589">
        <v>0</v>
      </c>
      <c r="BU495" s="589">
        <v>0</v>
      </c>
      <c r="BV495" s="588">
        <f t="shared" si="388"/>
        <v>9.375E-2</v>
      </c>
      <c r="BW495" s="588">
        <v>15</v>
      </c>
      <c r="BX495" s="623">
        <f t="shared" si="426"/>
        <v>0.375</v>
      </c>
      <c r="BY495" s="607">
        <v>0</v>
      </c>
      <c r="BZ495" s="629">
        <v>0</v>
      </c>
      <c r="CA495" s="1017">
        <v>3</v>
      </c>
      <c r="CB495" s="557">
        <f t="shared" si="427"/>
        <v>3</v>
      </c>
      <c r="CC495" s="557">
        <f t="shared" si="428"/>
        <v>20</v>
      </c>
      <c r="CD495" s="622">
        <f t="shared" si="389"/>
        <v>20</v>
      </c>
      <c r="CE495" s="621">
        <f t="shared" si="390"/>
        <v>1.8749999999999999E-2</v>
      </c>
      <c r="CF495" s="605">
        <f t="shared" si="391"/>
        <v>20</v>
      </c>
      <c r="CG495" s="621">
        <f t="shared" si="392"/>
        <v>1.8749999999999999E-2</v>
      </c>
      <c r="CH495" s="553">
        <f t="shared" si="393"/>
        <v>0</v>
      </c>
      <c r="CI495" s="552">
        <v>0</v>
      </c>
      <c r="CJ495" s="551">
        <f t="shared" si="429"/>
        <v>0</v>
      </c>
      <c r="CK495" s="874">
        <v>0</v>
      </c>
      <c r="CL495" s="533">
        <f t="shared" si="380"/>
        <v>0</v>
      </c>
      <c r="CM495" s="619">
        <f t="shared" si="430"/>
        <v>0</v>
      </c>
      <c r="CN495" s="619">
        <f t="shared" si="431"/>
        <v>0</v>
      </c>
      <c r="CO495" s="549">
        <f t="shared" si="394"/>
        <v>0</v>
      </c>
      <c r="CP495" s="619">
        <f t="shared" si="395"/>
        <v>0</v>
      </c>
      <c r="CQ495" s="619">
        <f t="shared" si="396"/>
        <v>0</v>
      </c>
      <c r="CR495" s="546">
        <v>0</v>
      </c>
      <c r="CS495" s="546">
        <v>0</v>
      </c>
      <c r="CT495" s="546">
        <v>0</v>
      </c>
      <c r="CU495" s="546">
        <v>0</v>
      </c>
      <c r="CV495" s="546">
        <v>0</v>
      </c>
      <c r="CW495" s="546">
        <v>0</v>
      </c>
      <c r="CX495" s="546">
        <v>0</v>
      </c>
      <c r="CY495" s="546">
        <v>0</v>
      </c>
      <c r="CZ495" s="618">
        <v>0</v>
      </c>
      <c r="DA495" s="618">
        <v>0</v>
      </c>
      <c r="DB495" s="618">
        <v>0</v>
      </c>
      <c r="DC495" s="618">
        <v>0</v>
      </c>
      <c r="DD495" s="618">
        <v>0</v>
      </c>
      <c r="DE495" s="618">
        <v>0</v>
      </c>
      <c r="DF495" s="618">
        <v>0</v>
      </c>
      <c r="DG495" s="618">
        <v>0</v>
      </c>
      <c r="DH495" s="618">
        <v>0</v>
      </c>
      <c r="DI495" s="618">
        <v>0</v>
      </c>
      <c r="DJ495" s="618">
        <v>0</v>
      </c>
      <c r="DK495" s="1034">
        <f t="shared" si="432"/>
        <v>21</v>
      </c>
      <c r="DL495" s="543">
        <f t="shared" si="397"/>
        <v>0.25</v>
      </c>
      <c r="DM495" s="542">
        <f t="shared" si="398"/>
        <v>52.5</v>
      </c>
      <c r="DN495" s="594">
        <f t="shared" si="399"/>
        <v>52.5</v>
      </c>
      <c r="DO495" s="540">
        <f t="shared" si="400"/>
        <v>0.13125000000000001</v>
      </c>
      <c r="DP495" s="597">
        <f t="shared" si="418"/>
        <v>0.13125000000000001</v>
      </c>
      <c r="DQ495" s="538">
        <f t="shared" si="401"/>
        <v>0.13125000000000001</v>
      </c>
      <c r="DR495" s="617">
        <f t="shared" si="402"/>
        <v>1</v>
      </c>
      <c r="DS495" s="616">
        <f t="shared" si="403"/>
        <v>0</v>
      </c>
      <c r="DT495" s="259">
        <v>619</v>
      </c>
      <c r="DU495" s="260" t="s">
        <v>431</v>
      </c>
      <c r="DV495" s="259"/>
      <c r="DW495" s="260" t="s">
        <v>242</v>
      </c>
      <c r="DX495" s="259"/>
      <c r="DY495" s="259"/>
      <c r="DZ495" s="259"/>
      <c r="EA495" s="987"/>
      <c r="EB495" s="1041" t="s">
        <v>2796</v>
      </c>
      <c r="EC495" s="802">
        <v>0</v>
      </c>
      <c r="EE495" s="1047"/>
    </row>
    <row r="496" spans="4:135" s="534" customFormat="1" ht="63.75" hidden="1" x14ac:dyDescent="0.3">
      <c r="D496" s="783">
        <v>493</v>
      </c>
      <c r="E496" s="799">
        <v>564</v>
      </c>
      <c r="F496" s="739" t="s">
        <v>203</v>
      </c>
      <c r="G496" s="739" t="s">
        <v>239</v>
      </c>
      <c r="H496" s="739" t="s">
        <v>159</v>
      </c>
      <c r="I496" s="739" t="s">
        <v>1329</v>
      </c>
      <c r="J496" s="573" t="s">
        <v>1330</v>
      </c>
      <c r="K496" s="573" t="s">
        <v>1331</v>
      </c>
      <c r="L496" s="596" t="s">
        <v>2049</v>
      </c>
      <c r="M496" s="571" t="s">
        <v>2017</v>
      </c>
      <c r="N496" s="571">
        <v>0</v>
      </c>
      <c r="O496" s="570">
        <f t="shared" si="419"/>
        <v>1</v>
      </c>
      <c r="P496" s="569">
        <v>1</v>
      </c>
      <c r="Q496" s="628">
        <v>0.16500000000000001</v>
      </c>
      <c r="R496" s="580">
        <f t="shared" si="381"/>
        <v>1.6500000000000001E-2</v>
      </c>
      <c r="S496" s="627">
        <v>0.1</v>
      </c>
      <c r="T496" s="575">
        <f t="shared" si="420"/>
        <v>0.1</v>
      </c>
      <c r="U496" s="992">
        <v>0.1</v>
      </c>
      <c r="V496" s="626">
        <f t="shared" si="421"/>
        <v>0.1</v>
      </c>
      <c r="W496" s="594">
        <f t="shared" si="422"/>
        <v>100</v>
      </c>
      <c r="X496" s="594">
        <f t="shared" si="382"/>
        <v>100</v>
      </c>
      <c r="Y496" s="594">
        <f t="shared" si="417"/>
        <v>1.6500000000000001E-2</v>
      </c>
      <c r="Z496" s="594">
        <f t="shared" si="383"/>
        <v>100</v>
      </c>
      <c r="AA496" s="593">
        <v>54000000</v>
      </c>
      <c r="AB496" s="593">
        <v>54000000</v>
      </c>
      <c r="AC496" s="593">
        <v>0</v>
      </c>
      <c r="AD496" s="593">
        <v>0</v>
      </c>
      <c r="AE496" s="593">
        <v>0</v>
      </c>
      <c r="AF496" s="593">
        <v>0</v>
      </c>
      <c r="AG496" s="593">
        <v>0</v>
      </c>
      <c r="AH496" s="593">
        <v>0</v>
      </c>
      <c r="AI496" s="593">
        <v>0</v>
      </c>
      <c r="AJ496" s="593">
        <v>0</v>
      </c>
      <c r="AK496" s="593">
        <v>0</v>
      </c>
      <c r="AL496" s="593">
        <v>0</v>
      </c>
      <c r="AM496" s="593">
        <v>0</v>
      </c>
      <c r="AN496" s="593">
        <v>0</v>
      </c>
      <c r="AO496" s="593">
        <v>0</v>
      </c>
      <c r="AP496" s="593">
        <v>0</v>
      </c>
      <c r="AQ496" s="593">
        <v>0</v>
      </c>
      <c r="AR496" s="593">
        <v>0</v>
      </c>
      <c r="AS496" s="593">
        <v>0</v>
      </c>
      <c r="AT496" s="570">
        <f t="shared" si="384"/>
        <v>4.9500000000000002E-2</v>
      </c>
      <c r="AU496" s="571">
        <v>0.3</v>
      </c>
      <c r="AV496" s="625">
        <f t="shared" si="423"/>
        <v>0.3</v>
      </c>
      <c r="AW496" s="1003">
        <v>0.3</v>
      </c>
      <c r="AX496" s="604">
        <f t="shared" si="424"/>
        <v>0.3</v>
      </c>
      <c r="AY496" s="604">
        <f t="shared" si="425"/>
        <v>100</v>
      </c>
      <c r="AZ496" s="604">
        <f t="shared" si="385"/>
        <v>100</v>
      </c>
      <c r="BA496" s="592">
        <f t="shared" si="386"/>
        <v>4.9500000000000002E-2</v>
      </c>
      <c r="BB496" s="592">
        <f t="shared" si="387"/>
        <v>100</v>
      </c>
      <c r="BC496" s="591">
        <v>217000000</v>
      </c>
      <c r="BD496" s="591">
        <v>0</v>
      </c>
      <c r="BE496" s="591">
        <v>217000000</v>
      </c>
      <c r="BF496" s="591">
        <v>0</v>
      </c>
      <c r="BG496" s="591">
        <v>0</v>
      </c>
      <c r="BH496" s="591">
        <v>0</v>
      </c>
      <c r="BI496" s="591">
        <v>0</v>
      </c>
      <c r="BJ496" s="591">
        <v>0</v>
      </c>
      <c r="BK496" s="624">
        <v>539103911</v>
      </c>
      <c r="BL496" s="589">
        <v>539103911</v>
      </c>
      <c r="BM496" s="589">
        <v>0</v>
      </c>
      <c r="BN496" s="589">
        <v>0</v>
      </c>
      <c r="BO496" s="589">
        <v>0</v>
      </c>
      <c r="BP496" s="589">
        <v>0</v>
      </c>
      <c r="BQ496" s="589">
        <v>0</v>
      </c>
      <c r="BR496" s="589">
        <v>0</v>
      </c>
      <c r="BS496" s="589">
        <v>0</v>
      </c>
      <c r="BT496" s="589">
        <v>0</v>
      </c>
      <c r="BU496" s="589">
        <v>0</v>
      </c>
      <c r="BV496" s="588">
        <f t="shared" si="388"/>
        <v>4.9500000000000002E-2</v>
      </c>
      <c r="BW496" s="588">
        <v>0.3</v>
      </c>
      <c r="BX496" s="623">
        <f t="shared" si="426"/>
        <v>0.3</v>
      </c>
      <c r="BY496" s="607">
        <v>0.3</v>
      </c>
      <c r="BZ496" s="629">
        <v>0.69999998807907104</v>
      </c>
      <c r="CA496" s="1017">
        <v>0.3</v>
      </c>
      <c r="CB496" s="557">
        <f t="shared" si="427"/>
        <v>0.3</v>
      </c>
      <c r="CC496" s="557">
        <f t="shared" si="428"/>
        <v>100</v>
      </c>
      <c r="CD496" s="622">
        <f t="shared" si="389"/>
        <v>100</v>
      </c>
      <c r="CE496" s="621">
        <f t="shared" si="390"/>
        <v>4.9500000000000002E-2</v>
      </c>
      <c r="CF496" s="605">
        <f t="shared" si="391"/>
        <v>100</v>
      </c>
      <c r="CG496" s="621">
        <f t="shared" si="392"/>
        <v>4.9500000000000002E-2</v>
      </c>
      <c r="CH496" s="553">
        <f t="shared" si="393"/>
        <v>4.9500000000000002E-2</v>
      </c>
      <c r="CI496" s="634">
        <v>0.3</v>
      </c>
      <c r="CJ496" s="551">
        <f t="shared" si="429"/>
        <v>0.3</v>
      </c>
      <c r="CK496" s="874">
        <v>0.15000000596046448</v>
      </c>
      <c r="CL496" s="533">
        <f t="shared" si="380"/>
        <v>0.14999999403953551</v>
      </c>
      <c r="CM496" s="619">
        <f t="shared" si="430"/>
        <v>0.15000000596046448</v>
      </c>
      <c r="CN496" s="619">
        <f t="shared" si="431"/>
        <v>50.000001986821495</v>
      </c>
      <c r="CO496" s="549">
        <f t="shared" si="394"/>
        <v>50.000001986821495</v>
      </c>
      <c r="CP496" s="619">
        <f t="shared" si="395"/>
        <v>2.4750000983476642E-2</v>
      </c>
      <c r="CQ496" s="619">
        <f t="shared" si="396"/>
        <v>2.4750000983476642E-2</v>
      </c>
      <c r="CR496" s="546">
        <v>226000000</v>
      </c>
      <c r="CS496" s="546">
        <v>226000000</v>
      </c>
      <c r="CT496" s="546">
        <v>0</v>
      </c>
      <c r="CU496" s="546">
        <v>0</v>
      </c>
      <c r="CV496" s="546">
        <v>0</v>
      </c>
      <c r="CW496" s="546">
        <v>0</v>
      </c>
      <c r="CX496" s="546">
        <v>0</v>
      </c>
      <c r="CY496" s="546">
        <v>0</v>
      </c>
      <c r="CZ496" s="618">
        <v>0</v>
      </c>
      <c r="DA496" s="618">
        <v>0</v>
      </c>
      <c r="DB496" s="618">
        <v>0</v>
      </c>
      <c r="DC496" s="618">
        <v>0</v>
      </c>
      <c r="DD496" s="618">
        <v>0</v>
      </c>
      <c r="DE496" s="618">
        <v>0</v>
      </c>
      <c r="DF496" s="618">
        <v>0</v>
      </c>
      <c r="DG496" s="618">
        <v>0</v>
      </c>
      <c r="DH496" s="618">
        <v>0</v>
      </c>
      <c r="DI496" s="618">
        <v>0</v>
      </c>
      <c r="DJ496" s="618">
        <v>0</v>
      </c>
      <c r="DK496" s="1034">
        <f t="shared" si="432"/>
        <v>0.85000000596046443</v>
      </c>
      <c r="DL496" s="543">
        <f t="shared" si="397"/>
        <v>0.16500000000000001</v>
      </c>
      <c r="DM496" s="542">
        <f t="shared" si="398"/>
        <v>85.000000596046448</v>
      </c>
      <c r="DN496" s="594">
        <f t="shared" si="399"/>
        <v>85.000000596046448</v>
      </c>
      <c r="DO496" s="540">
        <f t="shared" si="400"/>
        <v>0.14025000098347665</v>
      </c>
      <c r="DP496" s="597">
        <f t="shared" si="418"/>
        <v>0.14025000098347665</v>
      </c>
      <c r="DQ496" s="538">
        <f t="shared" si="401"/>
        <v>0.14025000098347665</v>
      </c>
      <c r="DR496" s="617">
        <f t="shared" si="402"/>
        <v>1</v>
      </c>
      <c r="DS496" s="616">
        <f t="shared" si="403"/>
        <v>0</v>
      </c>
      <c r="DT496" s="259">
        <v>620</v>
      </c>
      <c r="DU496" s="260" t="s">
        <v>248</v>
      </c>
      <c r="DV496" s="259"/>
      <c r="DW496" s="260" t="s">
        <v>242</v>
      </c>
      <c r="DX496" s="259"/>
      <c r="DY496" s="259"/>
      <c r="DZ496" s="259"/>
      <c r="EA496" s="987"/>
      <c r="EB496" s="1041" t="s">
        <v>2797</v>
      </c>
      <c r="EC496" s="802">
        <v>227000000</v>
      </c>
      <c r="EE496" s="1047"/>
    </row>
    <row r="497" spans="4:135" s="534" customFormat="1" ht="63.75" hidden="1" x14ac:dyDescent="0.3">
      <c r="D497" s="783">
        <v>494</v>
      </c>
      <c r="E497" s="799">
        <v>565</v>
      </c>
      <c r="F497" s="739" t="s">
        <v>203</v>
      </c>
      <c r="G497" s="739" t="s">
        <v>239</v>
      </c>
      <c r="H497" s="739" t="s">
        <v>159</v>
      </c>
      <c r="I497" s="739" t="s">
        <v>1329</v>
      </c>
      <c r="J497" s="573" t="s">
        <v>1332</v>
      </c>
      <c r="K497" s="573" t="s">
        <v>1333</v>
      </c>
      <c r="L497" s="596" t="s">
        <v>2048</v>
      </c>
      <c r="M497" s="571" t="s">
        <v>2017</v>
      </c>
      <c r="N497" s="571">
        <v>0</v>
      </c>
      <c r="O497" s="570">
        <f t="shared" si="419"/>
        <v>12</v>
      </c>
      <c r="P497" s="569">
        <v>12</v>
      </c>
      <c r="Q497" s="628">
        <v>0.16500000000000001</v>
      </c>
      <c r="R497" s="580">
        <f t="shared" si="381"/>
        <v>0</v>
      </c>
      <c r="S497" s="627">
        <v>0</v>
      </c>
      <c r="T497" s="575">
        <f t="shared" si="420"/>
        <v>0</v>
      </c>
      <c r="U497" s="992">
        <v>0</v>
      </c>
      <c r="V497" s="626">
        <f t="shared" si="421"/>
        <v>0</v>
      </c>
      <c r="W497" s="594">
        <f t="shared" si="422"/>
        <v>0</v>
      </c>
      <c r="X497" s="594">
        <f t="shared" si="382"/>
        <v>0</v>
      </c>
      <c r="Y497" s="594">
        <f t="shared" si="417"/>
        <v>0</v>
      </c>
      <c r="Z497" s="594">
        <f t="shared" si="383"/>
        <v>0</v>
      </c>
      <c r="AA497" s="593">
        <v>0</v>
      </c>
      <c r="AB497" s="593">
        <v>0</v>
      </c>
      <c r="AC497" s="593">
        <v>0</v>
      </c>
      <c r="AD497" s="593">
        <v>0</v>
      </c>
      <c r="AE497" s="593">
        <v>0</v>
      </c>
      <c r="AF497" s="593">
        <v>0</v>
      </c>
      <c r="AG497" s="593">
        <v>0</v>
      </c>
      <c r="AH497" s="593">
        <v>0</v>
      </c>
      <c r="AI497" s="593">
        <v>0</v>
      </c>
      <c r="AJ497" s="593">
        <v>0</v>
      </c>
      <c r="AK497" s="593">
        <v>0</v>
      </c>
      <c r="AL497" s="593">
        <v>0</v>
      </c>
      <c r="AM497" s="593">
        <v>0</v>
      </c>
      <c r="AN497" s="593">
        <v>0</v>
      </c>
      <c r="AO497" s="593">
        <v>0</v>
      </c>
      <c r="AP497" s="593">
        <v>0</v>
      </c>
      <c r="AQ497" s="593">
        <v>0</v>
      </c>
      <c r="AR497" s="593">
        <v>0</v>
      </c>
      <c r="AS497" s="593">
        <v>0</v>
      </c>
      <c r="AT497" s="570">
        <f t="shared" si="384"/>
        <v>6.8750000000000006E-2</v>
      </c>
      <c r="AU497" s="571">
        <v>5</v>
      </c>
      <c r="AV497" s="625">
        <f t="shared" si="423"/>
        <v>0.41666666666666669</v>
      </c>
      <c r="AW497" s="1003">
        <v>5</v>
      </c>
      <c r="AX497" s="604">
        <f t="shared" si="424"/>
        <v>5</v>
      </c>
      <c r="AY497" s="604">
        <f t="shared" si="425"/>
        <v>100</v>
      </c>
      <c r="AZ497" s="604">
        <f t="shared" si="385"/>
        <v>100</v>
      </c>
      <c r="BA497" s="592">
        <f t="shared" si="386"/>
        <v>6.8750000000000006E-2</v>
      </c>
      <c r="BB497" s="592">
        <f t="shared" si="387"/>
        <v>100</v>
      </c>
      <c r="BC497" s="591">
        <v>75000000</v>
      </c>
      <c r="BD497" s="591">
        <v>0</v>
      </c>
      <c r="BE497" s="591">
        <v>75000000</v>
      </c>
      <c r="BF497" s="591">
        <v>0</v>
      </c>
      <c r="BG497" s="591">
        <v>0</v>
      </c>
      <c r="BH497" s="591">
        <v>0</v>
      </c>
      <c r="BI497" s="591">
        <v>0</v>
      </c>
      <c r="BJ497" s="591">
        <v>0</v>
      </c>
      <c r="BK497" s="624">
        <v>79005000</v>
      </c>
      <c r="BL497" s="589">
        <v>79005000</v>
      </c>
      <c r="BM497" s="589">
        <v>0</v>
      </c>
      <c r="BN497" s="589">
        <v>0</v>
      </c>
      <c r="BO497" s="589">
        <v>0</v>
      </c>
      <c r="BP497" s="589">
        <v>0</v>
      </c>
      <c r="BQ497" s="589">
        <v>0</v>
      </c>
      <c r="BR497" s="589">
        <v>0</v>
      </c>
      <c r="BS497" s="589">
        <v>0</v>
      </c>
      <c r="BT497" s="589">
        <v>0</v>
      </c>
      <c r="BU497" s="589">
        <v>0</v>
      </c>
      <c r="BV497" s="588">
        <f t="shared" si="388"/>
        <v>6.8750000000000006E-2</v>
      </c>
      <c r="BW497" s="588">
        <v>5</v>
      </c>
      <c r="BX497" s="623">
        <f t="shared" si="426"/>
        <v>0.41666666666666669</v>
      </c>
      <c r="BY497" s="607">
        <v>5</v>
      </c>
      <c r="BZ497" s="629">
        <v>10</v>
      </c>
      <c r="CA497" s="1017">
        <v>10</v>
      </c>
      <c r="CB497" s="557">
        <f t="shared" si="427"/>
        <v>10</v>
      </c>
      <c r="CC497" s="557">
        <f t="shared" si="428"/>
        <v>200</v>
      </c>
      <c r="CD497" s="622">
        <f t="shared" si="389"/>
        <v>100</v>
      </c>
      <c r="CE497" s="621">
        <f t="shared" si="390"/>
        <v>6.8750000000000006E-2</v>
      </c>
      <c r="CF497" s="605">
        <f t="shared" si="391"/>
        <v>100</v>
      </c>
      <c r="CG497" s="621">
        <f t="shared" si="392"/>
        <v>0.13750000000000001</v>
      </c>
      <c r="CH497" s="553">
        <f t="shared" si="393"/>
        <v>2.75E-2</v>
      </c>
      <c r="CI497" s="552">
        <v>2</v>
      </c>
      <c r="CJ497" s="551">
        <f t="shared" si="429"/>
        <v>0.16666666666666666</v>
      </c>
      <c r="CK497" s="874">
        <v>2</v>
      </c>
      <c r="CL497" s="533">
        <f t="shared" si="380"/>
        <v>0</v>
      </c>
      <c r="CM497" s="619">
        <f t="shared" si="430"/>
        <v>2</v>
      </c>
      <c r="CN497" s="619">
        <f t="shared" si="431"/>
        <v>100</v>
      </c>
      <c r="CO497" s="549">
        <f t="shared" si="394"/>
        <v>100</v>
      </c>
      <c r="CP497" s="619">
        <f t="shared" si="395"/>
        <v>2.75E-2</v>
      </c>
      <c r="CQ497" s="619">
        <f t="shared" si="396"/>
        <v>2.75E-2</v>
      </c>
      <c r="CR497" s="546">
        <v>60000000</v>
      </c>
      <c r="CS497" s="546">
        <v>60000000</v>
      </c>
      <c r="CT497" s="546">
        <v>0</v>
      </c>
      <c r="CU497" s="546">
        <v>0</v>
      </c>
      <c r="CV497" s="546">
        <v>0</v>
      </c>
      <c r="CW497" s="546">
        <v>0</v>
      </c>
      <c r="CX497" s="546">
        <v>0</v>
      </c>
      <c r="CY497" s="546">
        <v>0</v>
      </c>
      <c r="CZ497" s="618">
        <v>0</v>
      </c>
      <c r="DA497" s="618">
        <v>0</v>
      </c>
      <c r="DB497" s="618">
        <v>0</v>
      </c>
      <c r="DC497" s="618">
        <v>0</v>
      </c>
      <c r="DD497" s="618">
        <v>0</v>
      </c>
      <c r="DE497" s="618">
        <v>0</v>
      </c>
      <c r="DF497" s="618">
        <v>0</v>
      </c>
      <c r="DG497" s="618">
        <v>0</v>
      </c>
      <c r="DH497" s="618">
        <v>0</v>
      </c>
      <c r="DI497" s="618">
        <v>0</v>
      </c>
      <c r="DJ497" s="618">
        <v>0</v>
      </c>
      <c r="DK497" s="1034">
        <f t="shared" si="432"/>
        <v>17</v>
      </c>
      <c r="DL497" s="543">
        <f t="shared" si="397"/>
        <v>0.16500000000000001</v>
      </c>
      <c r="DM497" s="542">
        <f t="shared" si="398"/>
        <v>141.66666666666666</v>
      </c>
      <c r="DN497" s="594">
        <f t="shared" si="399"/>
        <v>100</v>
      </c>
      <c r="DO497" s="540">
        <f t="shared" si="400"/>
        <v>0.16500000000000001</v>
      </c>
      <c r="DP497" s="597">
        <f t="shared" si="418"/>
        <v>0.16500000000000001</v>
      </c>
      <c r="DQ497" s="538">
        <f t="shared" si="401"/>
        <v>0.16500000000000001</v>
      </c>
      <c r="DR497" s="617">
        <f t="shared" si="402"/>
        <v>1</v>
      </c>
      <c r="DS497" s="616">
        <f t="shared" si="403"/>
        <v>0</v>
      </c>
      <c r="DT497" s="259">
        <v>620</v>
      </c>
      <c r="DU497" s="260" t="s">
        <v>248</v>
      </c>
      <c r="DV497" s="259"/>
      <c r="DW497" s="260" t="s">
        <v>242</v>
      </c>
      <c r="DX497" s="259"/>
      <c r="DY497" s="259"/>
      <c r="DZ497" s="259"/>
      <c r="EA497" s="987"/>
      <c r="EB497" s="1041" t="s">
        <v>2798</v>
      </c>
      <c r="EC497" s="802">
        <v>120000000</v>
      </c>
      <c r="EE497" s="1047"/>
    </row>
    <row r="498" spans="4:135" s="534" customFormat="1" ht="89.25" hidden="1" x14ac:dyDescent="0.3">
      <c r="D498" s="783">
        <v>495</v>
      </c>
      <c r="E498" s="799">
        <v>566</v>
      </c>
      <c r="F498" s="739" t="s">
        <v>203</v>
      </c>
      <c r="G498" s="739" t="s">
        <v>239</v>
      </c>
      <c r="H498" s="739" t="s">
        <v>159</v>
      </c>
      <c r="I498" s="739" t="s">
        <v>1329</v>
      </c>
      <c r="J498" s="573" t="s">
        <v>1334</v>
      </c>
      <c r="K498" s="573" t="s">
        <v>1335</v>
      </c>
      <c r="L498" s="596" t="s">
        <v>2047</v>
      </c>
      <c r="M498" s="571" t="s">
        <v>2017</v>
      </c>
      <c r="N498" s="571">
        <v>0</v>
      </c>
      <c r="O498" s="570">
        <f t="shared" si="419"/>
        <v>24</v>
      </c>
      <c r="P498" s="569">
        <v>24</v>
      </c>
      <c r="Q498" s="628">
        <v>8.8999999999999996E-2</v>
      </c>
      <c r="R498" s="580">
        <f t="shared" si="381"/>
        <v>2.2249999999999999E-2</v>
      </c>
      <c r="S498" s="627">
        <v>6</v>
      </c>
      <c r="T498" s="575">
        <f t="shared" si="420"/>
        <v>0.25</v>
      </c>
      <c r="U498" s="992">
        <v>6</v>
      </c>
      <c r="V498" s="626">
        <f t="shared" si="421"/>
        <v>6</v>
      </c>
      <c r="W498" s="594">
        <f t="shared" si="422"/>
        <v>100</v>
      </c>
      <c r="X498" s="594">
        <f t="shared" si="382"/>
        <v>100</v>
      </c>
      <c r="Y498" s="594">
        <f t="shared" si="417"/>
        <v>2.2250000000000002E-2</v>
      </c>
      <c r="Z498" s="594">
        <f t="shared" si="383"/>
        <v>100</v>
      </c>
      <c r="AA498" s="593">
        <v>49000000</v>
      </c>
      <c r="AB498" s="593">
        <v>49000000</v>
      </c>
      <c r="AC498" s="593">
        <v>0</v>
      </c>
      <c r="AD498" s="593">
        <v>0</v>
      </c>
      <c r="AE498" s="593">
        <v>0</v>
      </c>
      <c r="AF498" s="593">
        <v>0</v>
      </c>
      <c r="AG498" s="593">
        <v>0</v>
      </c>
      <c r="AH498" s="593">
        <v>0</v>
      </c>
      <c r="AI498" s="593">
        <v>53000000</v>
      </c>
      <c r="AJ498" s="593">
        <v>53000000</v>
      </c>
      <c r="AK498" s="593">
        <v>0</v>
      </c>
      <c r="AL498" s="593">
        <v>0</v>
      </c>
      <c r="AM498" s="593">
        <v>0</v>
      </c>
      <c r="AN498" s="593">
        <v>0</v>
      </c>
      <c r="AO498" s="593">
        <v>0</v>
      </c>
      <c r="AP498" s="593">
        <v>0</v>
      </c>
      <c r="AQ498" s="593">
        <v>0</v>
      </c>
      <c r="AR498" s="593">
        <v>0</v>
      </c>
      <c r="AS498" s="593">
        <v>0</v>
      </c>
      <c r="AT498" s="570">
        <f t="shared" si="384"/>
        <v>2.2249999999999999E-2</v>
      </c>
      <c r="AU498" s="571">
        <v>6</v>
      </c>
      <c r="AV498" s="625">
        <f t="shared" si="423"/>
        <v>0.25</v>
      </c>
      <c r="AW498" s="1003">
        <v>14</v>
      </c>
      <c r="AX498" s="604">
        <f t="shared" si="424"/>
        <v>14</v>
      </c>
      <c r="AY498" s="604">
        <f t="shared" si="425"/>
        <v>233.33333333333334</v>
      </c>
      <c r="AZ498" s="604">
        <f t="shared" si="385"/>
        <v>100</v>
      </c>
      <c r="BA498" s="592">
        <f t="shared" si="386"/>
        <v>2.2250000000000002E-2</v>
      </c>
      <c r="BB498" s="592">
        <f t="shared" si="387"/>
        <v>100</v>
      </c>
      <c r="BC498" s="591">
        <v>60000000</v>
      </c>
      <c r="BD498" s="591">
        <v>0</v>
      </c>
      <c r="BE498" s="591">
        <v>60000000</v>
      </c>
      <c r="BF498" s="591">
        <v>0</v>
      </c>
      <c r="BG498" s="591">
        <v>0</v>
      </c>
      <c r="BH498" s="591">
        <v>0</v>
      </c>
      <c r="BI498" s="591">
        <v>0</v>
      </c>
      <c r="BJ498" s="591">
        <v>0</v>
      </c>
      <c r="BK498" s="624">
        <v>0</v>
      </c>
      <c r="BL498" s="589">
        <v>0</v>
      </c>
      <c r="BM498" s="589">
        <v>0</v>
      </c>
      <c r="BN498" s="589">
        <v>0</v>
      </c>
      <c r="BO498" s="589">
        <v>0</v>
      </c>
      <c r="BP498" s="589">
        <v>0</v>
      </c>
      <c r="BQ498" s="589">
        <v>0</v>
      </c>
      <c r="BR498" s="589">
        <v>0</v>
      </c>
      <c r="BS498" s="589">
        <v>0</v>
      </c>
      <c r="BT498" s="589">
        <v>0</v>
      </c>
      <c r="BU498" s="589">
        <v>0</v>
      </c>
      <c r="BV498" s="588">
        <f t="shared" si="388"/>
        <v>2.2249999999999999E-2</v>
      </c>
      <c r="BW498" s="588">
        <v>6</v>
      </c>
      <c r="BX498" s="623">
        <f t="shared" si="426"/>
        <v>0.25</v>
      </c>
      <c r="BY498" s="607">
        <v>2</v>
      </c>
      <c r="BZ498" s="629">
        <v>22</v>
      </c>
      <c r="CA498" s="1017">
        <v>22</v>
      </c>
      <c r="CB498" s="557">
        <f t="shared" si="427"/>
        <v>22</v>
      </c>
      <c r="CC498" s="557">
        <f t="shared" si="428"/>
        <v>366.66666666666669</v>
      </c>
      <c r="CD498" s="622">
        <f t="shared" si="389"/>
        <v>100</v>
      </c>
      <c r="CE498" s="621">
        <f t="shared" si="390"/>
        <v>2.2250000000000002E-2</v>
      </c>
      <c r="CF498" s="605">
        <f t="shared" si="391"/>
        <v>100</v>
      </c>
      <c r="CG498" s="621">
        <f t="shared" si="392"/>
        <v>8.1583333333333327E-2</v>
      </c>
      <c r="CH498" s="553">
        <f t="shared" si="393"/>
        <v>2.2249999999999999E-2</v>
      </c>
      <c r="CI498" s="552">
        <v>6</v>
      </c>
      <c r="CJ498" s="551">
        <f t="shared" si="429"/>
        <v>0.25</v>
      </c>
      <c r="CK498" s="874">
        <v>2</v>
      </c>
      <c r="CL498" s="533">
        <f t="shared" si="380"/>
        <v>4</v>
      </c>
      <c r="CM498" s="619">
        <f t="shared" si="430"/>
        <v>2</v>
      </c>
      <c r="CN498" s="619">
        <f t="shared" si="431"/>
        <v>33.333333333333336</v>
      </c>
      <c r="CO498" s="549">
        <f t="shared" si="394"/>
        <v>33.333333333333336</v>
      </c>
      <c r="CP498" s="619">
        <f t="shared" si="395"/>
        <v>7.4166666666666669E-3</v>
      </c>
      <c r="CQ498" s="619">
        <f t="shared" si="396"/>
        <v>7.4166666666666669E-3</v>
      </c>
      <c r="CR498" s="546">
        <v>120000000</v>
      </c>
      <c r="CS498" s="546">
        <v>120000000</v>
      </c>
      <c r="CT498" s="546">
        <v>0</v>
      </c>
      <c r="CU498" s="546">
        <v>0</v>
      </c>
      <c r="CV498" s="546">
        <v>0</v>
      </c>
      <c r="CW498" s="546">
        <v>0</v>
      </c>
      <c r="CX498" s="546">
        <v>0</v>
      </c>
      <c r="CY498" s="546">
        <v>0</v>
      </c>
      <c r="CZ498" s="618">
        <v>0</v>
      </c>
      <c r="DA498" s="618">
        <v>0</v>
      </c>
      <c r="DB498" s="618">
        <v>0</v>
      </c>
      <c r="DC498" s="618">
        <v>0</v>
      </c>
      <c r="DD498" s="618">
        <v>0</v>
      </c>
      <c r="DE498" s="618">
        <v>0</v>
      </c>
      <c r="DF498" s="618">
        <v>0</v>
      </c>
      <c r="DG498" s="618">
        <v>0</v>
      </c>
      <c r="DH498" s="618">
        <v>0</v>
      </c>
      <c r="DI498" s="618">
        <v>0</v>
      </c>
      <c r="DJ498" s="618">
        <v>0</v>
      </c>
      <c r="DK498" s="1034">
        <f t="shared" si="432"/>
        <v>44</v>
      </c>
      <c r="DL498" s="543">
        <f t="shared" si="397"/>
        <v>8.8999999999999996E-2</v>
      </c>
      <c r="DM498" s="542">
        <f t="shared" si="398"/>
        <v>183.33333333333334</v>
      </c>
      <c r="DN498" s="594">
        <f t="shared" si="399"/>
        <v>100</v>
      </c>
      <c r="DO498" s="540">
        <f t="shared" si="400"/>
        <v>8.900000000000001E-2</v>
      </c>
      <c r="DP498" s="597">
        <f t="shared" si="418"/>
        <v>8.8999999999999996E-2</v>
      </c>
      <c r="DQ498" s="538">
        <f t="shared" si="401"/>
        <v>8.8999999999999996E-2</v>
      </c>
      <c r="DR498" s="617">
        <f t="shared" si="402"/>
        <v>1</v>
      </c>
      <c r="DS498" s="616">
        <f t="shared" si="403"/>
        <v>0</v>
      </c>
      <c r="DT498" s="259">
        <v>620</v>
      </c>
      <c r="DU498" s="260" t="s">
        <v>248</v>
      </c>
      <c r="DV498" s="259"/>
      <c r="DW498" s="260" t="s">
        <v>242</v>
      </c>
      <c r="DX498" s="259"/>
      <c r="DY498" s="259"/>
      <c r="DZ498" s="259"/>
      <c r="EA498" s="987"/>
      <c r="EB498" s="1041" t="s">
        <v>2799</v>
      </c>
      <c r="EC498" s="802">
        <v>42000000</v>
      </c>
      <c r="EE498" s="1047"/>
    </row>
    <row r="499" spans="4:135" s="534" customFormat="1" ht="63.75" hidden="1" x14ac:dyDescent="0.3">
      <c r="D499" s="783">
        <v>496</v>
      </c>
      <c r="E499" s="799">
        <v>567</v>
      </c>
      <c r="F499" s="739" t="s">
        <v>203</v>
      </c>
      <c r="G499" s="739" t="s">
        <v>239</v>
      </c>
      <c r="H499" s="739" t="s">
        <v>159</v>
      </c>
      <c r="I499" s="739" t="s">
        <v>1329</v>
      </c>
      <c r="J499" s="573" t="s">
        <v>1336</v>
      </c>
      <c r="K499" s="573" t="s">
        <v>1337</v>
      </c>
      <c r="L499" s="596" t="s">
        <v>1682</v>
      </c>
      <c r="M499" s="571" t="s">
        <v>2017</v>
      </c>
      <c r="N499" s="571">
        <v>200</v>
      </c>
      <c r="O499" s="570">
        <f t="shared" si="419"/>
        <v>400</v>
      </c>
      <c r="P499" s="569">
        <v>200</v>
      </c>
      <c r="Q499" s="628">
        <v>0.16500000000000001</v>
      </c>
      <c r="R499" s="580">
        <f t="shared" si="381"/>
        <v>0</v>
      </c>
      <c r="S499" s="627">
        <v>0</v>
      </c>
      <c r="T499" s="575">
        <f t="shared" si="420"/>
        <v>0</v>
      </c>
      <c r="U499" s="992">
        <v>0</v>
      </c>
      <c r="V499" s="626">
        <f t="shared" si="421"/>
        <v>0</v>
      </c>
      <c r="W499" s="594">
        <f t="shared" si="422"/>
        <v>0</v>
      </c>
      <c r="X499" s="594">
        <f t="shared" si="382"/>
        <v>0</v>
      </c>
      <c r="Y499" s="594">
        <f t="shared" si="417"/>
        <v>0</v>
      </c>
      <c r="Z499" s="594">
        <f t="shared" si="383"/>
        <v>0</v>
      </c>
      <c r="AA499" s="593">
        <v>0</v>
      </c>
      <c r="AB499" s="593">
        <v>0</v>
      </c>
      <c r="AC499" s="593">
        <v>0</v>
      </c>
      <c r="AD499" s="593">
        <v>0</v>
      </c>
      <c r="AE499" s="593">
        <v>0</v>
      </c>
      <c r="AF499" s="593">
        <v>0</v>
      </c>
      <c r="AG499" s="593">
        <v>0</v>
      </c>
      <c r="AH499" s="593">
        <v>0</v>
      </c>
      <c r="AI499" s="593">
        <v>0</v>
      </c>
      <c r="AJ499" s="593">
        <v>0</v>
      </c>
      <c r="AK499" s="593">
        <v>0</v>
      </c>
      <c r="AL499" s="593">
        <v>0</v>
      </c>
      <c r="AM499" s="593">
        <v>0</v>
      </c>
      <c r="AN499" s="593">
        <v>0</v>
      </c>
      <c r="AO499" s="593">
        <v>0</v>
      </c>
      <c r="AP499" s="593">
        <v>0</v>
      </c>
      <c r="AQ499" s="593">
        <v>0</v>
      </c>
      <c r="AR499" s="593">
        <v>0</v>
      </c>
      <c r="AS499" s="593">
        <v>0</v>
      </c>
      <c r="AT499" s="570">
        <f t="shared" si="384"/>
        <v>4.9500000000000002E-2</v>
      </c>
      <c r="AU499" s="571">
        <v>60</v>
      </c>
      <c r="AV499" s="625">
        <f t="shared" si="423"/>
        <v>0.3</v>
      </c>
      <c r="AW499" s="1003">
        <v>150</v>
      </c>
      <c r="AX499" s="604">
        <f t="shared" si="424"/>
        <v>150</v>
      </c>
      <c r="AY499" s="604">
        <f t="shared" si="425"/>
        <v>250</v>
      </c>
      <c r="AZ499" s="604">
        <f t="shared" si="385"/>
        <v>100</v>
      </c>
      <c r="BA499" s="592">
        <f t="shared" si="386"/>
        <v>4.9500000000000002E-2</v>
      </c>
      <c r="BB499" s="592">
        <f t="shared" si="387"/>
        <v>100</v>
      </c>
      <c r="BC499" s="591">
        <v>25000000</v>
      </c>
      <c r="BD499" s="591">
        <v>0</v>
      </c>
      <c r="BE499" s="591">
        <v>25000000</v>
      </c>
      <c r="BF499" s="591">
        <v>0</v>
      </c>
      <c r="BG499" s="591">
        <v>0</v>
      </c>
      <c r="BH499" s="591">
        <v>0</v>
      </c>
      <c r="BI499" s="591">
        <v>0</v>
      </c>
      <c r="BJ499" s="591">
        <v>0</v>
      </c>
      <c r="BK499" s="624">
        <v>141700000</v>
      </c>
      <c r="BL499" s="589">
        <v>141700000</v>
      </c>
      <c r="BM499" s="589">
        <v>0</v>
      </c>
      <c r="BN499" s="589">
        <v>0</v>
      </c>
      <c r="BO499" s="589">
        <v>0</v>
      </c>
      <c r="BP499" s="589">
        <v>0</v>
      </c>
      <c r="BQ499" s="589">
        <v>0</v>
      </c>
      <c r="BR499" s="589">
        <v>0</v>
      </c>
      <c r="BS499" s="589">
        <v>0</v>
      </c>
      <c r="BT499" s="589">
        <v>0</v>
      </c>
      <c r="BU499" s="589">
        <v>0</v>
      </c>
      <c r="BV499" s="588">
        <f t="shared" si="388"/>
        <v>5.7749999999999996E-2</v>
      </c>
      <c r="BW499" s="588">
        <v>70</v>
      </c>
      <c r="BX499" s="623">
        <f t="shared" si="426"/>
        <v>0.35</v>
      </c>
      <c r="BY499" s="607">
        <v>0</v>
      </c>
      <c r="BZ499" s="629">
        <v>150</v>
      </c>
      <c r="CA499" s="1017">
        <v>210</v>
      </c>
      <c r="CB499" s="557">
        <f t="shared" si="427"/>
        <v>210</v>
      </c>
      <c r="CC499" s="557">
        <f t="shared" si="428"/>
        <v>300</v>
      </c>
      <c r="CD499" s="622">
        <f t="shared" si="389"/>
        <v>100</v>
      </c>
      <c r="CE499" s="621">
        <f t="shared" si="390"/>
        <v>5.7749999999999996E-2</v>
      </c>
      <c r="CF499" s="605">
        <f t="shared" si="391"/>
        <v>100</v>
      </c>
      <c r="CG499" s="621">
        <f t="shared" si="392"/>
        <v>0.17324999999999999</v>
      </c>
      <c r="CH499" s="553">
        <f t="shared" si="393"/>
        <v>5.7749999999999996E-2</v>
      </c>
      <c r="CI499" s="552">
        <v>70</v>
      </c>
      <c r="CJ499" s="551">
        <f t="shared" si="429"/>
        <v>0.35</v>
      </c>
      <c r="CK499" s="874">
        <v>0</v>
      </c>
      <c r="CL499" s="533">
        <f t="shared" si="380"/>
        <v>70</v>
      </c>
      <c r="CM499" s="619">
        <f t="shared" si="430"/>
        <v>0</v>
      </c>
      <c r="CN499" s="619">
        <f t="shared" si="431"/>
        <v>0</v>
      </c>
      <c r="CO499" s="549">
        <f t="shared" si="394"/>
        <v>0</v>
      </c>
      <c r="CP499" s="619">
        <f t="shared" si="395"/>
        <v>0</v>
      </c>
      <c r="CQ499" s="619">
        <f t="shared" si="396"/>
        <v>0</v>
      </c>
      <c r="CR499" s="546">
        <v>60000000</v>
      </c>
      <c r="CS499" s="546">
        <v>60000000</v>
      </c>
      <c r="CT499" s="546">
        <v>0</v>
      </c>
      <c r="CU499" s="546">
        <v>0</v>
      </c>
      <c r="CV499" s="546">
        <v>0</v>
      </c>
      <c r="CW499" s="546">
        <v>0</v>
      </c>
      <c r="CX499" s="546">
        <v>0</v>
      </c>
      <c r="CY499" s="546">
        <v>0</v>
      </c>
      <c r="CZ499" s="618">
        <v>0</v>
      </c>
      <c r="DA499" s="618">
        <v>0</v>
      </c>
      <c r="DB499" s="618">
        <v>0</v>
      </c>
      <c r="DC499" s="618">
        <v>0</v>
      </c>
      <c r="DD499" s="618">
        <v>0</v>
      </c>
      <c r="DE499" s="618">
        <v>0</v>
      </c>
      <c r="DF499" s="618">
        <v>0</v>
      </c>
      <c r="DG499" s="618">
        <v>0</v>
      </c>
      <c r="DH499" s="618">
        <v>0</v>
      </c>
      <c r="DI499" s="618">
        <v>0</v>
      </c>
      <c r="DJ499" s="618">
        <v>0</v>
      </c>
      <c r="DK499" s="1034">
        <f t="shared" si="432"/>
        <v>360</v>
      </c>
      <c r="DL499" s="543">
        <f t="shared" si="397"/>
        <v>0.16499999999999998</v>
      </c>
      <c r="DM499" s="542">
        <f t="shared" si="398"/>
        <v>180</v>
      </c>
      <c r="DN499" s="594">
        <f t="shared" si="399"/>
        <v>100</v>
      </c>
      <c r="DO499" s="540">
        <f t="shared" si="400"/>
        <v>0.16500000000000001</v>
      </c>
      <c r="DP499" s="597">
        <f t="shared" si="418"/>
        <v>0.16500000000000001</v>
      </c>
      <c r="DQ499" s="538">
        <f t="shared" si="401"/>
        <v>0.16500000000000001</v>
      </c>
      <c r="DR499" s="617">
        <f t="shared" si="402"/>
        <v>0.99999999999999989</v>
      </c>
      <c r="DS499" s="616">
        <f t="shared" si="403"/>
        <v>0</v>
      </c>
      <c r="DT499" s="259">
        <v>620</v>
      </c>
      <c r="DU499" s="260" t="s">
        <v>248</v>
      </c>
      <c r="DV499" s="259"/>
      <c r="DW499" s="260" t="s">
        <v>242</v>
      </c>
      <c r="DX499" s="259"/>
      <c r="DY499" s="259"/>
      <c r="DZ499" s="259"/>
      <c r="EA499" s="987"/>
      <c r="EB499" s="1041" t="s">
        <v>2800</v>
      </c>
      <c r="EC499" s="802">
        <v>22000000</v>
      </c>
      <c r="EE499" s="1047"/>
    </row>
    <row r="500" spans="4:135" s="534" customFormat="1" ht="102" hidden="1" x14ac:dyDescent="0.3">
      <c r="D500" s="783">
        <v>497</v>
      </c>
      <c r="E500" s="799">
        <v>568</v>
      </c>
      <c r="F500" s="739" t="s">
        <v>203</v>
      </c>
      <c r="G500" s="739" t="s">
        <v>30</v>
      </c>
      <c r="H500" s="739" t="s">
        <v>160</v>
      </c>
      <c r="I500" s="739" t="s">
        <v>1338</v>
      </c>
      <c r="J500" s="573" t="s">
        <v>1339</v>
      </c>
      <c r="K500" s="573" t="s">
        <v>1340</v>
      </c>
      <c r="L500" s="596" t="s">
        <v>1593</v>
      </c>
      <c r="M500" s="571" t="s">
        <v>2017</v>
      </c>
      <c r="N500" s="571">
        <v>0</v>
      </c>
      <c r="O500" s="570">
        <f t="shared" si="419"/>
        <v>35</v>
      </c>
      <c r="P500" s="569">
        <v>35</v>
      </c>
      <c r="Q500" s="628">
        <v>0.33</v>
      </c>
      <c r="R500" s="580">
        <f t="shared" si="381"/>
        <v>9.4285714285714285E-3</v>
      </c>
      <c r="S500" s="627">
        <v>1</v>
      </c>
      <c r="T500" s="575">
        <f t="shared" si="420"/>
        <v>2.8571428571428571E-2</v>
      </c>
      <c r="U500" s="992">
        <v>3</v>
      </c>
      <c r="V500" s="626">
        <f t="shared" si="421"/>
        <v>3</v>
      </c>
      <c r="W500" s="594">
        <f t="shared" si="422"/>
        <v>300</v>
      </c>
      <c r="X500" s="594">
        <f t="shared" si="382"/>
        <v>100</v>
      </c>
      <c r="Y500" s="594">
        <f t="shared" si="417"/>
        <v>9.4285714285714285E-3</v>
      </c>
      <c r="Z500" s="594">
        <f t="shared" si="383"/>
        <v>100</v>
      </c>
      <c r="AA500" s="593">
        <v>550000000</v>
      </c>
      <c r="AB500" s="593">
        <v>550000000</v>
      </c>
      <c r="AC500" s="593">
        <v>0</v>
      </c>
      <c r="AD500" s="593">
        <v>0</v>
      </c>
      <c r="AE500" s="593">
        <v>0</v>
      </c>
      <c r="AF500" s="593">
        <v>0</v>
      </c>
      <c r="AG500" s="593">
        <v>0</v>
      </c>
      <c r="AH500" s="593">
        <v>0</v>
      </c>
      <c r="AI500" s="593">
        <v>550000000</v>
      </c>
      <c r="AJ500" s="593">
        <v>550000000</v>
      </c>
      <c r="AK500" s="593">
        <v>0</v>
      </c>
      <c r="AL500" s="593">
        <v>0</v>
      </c>
      <c r="AM500" s="593">
        <v>0</v>
      </c>
      <c r="AN500" s="593">
        <v>0</v>
      </c>
      <c r="AO500" s="593">
        <v>0</v>
      </c>
      <c r="AP500" s="593">
        <v>0</v>
      </c>
      <c r="AQ500" s="593">
        <v>0</v>
      </c>
      <c r="AR500" s="593">
        <v>100358000</v>
      </c>
      <c r="AS500" s="593" t="s">
        <v>2035</v>
      </c>
      <c r="AT500" s="570">
        <f t="shared" si="384"/>
        <v>3.7714285714285714E-2</v>
      </c>
      <c r="AU500" s="571">
        <v>4</v>
      </c>
      <c r="AV500" s="625">
        <f t="shared" si="423"/>
        <v>0.11428571428571428</v>
      </c>
      <c r="AW500" s="1003">
        <v>0</v>
      </c>
      <c r="AX500" s="604">
        <f t="shared" si="424"/>
        <v>0</v>
      </c>
      <c r="AY500" s="604">
        <f t="shared" si="425"/>
        <v>0</v>
      </c>
      <c r="AZ500" s="604">
        <f t="shared" si="385"/>
        <v>0</v>
      </c>
      <c r="BA500" s="592">
        <f t="shared" si="386"/>
        <v>0</v>
      </c>
      <c r="BB500" s="592">
        <f t="shared" si="387"/>
        <v>0</v>
      </c>
      <c r="BC500" s="591">
        <v>2150000000</v>
      </c>
      <c r="BD500" s="591">
        <v>0</v>
      </c>
      <c r="BE500" s="591">
        <v>650000000</v>
      </c>
      <c r="BF500" s="591">
        <v>0</v>
      </c>
      <c r="BG500" s="591">
        <v>0</v>
      </c>
      <c r="BH500" s="591">
        <v>0</v>
      </c>
      <c r="BI500" s="591">
        <v>0</v>
      </c>
      <c r="BJ500" s="591">
        <v>1500000000</v>
      </c>
      <c r="BK500" s="624">
        <v>0</v>
      </c>
      <c r="BL500" s="589">
        <v>0</v>
      </c>
      <c r="BM500" s="589">
        <v>0</v>
      </c>
      <c r="BN500" s="589">
        <v>0</v>
      </c>
      <c r="BO500" s="589">
        <v>0</v>
      </c>
      <c r="BP500" s="589">
        <v>0</v>
      </c>
      <c r="BQ500" s="589">
        <v>0</v>
      </c>
      <c r="BR500" s="589">
        <v>0</v>
      </c>
      <c r="BS500" s="589">
        <v>0</v>
      </c>
      <c r="BT500" s="589">
        <v>0</v>
      </c>
      <c r="BU500" s="589">
        <v>0</v>
      </c>
      <c r="BV500" s="588">
        <f t="shared" si="388"/>
        <v>0.14142857142857143</v>
      </c>
      <c r="BW500" s="588">
        <v>15</v>
      </c>
      <c r="BX500" s="623">
        <f t="shared" si="426"/>
        <v>0.42857142857142855</v>
      </c>
      <c r="BY500" s="607">
        <v>0</v>
      </c>
      <c r="BZ500" s="629">
        <v>0</v>
      </c>
      <c r="CA500" s="1017">
        <v>1</v>
      </c>
      <c r="CB500" s="557">
        <f t="shared" si="427"/>
        <v>1</v>
      </c>
      <c r="CC500" s="557">
        <f t="shared" si="428"/>
        <v>6.666666666666667</v>
      </c>
      <c r="CD500" s="622">
        <f t="shared" si="389"/>
        <v>6.666666666666667</v>
      </c>
      <c r="CE500" s="621">
        <f t="shared" si="390"/>
        <v>9.4285714285714303E-3</v>
      </c>
      <c r="CF500" s="605">
        <f t="shared" si="391"/>
        <v>6.666666666666667</v>
      </c>
      <c r="CG500" s="621">
        <f t="shared" si="392"/>
        <v>9.4285714285714303E-3</v>
      </c>
      <c r="CH500" s="553">
        <f t="shared" si="393"/>
        <v>0.14142857142857143</v>
      </c>
      <c r="CI500" s="552">
        <v>15</v>
      </c>
      <c r="CJ500" s="551">
        <f t="shared" si="429"/>
        <v>0.42857142857142855</v>
      </c>
      <c r="CK500" s="874">
        <v>39</v>
      </c>
      <c r="CL500" s="533">
        <f t="shared" ref="CL500:CL541" si="433">+CI500-CK500</f>
        <v>-24</v>
      </c>
      <c r="CM500" s="619">
        <f t="shared" si="430"/>
        <v>39</v>
      </c>
      <c r="CN500" s="619">
        <f t="shared" si="431"/>
        <v>260</v>
      </c>
      <c r="CO500" s="549">
        <f t="shared" si="394"/>
        <v>100</v>
      </c>
      <c r="CP500" s="619">
        <f t="shared" si="395"/>
        <v>0.14142857142857143</v>
      </c>
      <c r="CQ500" s="619">
        <f t="shared" si="396"/>
        <v>0.36771428571428572</v>
      </c>
      <c r="CR500" s="546">
        <v>5250000000</v>
      </c>
      <c r="CS500" s="546">
        <v>1500000000</v>
      </c>
      <c r="CT500" s="546">
        <v>0</v>
      </c>
      <c r="CU500" s="546">
        <v>0</v>
      </c>
      <c r="CV500" s="546">
        <v>0</v>
      </c>
      <c r="CW500" s="546">
        <v>0</v>
      </c>
      <c r="CX500" s="546">
        <v>0</v>
      </c>
      <c r="CY500" s="546">
        <v>3750000000</v>
      </c>
      <c r="CZ500" s="618">
        <v>0</v>
      </c>
      <c r="DA500" s="618">
        <v>0</v>
      </c>
      <c r="DB500" s="618">
        <v>0</v>
      </c>
      <c r="DC500" s="618">
        <v>0</v>
      </c>
      <c r="DD500" s="618">
        <v>0</v>
      </c>
      <c r="DE500" s="618">
        <v>0</v>
      </c>
      <c r="DF500" s="618">
        <v>0</v>
      </c>
      <c r="DG500" s="618">
        <v>0</v>
      </c>
      <c r="DH500" s="618">
        <v>0</v>
      </c>
      <c r="DI500" s="618">
        <v>0</v>
      </c>
      <c r="DJ500" s="618">
        <v>0</v>
      </c>
      <c r="DK500" s="1034">
        <f t="shared" si="432"/>
        <v>43</v>
      </c>
      <c r="DL500" s="543">
        <f t="shared" si="397"/>
        <v>0.32999999999999996</v>
      </c>
      <c r="DM500" s="542">
        <f t="shared" si="398"/>
        <v>122.85714285714286</v>
      </c>
      <c r="DN500" s="594">
        <f t="shared" si="399"/>
        <v>100</v>
      </c>
      <c r="DO500" s="540">
        <f t="shared" si="400"/>
        <v>0.33</v>
      </c>
      <c r="DP500" s="597">
        <f t="shared" si="418"/>
        <v>0.33</v>
      </c>
      <c r="DQ500" s="538">
        <f t="shared" si="401"/>
        <v>0.33</v>
      </c>
      <c r="DR500" s="617">
        <f t="shared" si="402"/>
        <v>1</v>
      </c>
      <c r="DS500" s="616">
        <f t="shared" si="403"/>
        <v>0</v>
      </c>
      <c r="DT500" s="259">
        <v>621</v>
      </c>
      <c r="DU500" s="260" t="s">
        <v>247</v>
      </c>
      <c r="DV500" s="259"/>
      <c r="DW500" s="260" t="s">
        <v>242</v>
      </c>
      <c r="DX500" s="259"/>
      <c r="DY500" s="259"/>
      <c r="DZ500" s="259"/>
      <c r="EA500" s="987"/>
      <c r="EB500" s="1041" t="s">
        <v>2801</v>
      </c>
      <c r="EC500" s="802">
        <v>5600000000</v>
      </c>
      <c r="EE500" s="1047"/>
    </row>
    <row r="501" spans="4:135" s="534" customFormat="1" ht="63.75" hidden="1" x14ac:dyDescent="0.3">
      <c r="D501" s="783">
        <v>498</v>
      </c>
      <c r="E501" s="799">
        <v>569</v>
      </c>
      <c r="F501" s="739" t="s">
        <v>203</v>
      </c>
      <c r="G501" s="739" t="s">
        <v>30</v>
      </c>
      <c r="H501" s="739" t="s">
        <v>160</v>
      </c>
      <c r="I501" s="739" t="s">
        <v>1338</v>
      </c>
      <c r="J501" s="573" t="s">
        <v>1341</v>
      </c>
      <c r="K501" s="573" t="s">
        <v>1342</v>
      </c>
      <c r="L501" s="596" t="s">
        <v>1593</v>
      </c>
      <c r="M501" s="571" t="s">
        <v>2017</v>
      </c>
      <c r="N501" s="571">
        <v>0</v>
      </c>
      <c r="O501" s="570">
        <f t="shared" si="419"/>
        <v>82</v>
      </c>
      <c r="P501" s="569">
        <v>82</v>
      </c>
      <c r="Q501" s="628">
        <v>0.33</v>
      </c>
      <c r="R501" s="580">
        <f t="shared" si="381"/>
        <v>0</v>
      </c>
      <c r="S501" s="627">
        <v>0</v>
      </c>
      <c r="T501" s="575">
        <f t="shared" si="420"/>
        <v>0</v>
      </c>
      <c r="U501" s="992">
        <v>32</v>
      </c>
      <c r="V501" s="626">
        <f t="shared" si="421"/>
        <v>32</v>
      </c>
      <c r="W501" s="594">
        <f t="shared" si="422"/>
        <v>0</v>
      </c>
      <c r="X501" s="594">
        <f t="shared" si="382"/>
        <v>0</v>
      </c>
      <c r="Y501" s="594">
        <f t="shared" si="417"/>
        <v>0</v>
      </c>
      <c r="Z501" s="594">
        <f t="shared" si="383"/>
        <v>100</v>
      </c>
      <c r="AA501" s="593">
        <v>0</v>
      </c>
      <c r="AB501" s="593">
        <v>0</v>
      </c>
      <c r="AC501" s="593">
        <v>0</v>
      </c>
      <c r="AD501" s="593">
        <v>0</v>
      </c>
      <c r="AE501" s="593">
        <v>0</v>
      </c>
      <c r="AF501" s="593">
        <v>0</v>
      </c>
      <c r="AG501" s="593">
        <v>0</v>
      </c>
      <c r="AH501" s="593">
        <v>0</v>
      </c>
      <c r="AI501" s="593">
        <v>0</v>
      </c>
      <c r="AJ501" s="593">
        <v>0</v>
      </c>
      <c r="AK501" s="593">
        <v>0</v>
      </c>
      <c r="AL501" s="593">
        <v>0</v>
      </c>
      <c r="AM501" s="593">
        <v>0</v>
      </c>
      <c r="AN501" s="593">
        <v>0</v>
      </c>
      <c r="AO501" s="593">
        <v>0</v>
      </c>
      <c r="AP501" s="593">
        <v>0</v>
      </c>
      <c r="AQ501" s="593">
        <v>0</v>
      </c>
      <c r="AR501" s="593">
        <v>17671719000</v>
      </c>
      <c r="AS501" s="593" t="s">
        <v>2035</v>
      </c>
      <c r="AT501" s="570">
        <f t="shared" si="384"/>
        <v>0.22939024390243901</v>
      </c>
      <c r="AU501" s="571">
        <v>57</v>
      </c>
      <c r="AV501" s="625">
        <f t="shared" si="423"/>
        <v>0.69512195121951215</v>
      </c>
      <c r="AW501" s="1003">
        <v>42</v>
      </c>
      <c r="AX501" s="604">
        <f t="shared" si="424"/>
        <v>42</v>
      </c>
      <c r="AY501" s="604">
        <f t="shared" si="425"/>
        <v>73.684210526315795</v>
      </c>
      <c r="AZ501" s="604">
        <f t="shared" si="385"/>
        <v>73.684210526315795</v>
      </c>
      <c r="BA501" s="592">
        <f t="shared" si="386"/>
        <v>0.16902439024390245</v>
      </c>
      <c r="BB501" s="592">
        <f t="shared" si="387"/>
        <v>73.684210526315795</v>
      </c>
      <c r="BC501" s="591">
        <v>0</v>
      </c>
      <c r="BD501" s="591">
        <v>0</v>
      </c>
      <c r="BE501" s="591">
        <v>0</v>
      </c>
      <c r="BF501" s="591">
        <v>0</v>
      </c>
      <c r="BG501" s="591">
        <v>0</v>
      </c>
      <c r="BH501" s="591">
        <v>0</v>
      </c>
      <c r="BI501" s="591">
        <v>0</v>
      </c>
      <c r="BJ501" s="591">
        <v>0</v>
      </c>
      <c r="BK501" s="624">
        <v>0</v>
      </c>
      <c r="BL501" s="589">
        <v>0</v>
      </c>
      <c r="BM501" s="589">
        <v>0</v>
      </c>
      <c r="BN501" s="589">
        <v>0</v>
      </c>
      <c r="BO501" s="589">
        <v>0</v>
      </c>
      <c r="BP501" s="589">
        <v>0</v>
      </c>
      <c r="BQ501" s="589">
        <v>0</v>
      </c>
      <c r="BR501" s="589">
        <v>0</v>
      </c>
      <c r="BS501" s="589">
        <v>0</v>
      </c>
      <c r="BT501" s="589">
        <v>0</v>
      </c>
      <c r="BU501" s="589">
        <v>0</v>
      </c>
      <c r="BV501" s="588">
        <f t="shared" si="388"/>
        <v>0.10060975609756098</v>
      </c>
      <c r="BW501" s="588">
        <v>25</v>
      </c>
      <c r="BX501" s="623">
        <f t="shared" si="426"/>
        <v>0.3048780487804878</v>
      </c>
      <c r="BY501" s="639">
        <v>42</v>
      </c>
      <c r="BZ501" s="638">
        <v>42</v>
      </c>
      <c r="CA501" s="1018">
        <v>42</v>
      </c>
      <c r="CB501" s="557">
        <f t="shared" si="427"/>
        <v>42</v>
      </c>
      <c r="CC501" s="557">
        <f t="shared" si="428"/>
        <v>168</v>
      </c>
      <c r="CD501" s="622">
        <f t="shared" si="389"/>
        <v>100</v>
      </c>
      <c r="CE501" s="621">
        <f t="shared" si="390"/>
        <v>0.100609756097561</v>
      </c>
      <c r="CF501" s="605">
        <f t="shared" si="391"/>
        <v>100</v>
      </c>
      <c r="CG501" s="621">
        <f t="shared" si="392"/>
        <v>0.16902439024390245</v>
      </c>
      <c r="CH501" s="553">
        <f t="shared" si="393"/>
        <v>0</v>
      </c>
      <c r="CI501" s="552">
        <v>0</v>
      </c>
      <c r="CJ501" s="551">
        <f t="shared" si="429"/>
        <v>0</v>
      </c>
      <c r="CK501" s="871">
        <v>0</v>
      </c>
      <c r="CL501" s="533">
        <f t="shared" si="433"/>
        <v>0</v>
      </c>
      <c r="CM501" s="619">
        <f t="shared" si="430"/>
        <v>0</v>
      </c>
      <c r="CN501" s="619">
        <f t="shared" si="431"/>
        <v>0</v>
      </c>
      <c r="CO501" s="549">
        <f t="shared" si="394"/>
        <v>0</v>
      </c>
      <c r="CP501" s="619">
        <f t="shared" si="395"/>
        <v>0</v>
      </c>
      <c r="CQ501" s="619">
        <f t="shared" si="396"/>
        <v>0</v>
      </c>
      <c r="CR501" s="546">
        <v>0</v>
      </c>
      <c r="CS501" s="546">
        <v>0</v>
      </c>
      <c r="CT501" s="546">
        <v>0</v>
      </c>
      <c r="CU501" s="546">
        <v>0</v>
      </c>
      <c r="CV501" s="546">
        <v>0</v>
      </c>
      <c r="CW501" s="546">
        <v>0</v>
      </c>
      <c r="CX501" s="546">
        <v>0</v>
      </c>
      <c r="CY501" s="546">
        <v>0</v>
      </c>
      <c r="CZ501" s="618">
        <v>0</v>
      </c>
      <c r="DA501" s="618">
        <v>0</v>
      </c>
      <c r="DB501" s="618">
        <v>0</v>
      </c>
      <c r="DC501" s="618">
        <v>0</v>
      </c>
      <c r="DD501" s="618">
        <v>0</v>
      </c>
      <c r="DE501" s="618">
        <v>0</v>
      </c>
      <c r="DF501" s="618">
        <v>0</v>
      </c>
      <c r="DG501" s="618">
        <v>0</v>
      </c>
      <c r="DH501" s="618">
        <v>0</v>
      </c>
      <c r="DI501" s="618">
        <v>0</v>
      </c>
      <c r="DJ501" s="618">
        <v>0</v>
      </c>
      <c r="DK501" s="1034">
        <f t="shared" si="432"/>
        <v>116</v>
      </c>
      <c r="DL501" s="543">
        <f t="shared" si="397"/>
        <v>0.32999999999999996</v>
      </c>
      <c r="DM501" s="542">
        <f t="shared" si="398"/>
        <v>141.46341463414635</v>
      </c>
      <c r="DN501" s="594">
        <f t="shared" si="399"/>
        <v>100</v>
      </c>
      <c r="DO501" s="540">
        <f t="shared" si="400"/>
        <v>0.33</v>
      </c>
      <c r="DP501" s="597">
        <f t="shared" si="418"/>
        <v>0.33</v>
      </c>
      <c r="DQ501" s="538">
        <f t="shared" si="401"/>
        <v>0.33</v>
      </c>
      <c r="DR501" s="617">
        <f t="shared" si="402"/>
        <v>1</v>
      </c>
      <c r="DS501" s="616">
        <f t="shared" si="403"/>
        <v>2.7755575615628914E-17</v>
      </c>
      <c r="DT501" s="259">
        <v>621</v>
      </c>
      <c r="DU501" s="260" t="s">
        <v>247</v>
      </c>
      <c r="DV501" s="259"/>
      <c r="DW501" s="260" t="s">
        <v>242</v>
      </c>
      <c r="DX501" s="259"/>
      <c r="DY501" s="259"/>
      <c r="DZ501" s="259"/>
      <c r="EA501" s="987"/>
      <c r="EB501" s="1041" t="s">
        <v>2802</v>
      </c>
      <c r="EC501" s="802">
        <v>0</v>
      </c>
      <c r="EE501" s="1047"/>
    </row>
    <row r="502" spans="4:135" s="534" customFormat="1" ht="102" hidden="1" x14ac:dyDescent="0.3">
      <c r="D502" s="783">
        <v>499</v>
      </c>
      <c r="E502" s="799">
        <v>570</v>
      </c>
      <c r="F502" s="739" t="s">
        <v>203</v>
      </c>
      <c r="G502" s="739" t="s">
        <v>30</v>
      </c>
      <c r="H502" s="739" t="s">
        <v>160</v>
      </c>
      <c r="I502" s="739" t="s">
        <v>1338</v>
      </c>
      <c r="J502" s="573" t="s">
        <v>1343</v>
      </c>
      <c r="K502" s="573" t="s">
        <v>1344</v>
      </c>
      <c r="L502" s="596" t="s">
        <v>1582</v>
      </c>
      <c r="M502" s="571" t="s">
        <v>2017</v>
      </c>
      <c r="N502" s="571">
        <v>0</v>
      </c>
      <c r="O502" s="570">
        <f t="shared" si="419"/>
        <v>25</v>
      </c>
      <c r="P502" s="569">
        <v>25</v>
      </c>
      <c r="Q502" s="628">
        <v>0.16500000000000001</v>
      </c>
      <c r="R502" s="580">
        <f t="shared" si="381"/>
        <v>0</v>
      </c>
      <c r="S502" s="627">
        <v>0</v>
      </c>
      <c r="T502" s="575">
        <f t="shared" si="420"/>
        <v>0</v>
      </c>
      <c r="U502" s="992">
        <v>0</v>
      </c>
      <c r="V502" s="626">
        <f t="shared" si="421"/>
        <v>0</v>
      </c>
      <c r="W502" s="594">
        <f t="shared" si="422"/>
        <v>0</v>
      </c>
      <c r="X502" s="594">
        <f t="shared" si="382"/>
        <v>0</v>
      </c>
      <c r="Y502" s="594">
        <f t="shared" si="417"/>
        <v>0</v>
      </c>
      <c r="Z502" s="594">
        <f t="shared" si="383"/>
        <v>0</v>
      </c>
      <c r="AA502" s="593">
        <v>0</v>
      </c>
      <c r="AB502" s="593">
        <v>0</v>
      </c>
      <c r="AC502" s="593">
        <v>0</v>
      </c>
      <c r="AD502" s="593">
        <v>0</v>
      </c>
      <c r="AE502" s="593">
        <v>0</v>
      </c>
      <c r="AF502" s="593">
        <v>0</v>
      </c>
      <c r="AG502" s="593">
        <v>0</v>
      </c>
      <c r="AH502" s="593">
        <v>0</v>
      </c>
      <c r="AI502" s="593">
        <v>0</v>
      </c>
      <c r="AJ502" s="593">
        <v>0</v>
      </c>
      <c r="AK502" s="593">
        <v>0</v>
      </c>
      <c r="AL502" s="593">
        <v>0</v>
      </c>
      <c r="AM502" s="593">
        <v>0</v>
      </c>
      <c r="AN502" s="593">
        <v>0</v>
      </c>
      <c r="AO502" s="593">
        <v>0</v>
      </c>
      <c r="AP502" s="593">
        <v>0</v>
      </c>
      <c r="AQ502" s="593">
        <v>0</v>
      </c>
      <c r="AR502" s="593">
        <v>0</v>
      </c>
      <c r="AS502" s="593">
        <v>0</v>
      </c>
      <c r="AT502" s="570">
        <f t="shared" si="384"/>
        <v>0</v>
      </c>
      <c r="AU502" s="571">
        <v>0</v>
      </c>
      <c r="AV502" s="625">
        <f t="shared" si="423"/>
        <v>0</v>
      </c>
      <c r="AW502" s="1011">
        <v>35.950000000000003</v>
      </c>
      <c r="AX502" s="604">
        <f t="shared" si="424"/>
        <v>35.950000000000003</v>
      </c>
      <c r="AY502" s="604">
        <f t="shared" si="425"/>
        <v>0</v>
      </c>
      <c r="AZ502" s="604">
        <f t="shared" si="385"/>
        <v>0</v>
      </c>
      <c r="BA502" s="592">
        <f t="shared" si="386"/>
        <v>0</v>
      </c>
      <c r="BB502" s="592">
        <f t="shared" si="387"/>
        <v>100</v>
      </c>
      <c r="BC502" s="591">
        <v>0</v>
      </c>
      <c r="BD502" s="591">
        <v>0</v>
      </c>
      <c r="BE502" s="591">
        <v>0</v>
      </c>
      <c r="BF502" s="591">
        <v>0</v>
      </c>
      <c r="BG502" s="591">
        <v>0</v>
      </c>
      <c r="BH502" s="591">
        <v>0</v>
      </c>
      <c r="BI502" s="591">
        <v>0</v>
      </c>
      <c r="BJ502" s="591">
        <v>0</v>
      </c>
      <c r="BK502" s="624">
        <v>544999822</v>
      </c>
      <c r="BL502" s="589">
        <v>544999822</v>
      </c>
      <c r="BM502" s="589">
        <v>0</v>
      </c>
      <c r="BN502" s="589">
        <v>0</v>
      </c>
      <c r="BO502" s="589">
        <v>0</v>
      </c>
      <c r="BP502" s="589">
        <v>0</v>
      </c>
      <c r="BQ502" s="589">
        <v>0</v>
      </c>
      <c r="BR502" s="589">
        <v>0</v>
      </c>
      <c r="BS502" s="589">
        <v>0</v>
      </c>
      <c r="BT502" s="589">
        <v>0</v>
      </c>
      <c r="BU502" s="589">
        <v>0</v>
      </c>
      <c r="BV502" s="588">
        <f t="shared" si="388"/>
        <v>8.2500000000000004E-2</v>
      </c>
      <c r="BW502" s="588">
        <v>12.5</v>
      </c>
      <c r="BX502" s="623">
        <f t="shared" si="426"/>
        <v>0.5</v>
      </c>
      <c r="BY502" s="607">
        <v>0</v>
      </c>
      <c r="BZ502" s="629">
        <v>0</v>
      </c>
      <c r="CA502" s="1017">
        <v>6.8000001907348633</v>
      </c>
      <c r="CB502" s="557">
        <f t="shared" si="427"/>
        <v>6.8000001907348633</v>
      </c>
      <c r="CC502" s="557">
        <f t="shared" si="428"/>
        <v>54.400001525878906</v>
      </c>
      <c r="CD502" s="622">
        <f t="shared" si="389"/>
        <v>54.400001525878906</v>
      </c>
      <c r="CE502" s="621">
        <f t="shared" si="390"/>
        <v>4.4880001258850104E-2</v>
      </c>
      <c r="CF502" s="605">
        <f t="shared" si="391"/>
        <v>54.400001525878906</v>
      </c>
      <c r="CG502" s="621">
        <f t="shared" si="392"/>
        <v>4.4880001258850104E-2</v>
      </c>
      <c r="CH502" s="553">
        <f t="shared" si="393"/>
        <v>8.2500000000000004E-2</v>
      </c>
      <c r="CI502" s="552">
        <v>12.5</v>
      </c>
      <c r="CJ502" s="551">
        <f t="shared" si="429"/>
        <v>0.5</v>
      </c>
      <c r="CK502" s="871">
        <v>0</v>
      </c>
      <c r="CL502" s="533">
        <f t="shared" si="433"/>
        <v>12.5</v>
      </c>
      <c r="CM502" s="619">
        <f t="shared" si="430"/>
        <v>0</v>
      </c>
      <c r="CN502" s="619">
        <f t="shared" si="431"/>
        <v>0</v>
      </c>
      <c r="CO502" s="549">
        <f t="shared" si="394"/>
        <v>0</v>
      </c>
      <c r="CP502" s="619">
        <f t="shared" si="395"/>
        <v>0</v>
      </c>
      <c r="CQ502" s="619">
        <f t="shared" si="396"/>
        <v>0</v>
      </c>
      <c r="CR502" s="546">
        <v>325000000</v>
      </c>
      <c r="CS502" s="546">
        <v>325000000</v>
      </c>
      <c r="CT502" s="546">
        <v>0</v>
      </c>
      <c r="CU502" s="546">
        <v>0</v>
      </c>
      <c r="CV502" s="546">
        <v>0</v>
      </c>
      <c r="CW502" s="546">
        <v>0</v>
      </c>
      <c r="CX502" s="546">
        <v>0</v>
      </c>
      <c r="CY502" s="546">
        <v>0</v>
      </c>
      <c r="CZ502" s="618">
        <v>0</v>
      </c>
      <c r="DA502" s="618">
        <v>0</v>
      </c>
      <c r="DB502" s="618">
        <v>0</v>
      </c>
      <c r="DC502" s="618">
        <v>0</v>
      </c>
      <c r="DD502" s="618">
        <v>0</v>
      </c>
      <c r="DE502" s="618">
        <v>0</v>
      </c>
      <c r="DF502" s="618">
        <v>0</v>
      </c>
      <c r="DG502" s="618">
        <v>0</v>
      </c>
      <c r="DH502" s="618">
        <v>0</v>
      </c>
      <c r="DI502" s="618">
        <v>0</v>
      </c>
      <c r="DJ502" s="618">
        <v>0</v>
      </c>
      <c r="DK502" s="1034">
        <f t="shared" si="432"/>
        <v>42.750000190734866</v>
      </c>
      <c r="DL502" s="543">
        <f t="shared" si="397"/>
        <v>0.16500000000000001</v>
      </c>
      <c r="DM502" s="542">
        <f t="shared" si="398"/>
        <v>171.00000076293946</v>
      </c>
      <c r="DN502" s="594">
        <f t="shared" si="399"/>
        <v>100</v>
      </c>
      <c r="DO502" s="540">
        <f t="shared" si="400"/>
        <v>0.16500000000000001</v>
      </c>
      <c r="DP502" s="597">
        <f t="shared" si="418"/>
        <v>0.16500000000000001</v>
      </c>
      <c r="DQ502" s="538">
        <f t="shared" si="401"/>
        <v>0.16500000000000001</v>
      </c>
      <c r="DR502" s="617">
        <f t="shared" si="402"/>
        <v>1</v>
      </c>
      <c r="DS502" s="616">
        <f t="shared" si="403"/>
        <v>0</v>
      </c>
      <c r="DT502" s="259">
        <v>623</v>
      </c>
      <c r="DU502" s="260" t="s">
        <v>245</v>
      </c>
      <c r="DV502" s="259"/>
      <c r="DW502" s="260" t="s">
        <v>242</v>
      </c>
      <c r="DX502" s="259"/>
      <c r="DY502" s="259"/>
      <c r="DZ502" s="259"/>
      <c r="EA502" s="987"/>
      <c r="EB502" s="1041" t="s">
        <v>2803</v>
      </c>
      <c r="EC502" s="802">
        <v>325000000</v>
      </c>
      <c r="EE502" s="1047"/>
    </row>
    <row r="503" spans="4:135" s="534" customFormat="1" ht="102" hidden="1" x14ac:dyDescent="0.3">
      <c r="D503" s="783">
        <v>500</v>
      </c>
      <c r="E503" s="799">
        <v>571</v>
      </c>
      <c r="F503" s="739" t="s">
        <v>203</v>
      </c>
      <c r="G503" s="739" t="s">
        <v>30</v>
      </c>
      <c r="H503" s="739" t="s">
        <v>160</v>
      </c>
      <c r="I503" s="739" t="s">
        <v>1338</v>
      </c>
      <c r="J503" s="573" t="s">
        <v>1343</v>
      </c>
      <c r="K503" s="573" t="s">
        <v>1345</v>
      </c>
      <c r="L503" s="596" t="s">
        <v>1582</v>
      </c>
      <c r="M503" s="571" t="s">
        <v>2017</v>
      </c>
      <c r="N503" s="571">
        <v>30</v>
      </c>
      <c r="O503" s="570">
        <f t="shared" si="419"/>
        <v>65</v>
      </c>
      <c r="P503" s="569">
        <v>35</v>
      </c>
      <c r="Q503" s="628">
        <v>0.16500000000000001</v>
      </c>
      <c r="R503" s="580">
        <f t="shared" si="381"/>
        <v>0</v>
      </c>
      <c r="S503" s="627">
        <v>0</v>
      </c>
      <c r="T503" s="575">
        <f t="shared" si="420"/>
        <v>0</v>
      </c>
      <c r="U503" s="992">
        <v>0</v>
      </c>
      <c r="V503" s="626">
        <f t="shared" si="421"/>
        <v>0</v>
      </c>
      <c r="W503" s="594">
        <f t="shared" si="422"/>
        <v>0</v>
      </c>
      <c r="X503" s="594">
        <f t="shared" si="382"/>
        <v>0</v>
      </c>
      <c r="Y503" s="594">
        <f t="shared" si="417"/>
        <v>0</v>
      </c>
      <c r="Z503" s="594">
        <f t="shared" si="383"/>
        <v>0</v>
      </c>
      <c r="AA503" s="593">
        <v>0</v>
      </c>
      <c r="AB503" s="593">
        <v>0</v>
      </c>
      <c r="AC503" s="593">
        <v>0</v>
      </c>
      <c r="AD503" s="593">
        <v>0</v>
      </c>
      <c r="AE503" s="593">
        <v>0</v>
      </c>
      <c r="AF503" s="593">
        <v>0</v>
      </c>
      <c r="AG503" s="593">
        <v>0</v>
      </c>
      <c r="AH503" s="593">
        <v>0</v>
      </c>
      <c r="AI503" s="593">
        <v>0</v>
      </c>
      <c r="AJ503" s="593">
        <v>0</v>
      </c>
      <c r="AK503" s="593">
        <v>0</v>
      </c>
      <c r="AL503" s="593">
        <v>0</v>
      </c>
      <c r="AM503" s="593">
        <v>0</v>
      </c>
      <c r="AN503" s="593">
        <v>0</v>
      </c>
      <c r="AO503" s="593">
        <v>0</v>
      </c>
      <c r="AP503" s="593">
        <v>0</v>
      </c>
      <c r="AQ503" s="593">
        <v>0</v>
      </c>
      <c r="AR503" s="593">
        <v>0</v>
      </c>
      <c r="AS503" s="593">
        <v>0</v>
      </c>
      <c r="AT503" s="570">
        <f t="shared" si="384"/>
        <v>0</v>
      </c>
      <c r="AU503" s="571">
        <v>0</v>
      </c>
      <c r="AV503" s="625">
        <f t="shared" si="423"/>
        <v>0</v>
      </c>
      <c r="AW503" s="1003">
        <v>16</v>
      </c>
      <c r="AX503" s="604">
        <f t="shared" si="424"/>
        <v>16</v>
      </c>
      <c r="AY503" s="604">
        <f t="shared" si="425"/>
        <v>0</v>
      </c>
      <c r="AZ503" s="604">
        <f t="shared" si="385"/>
        <v>0</v>
      </c>
      <c r="BA503" s="592">
        <f t="shared" si="386"/>
        <v>0</v>
      </c>
      <c r="BB503" s="592">
        <f t="shared" si="387"/>
        <v>100</v>
      </c>
      <c r="BC503" s="591">
        <v>0</v>
      </c>
      <c r="BD503" s="591">
        <v>0</v>
      </c>
      <c r="BE503" s="591">
        <v>0</v>
      </c>
      <c r="BF503" s="591">
        <v>0</v>
      </c>
      <c r="BG503" s="591">
        <v>0</v>
      </c>
      <c r="BH503" s="591">
        <v>0</v>
      </c>
      <c r="BI503" s="591">
        <v>0</v>
      </c>
      <c r="BJ503" s="591">
        <v>0</v>
      </c>
      <c r="BK503" s="624">
        <v>2600907115</v>
      </c>
      <c r="BL503" s="589">
        <v>2600907115</v>
      </c>
      <c r="BM503" s="589">
        <v>0</v>
      </c>
      <c r="BN503" s="589">
        <v>0</v>
      </c>
      <c r="BO503" s="589">
        <v>0</v>
      </c>
      <c r="BP503" s="589">
        <v>0</v>
      </c>
      <c r="BQ503" s="589">
        <v>0</v>
      </c>
      <c r="BR503" s="589">
        <v>0</v>
      </c>
      <c r="BS503" s="589">
        <v>0</v>
      </c>
      <c r="BT503" s="589">
        <v>0</v>
      </c>
      <c r="BU503" s="589">
        <v>0</v>
      </c>
      <c r="BV503" s="588">
        <f t="shared" si="388"/>
        <v>8.2500000000000004E-2</v>
      </c>
      <c r="BW503" s="588">
        <v>17.5</v>
      </c>
      <c r="BX503" s="623">
        <f t="shared" si="426"/>
        <v>0.5</v>
      </c>
      <c r="BY503" s="607">
        <v>0</v>
      </c>
      <c r="BZ503" s="629">
        <v>0</v>
      </c>
      <c r="CA503" s="1017">
        <v>13.300000190734863</v>
      </c>
      <c r="CB503" s="557">
        <f t="shared" si="427"/>
        <v>13.300000190734863</v>
      </c>
      <c r="CC503" s="557">
        <f t="shared" si="428"/>
        <v>76.000001089913511</v>
      </c>
      <c r="CD503" s="622">
        <f t="shared" si="389"/>
        <v>76.000001089913511</v>
      </c>
      <c r="CE503" s="621">
        <f t="shared" si="390"/>
        <v>6.2700000899178654E-2</v>
      </c>
      <c r="CF503" s="605">
        <f t="shared" si="391"/>
        <v>76.000001089913511</v>
      </c>
      <c r="CG503" s="621">
        <f t="shared" si="392"/>
        <v>6.2700000899178654E-2</v>
      </c>
      <c r="CH503" s="553">
        <f t="shared" si="393"/>
        <v>8.2500000000000004E-2</v>
      </c>
      <c r="CI503" s="552">
        <v>17.5</v>
      </c>
      <c r="CJ503" s="551">
        <f t="shared" si="429"/>
        <v>0.5</v>
      </c>
      <c r="CK503" s="874">
        <v>8</v>
      </c>
      <c r="CL503" s="533">
        <f t="shared" si="433"/>
        <v>9.5</v>
      </c>
      <c r="CM503" s="619">
        <f t="shared" si="430"/>
        <v>8</v>
      </c>
      <c r="CN503" s="619">
        <f t="shared" si="431"/>
        <v>45.714285714285715</v>
      </c>
      <c r="CO503" s="549">
        <f t="shared" si="394"/>
        <v>45.714285714285715</v>
      </c>
      <c r="CP503" s="619">
        <f t="shared" si="395"/>
        <v>3.7714285714285721E-2</v>
      </c>
      <c r="CQ503" s="619">
        <f t="shared" si="396"/>
        <v>3.7714285714285721E-2</v>
      </c>
      <c r="CR503" s="546">
        <v>400000000</v>
      </c>
      <c r="CS503" s="546">
        <v>400000000</v>
      </c>
      <c r="CT503" s="546">
        <v>0</v>
      </c>
      <c r="CU503" s="546">
        <v>0</v>
      </c>
      <c r="CV503" s="546">
        <v>0</v>
      </c>
      <c r="CW503" s="546">
        <v>0</v>
      </c>
      <c r="CX503" s="546">
        <v>0</v>
      </c>
      <c r="CY503" s="546">
        <v>0</v>
      </c>
      <c r="CZ503" s="618">
        <v>0</v>
      </c>
      <c r="DA503" s="618">
        <v>0</v>
      </c>
      <c r="DB503" s="618">
        <v>0</v>
      </c>
      <c r="DC503" s="618">
        <v>0</v>
      </c>
      <c r="DD503" s="618">
        <v>0</v>
      </c>
      <c r="DE503" s="618">
        <v>0</v>
      </c>
      <c r="DF503" s="618">
        <v>0</v>
      </c>
      <c r="DG503" s="618">
        <v>0</v>
      </c>
      <c r="DH503" s="618">
        <v>0</v>
      </c>
      <c r="DI503" s="618">
        <v>0</v>
      </c>
      <c r="DJ503" s="618">
        <v>0</v>
      </c>
      <c r="DK503" s="1034">
        <f t="shared" si="432"/>
        <v>37.300000190734863</v>
      </c>
      <c r="DL503" s="543">
        <f t="shared" si="397"/>
        <v>0.16500000000000001</v>
      </c>
      <c r="DM503" s="542">
        <f t="shared" si="398"/>
        <v>106.57142911638532</v>
      </c>
      <c r="DN503" s="594">
        <f t="shared" si="399"/>
        <v>100</v>
      </c>
      <c r="DO503" s="540">
        <f t="shared" si="400"/>
        <v>0.16500000000000001</v>
      </c>
      <c r="DP503" s="597">
        <f t="shared" si="418"/>
        <v>0.16500000000000001</v>
      </c>
      <c r="DQ503" s="538">
        <f t="shared" si="401"/>
        <v>0.16500000000000001</v>
      </c>
      <c r="DR503" s="617">
        <f t="shared" si="402"/>
        <v>1</v>
      </c>
      <c r="DS503" s="616">
        <f t="shared" si="403"/>
        <v>0</v>
      </c>
      <c r="DT503" s="259">
        <v>623</v>
      </c>
      <c r="DU503" s="260" t="s">
        <v>245</v>
      </c>
      <c r="DV503" s="259"/>
      <c r="DW503" s="260" t="s">
        <v>242</v>
      </c>
      <c r="DX503" s="259"/>
      <c r="DY503" s="259"/>
      <c r="DZ503" s="259"/>
      <c r="EA503" s="987"/>
      <c r="EB503" s="1041" t="s">
        <v>2804</v>
      </c>
      <c r="EC503" s="802">
        <v>400000000</v>
      </c>
      <c r="EE503" s="1047"/>
    </row>
    <row r="504" spans="4:135" s="534" customFormat="1" ht="89.25" hidden="1" x14ac:dyDescent="0.3">
      <c r="D504" s="783">
        <v>501</v>
      </c>
      <c r="E504" s="799">
        <v>572</v>
      </c>
      <c r="F504" s="739" t="s">
        <v>203</v>
      </c>
      <c r="G504" s="739" t="s">
        <v>10</v>
      </c>
      <c r="H504" s="739" t="s">
        <v>160</v>
      </c>
      <c r="I504" s="739" t="s">
        <v>1338</v>
      </c>
      <c r="J504" s="573" t="s">
        <v>1346</v>
      </c>
      <c r="K504" s="573" t="s">
        <v>1498</v>
      </c>
      <c r="L504" s="596" t="s">
        <v>1582</v>
      </c>
      <c r="M504" s="571" t="s">
        <v>2017</v>
      </c>
      <c r="N504" s="571">
        <v>29</v>
      </c>
      <c r="O504" s="570">
        <f t="shared" si="419"/>
        <v>100</v>
      </c>
      <c r="P504" s="569">
        <f>71</f>
        <v>71</v>
      </c>
      <c r="Q504" s="628">
        <v>0.25</v>
      </c>
      <c r="R504" s="580">
        <f t="shared" si="381"/>
        <v>5.6338028169014086E-2</v>
      </c>
      <c r="S504" s="627">
        <v>16</v>
      </c>
      <c r="T504" s="642">
        <f t="shared" si="420"/>
        <v>0.22535211267605634</v>
      </c>
      <c r="U504" s="992">
        <v>25</v>
      </c>
      <c r="V504" s="626">
        <f t="shared" si="421"/>
        <v>25</v>
      </c>
      <c r="W504" s="594">
        <f t="shared" si="422"/>
        <v>156.25</v>
      </c>
      <c r="X504" s="594">
        <f t="shared" si="382"/>
        <v>100</v>
      </c>
      <c r="Y504" s="594">
        <f t="shared" si="417"/>
        <v>5.6338028169014093E-2</v>
      </c>
      <c r="Z504" s="594">
        <f t="shared" si="383"/>
        <v>100</v>
      </c>
      <c r="AA504" s="593">
        <v>0</v>
      </c>
      <c r="AB504" s="593">
        <v>0</v>
      </c>
      <c r="AC504" s="593">
        <v>0</v>
      </c>
      <c r="AD504" s="593">
        <v>0</v>
      </c>
      <c r="AE504" s="593">
        <v>0</v>
      </c>
      <c r="AF504" s="593">
        <v>0</v>
      </c>
      <c r="AG504" s="593">
        <v>0</v>
      </c>
      <c r="AH504" s="593">
        <v>0</v>
      </c>
      <c r="AI504" s="593">
        <v>0</v>
      </c>
      <c r="AJ504" s="593">
        <v>0</v>
      </c>
      <c r="AK504" s="593">
        <v>0</v>
      </c>
      <c r="AL504" s="593">
        <v>0</v>
      </c>
      <c r="AM504" s="593">
        <v>0</v>
      </c>
      <c r="AN504" s="593">
        <v>0</v>
      </c>
      <c r="AO504" s="593">
        <v>0</v>
      </c>
      <c r="AP504" s="593">
        <v>0</v>
      </c>
      <c r="AQ504" s="593">
        <v>0</v>
      </c>
      <c r="AR504" s="593">
        <v>0</v>
      </c>
      <c r="AS504" s="593">
        <v>0</v>
      </c>
      <c r="AT504" s="570">
        <f t="shared" si="384"/>
        <v>7.0422535211267609E-2</v>
      </c>
      <c r="AU504" s="571">
        <v>20</v>
      </c>
      <c r="AV504" s="625">
        <f t="shared" si="423"/>
        <v>0.28169014084507044</v>
      </c>
      <c r="AW504" s="1003">
        <v>17</v>
      </c>
      <c r="AX504" s="604">
        <f t="shared" si="424"/>
        <v>17</v>
      </c>
      <c r="AY504" s="604">
        <f t="shared" si="425"/>
        <v>85</v>
      </c>
      <c r="AZ504" s="604">
        <f t="shared" si="385"/>
        <v>85</v>
      </c>
      <c r="BA504" s="592">
        <f t="shared" si="386"/>
        <v>5.9859154929577468E-2</v>
      </c>
      <c r="BB504" s="592">
        <f t="shared" si="387"/>
        <v>85</v>
      </c>
      <c r="BC504" s="591">
        <v>2102000000</v>
      </c>
      <c r="BD504" s="591">
        <v>2102000000</v>
      </c>
      <c r="BE504" s="591">
        <v>0</v>
      </c>
      <c r="BF504" s="591">
        <v>0</v>
      </c>
      <c r="BG504" s="591">
        <v>0</v>
      </c>
      <c r="BH504" s="591">
        <v>0</v>
      </c>
      <c r="BI504" s="591">
        <v>0</v>
      </c>
      <c r="BJ504" s="591">
        <v>0</v>
      </c>
      <c r="BK504" s="624">
        <v>1649000000</v>
      </c>
      <c r="BL504" s="589">
        <v>1649000000</v>
      </c>
      <c r="BM504" s="589">
        <v>0</v>
      </c>
      <c r="BN504" s="589">
        <v>0</v>
      </c>
      <c r="BO504" s="589">
        <v>0</v>
      </c>
      <c r="BP504" s="589">
        <v>0</v>
      </c>
      <c r="BQ504" s="589">
        <v>0</v>
      </c>
      <c r="BR504" s="589">
        <v>0</v>
      </c>
      <c r="BS504" s="589">
        <v>0</v>
      </c>
      <c r="BT504" s="589">
        <v>0</v>
      </c>
      <c r="BU504" s="589">
        <v>0</v>
      </c>
      <c r="BV504" s="588">
        <f t="shared" si="388"/>
        <v>7.0422535211267609E-2</v>
      </c>
      <c r="BW504" s="588">
        <v>20</v>
      </c>
      <c r="BX504" s="623">
        <f t="shared" si="426"/>
        <v>0.28169014084507044</v>
      </c>
      <c r="BY504" s="607">
        <v>50</v>
      </c>
      <c r="BZ504" s="629">
        <v>10</v>
      </c>
      <c r="CA504" s="1017">
        <v>22</v>
      </c>
      <c r="CB504" s="557">
        <f t="shared" si="427"/>
        <v>22</v>
      </c>
      <c r="CC504" s="557">
        <f t="shared" si="428"/>
        <v>110</v>
      </c>
      <c r="CD504" s="622">
        <f t="shared" si="389"/>
        <v>100</v>
      </c>
      <c r="CE504" s="621">
        <f t="shared" si="390"/>
        <v>7.0422535211267609E-2</v>
      </c>
      <c r="CF504" s="605">
        <f t="shared" si="391"/>
        <v>100</v>
      </c>
      <c r="CG504" s="621">
        <f t="shared" si="392"/>
        <v>7.7464788732394374E-2</v>
      </c>
      <c r="CH504" s="553">
        <f t="shared" si="393"/>
        <v>5.2816901408450703E-2</v>
      </c>
      <c r="CI504" s="552">
        <v>15</v>
      </c>
      <c r="CJ504" s="551">
        <f t="shared" si="429"/>
        <v>0.21126760563380281</v>
      </c>
      <c r="CK504" s="874">
        <v>14.25</v>
      </c>
      <c r="CL504" s="533">
        <f t="shared" si="433"/>
        <v>0.75</v>
      </c>
      <c r="CM504" s="619">
        <f t="shared" si="430"/>
        <v>14.25</v>
      </c>
      <c r="CN504" s="619">
        <f t="shared" si="431"/>
        <v>95</v>
      </c>
      <c r="CO504" s="549">
        <f t="shared" si="394"/>
        <v>95</v>
      </c>
      <c r="CP504" s="619">
        <f t="shared" si="395"/>
        <v>5.0176056338028172E-2</v>
      </c>
      <c r="CQ504" s="619">
        <f t="shared" si="396"/>
        <v>5.0176056338028172E-2</v>
      </c>
      <c r="CR504" s="546">
        <v>4850000000</v>
      </c>
      <c r="CS504" s="546">
        <v>0</v>
      </c>
      <c r="CT504" s="546">
        <v>4850000000</v>
      </c>
      <c r="CU504" s="546">
        <v>0</v>
      </c>
      <c r="CV504" s="546">
        <v>0</v>
      </c>
      <c r="CW504" s="546">
        <v>0</v>
      </c>
      <c r="CX504" s="546">
        <v>0</v>
      </c>
      <c r="CY504" s="546">
        <v>0</v>
      </c>
      <c r="CZ504" s="618">
        <v>0</v>
      </c>
      <c r="DA504" s="618">
        <v>0</v>
      </c>
      <c r="DB504" s="618">
        <v>0</v>
      </c>
      <c r="DC504" s="618">
        <v>0</v>
      </c>
      <c r="DD504" s="618">
        <v>0</v>
      </c>
      <c r="DE504" s="618">
        <v>0</v>
      </c>
      <c r="DF504" s="618">
        <v>0</v>
      </c>
      <c r="DG504" s="618">
        <v>0</v>
      </c>
      <c r="DH504" s="618">
        <v>0</v>
      </c>
      <c r="DI504" s="618">
        <v>0</v>
      </c>
      <c r="DJ504" s="618">
        <v>0</v>
      </c>
      <c r="DK504" s="1034">
        <f t="shared" si="432"/>
        <v>78.25</v>
      </c>
      <c r="DL504" s="543">
        <f t="shared" si="397"/>
        <v>0.25</v>
      </c>
      <c r="DM504" s="542">
        <f t="shared" si="398"/>
        <v>110.21126760563381</v>
      </c>
      <c r="DN504" s="594">
        <f t="shared" si="399"/>
        <v>100</v>
      </c>
      <c r="DO504" s="540">
        <f t="shared" si="400"/>
        <v>0.25</v>
      </c>
      <c r="DP504" s="597">
        <f t="shared" si="418"/>
        <v>0.25</v>
      </c>
      <c r="DQ504" s="538">
        <f t="shared" si="401"/>
        <v>0.25</v>
      </c>
      <c r="DR504" s="617">
        <f t="shared" si="402"/>
        <v>1</v>
      </c>
      <c r="DS504" s="616">
        <f t="shared" si="403"/>
        <v>0</v>
      </c>
      <c r="DT504" s="259">
        <v>621</v>
      </c>
      <c r="DU504" s="260" t="s">
        <v>247</v>
      </c>
      <c r="DV504" s="259"/>
      <c r="DW504" s="260" t="s">
        <v>242</v>
      </c>
      <c r="DX504" s="259"/>
      <c r="DY504" s="259"/>
      <c r="DZ504" s="259"/>
      <c r="EA504" s="987"/>
      <c r="EB504" s="1041" t="s">
        <v>2805</v>
      </c>
      <c r="EC504" s="802">
        <v>4850000000</v>
      </c>
      <c r="EE504" s="1047"/>
    </row>
    <row r="505" spans="4:135" s="534" customFormat="1" ht="63.75" hidden="1" x14ac:dyDescent="0.3">
      <c r="D505" s="783">
        <v>502</v>
      </c>
      <c r="E505" s="799">
        <v>573</v>
      </c>
      <c r="F505" s="739" t="s">
        <v>203</v>
      </c>
      <c r="G505" s="739" t="s">
        <v>30</v>
      </c>
      <c r="H505" s="739" t="s">
        <v>160</v>
      </c>
      <c r="I505" s="739" t="s">
        <v>1338</v>
      </c>
      <c r="J505" s="573" t="s">
        <v>1347</v>
      </c>
      <c r="K505" s="573" t="s">
        <v>1348</v>
      </c>
      <c r="L505" s="596" t="s">
        <v>1582</v>
      </c>
      <c r="M505" s="571" t="s">
        <v>2017</v>
      </c>
      <c r="N505" s="571">
        <v>43</v>
      </c>
      <c r="O505" s="570">
        <f t="shared" si="419"/>
        <v>70</v>
      </c>
      <c r="P505" s="569">
        <v>27</v>
      </c>
      <c r="Q505" s="628">
        <v>0.16500000000000001</v>
      </c>
      <c r="R505" s="580">
        <f t="shared" si="381"/>
        <v>0</v>
      </c>
      <c r="S505" s="627">
        <v>0</v>
      </c>
      <c r="T505" s="575">
        <f t="shared" ref="T505:T536" si="434">IF($M505="M",0.25,(IF($P505&gt;0,S505/$P505," ")))</f>
        <v>0</v>
      </c>
      <c r="U505" s="992">
        <v>0</v>
      </c>
      <c r="V505" s="626">
        <f t="shared" ref="V505:V536" si="435">+IF(M505="I",(+U505),IF(M505="M",(+U505)/4,))</f>
        <v>0</v>
      </c>
      <c r="W505" s="594">
        <f t="shared" ref="W505:W541" si="436">IF(S505=0,0,+U505*100/S505)</f>
        <v>0</v>
      </c>
      <c r="X505" s="594">
        <f t="shared" si="382"/>
        <v>0</v>
      </c>
      <c r="Y505" s="594">
        <f t="shared" si="417"/>
        <v>0</v>
      </c>
      <c r="Z505" s="594">
        <f t="shared" si="383"/>
        <v>0</v>
      </c>
      <c r="AA505" s="593">
        <v>0</v>
      </c>
      <c r="AB505" s="593">
        <v>0</v>
      </c>
      <c r="AC505" s="593">
        <v>0</v>
      </c>
      <c r="AD505" s="593">
        <v>0</v>
      </c>
      <c r="AE505" s="593">
        <v>0</v>
      </c>
      <c r="AF505" s="593">
        <v>0</v>
      </c>
      <c r="AG505" s="593">
        <v>0</v>
      </c>
      <c r="AH505" s="593">
        <v>0</v>
      </c>
      <c r="AI505" s="593">
        <v>0</v>
      </c>
      <c r="AJ505" s="593">
        <v>0</v>
      </c>
      <c r="AK505" s="593">
        <v>0</v>
      </c>
      <c r="AL505" s="593">
        <v>0</v>
      </c>
      <c r="AM505" s="593">
        <v>0</v>
      </c>
      <c r="AN505" s="593">
        <v>0</v>
      </c>
      <c r="AO505" s="593">
        <v>0</v>
      </c>
      <c r="AP505" s="593">
        <v>0</v>
      </c>
      <c r="AQ505" s="593">
        <v>0</v>
      </c>
      <c r="AR505" s="593">
        <v>0</v>
      </c>
      <c r="AS505" s="593">
        <v>0</v>
      </c>
      <c r="AT505" s="570">
        <f t="shared" si="384"/>
        <v>7.9444444444444443E-2</v>
      </c>
      <c r="AU505" s="571">
        <v>13</v>
      </c>
      <c r="AV505" s="625">
        <f t="shared" ref="AV505:AV536" si="437">IF($M505="M",0.25,(IF($P505&gt;0,AU505/$P505," ")))</f>
        <v>0.48148148148148145</v>
      </c>
      <c r="AW505" s="1003">
        <v>12.9</v>
      </c>
      <c r="AX505" s="604">
        <f t="shared" ref="AX505:AX536" si="438">+IF(M505="I",(+AW505),IF(M505="M",(+AW505)/4,))</f>
        <v>12.9</v>
      </c>
      <c r="AY505" s="604">
        <f t="shared" ref="AY505:AY541" si="439">IF(AU505=0,0,+AW505*100/AU505)</f>
        <v>99.230769230769226</v>
      </c>
      <c r="AZ505" s="604">
        <f t="shared" si="385"/>
        <v>99.230769230769226</v>
      </c>
      <c r="BA505" s="592">
        <f t="shared" si="386"/>
        <v>7.8833333333333325E-2</v>
      </c>
      <c r="BB505" s="592">
        <f t="shared" si="387"/>
        <v>99.230769230769226</v>
      </c>
      <c r="BC505" s="591">
        <v>300000000</v>
      </c>
      <c r="BD505" s="591">
        <v>0</v>
      </c>
      <c r="BE505" s="591">
        <v>300000000</v>
      </c>
      <c r="BF505" s="591">
        <v>0</v>
      </c>
      <c r="BG505" s="591">
        <v>0</v>
      </c>
      <c r="BH505" s="591">
        <v>0</v>
      </c>
      <c r="BI505" s="591">
        <v>0</v>
      </c>
      <c r="BJ505" s="591">
        <v>0</v>
      </c>
      <c r="BK505" s="624">
        <v>0</v>
      </c>
      <c r="BL505" s="589">
        <v>0</v>
      </c>
      <c r="BM505" s="589">
        <v>0</v>
      </c>
      <c r="BN505" s="589">
        <v>0</v>
      </c>
      <c r="BO505" s="589">
        <v>0</v>
      </c>
      <c r="BP505" s="589">
        <v>0</v>
      </c>
      <c r="BQ505" s="589">
        <v>0</v>
      </c>
      <c r="BR505" s="589">
        <v>0</v>
      </c>
      <c r="BS505" s="589">
        <v>0</v>
      </c>
      <c r="BT505" s="589">
        <v>0</v>
      </c>
      <c r="BU505" s="589">
        <v>0</v>
      </c>
      <c r="BV505" s="588">
        <f t="shared" si="388"/>
        <v>8.5555555555555551E-2</v>
      </c>
      <c r="BW505" s="588">
        <v>14</v>
      </c>
      <c r="BX505" s="623">
        <f t="shared" ref="BX505:BX536" si="440">IF($M505="M",0.25,(IF($P505&gt;0,BW505/$P505," ")))</f>
        <v>0.51851851851851849</v>
      </c>
      <c r="BY505" s="607">
        <v>0</v>
      </c>
      <c r="BZ505" s="629">
        <v>0</v>
      </c>
      <c r="CA505" s="1017">
        <v>58.200000762939453</v>
      </c>
      <c r="CB505" s="557">
        <f t="shared" ref="CB505:CB536" si="441">+IF(M505="I",(+CA505),IF(M505="M",(+CA505)/4,))</f>
        <v>58.200000762939453</v>
      </c>
      <c r="CC505" s="557">
        <f t="shared" ref="CC505:CC541" si="442">IF(BW505=0,0,+CA505*100/BW505)</f>
        <v>415.71429116385326</v>
      </c>
      <c r="CD505" s="622">
        <f t="shared" si="389"/>
        <v>100</v>
      </c>
      <c r="CE505" s="621">
        <f t="shared" si="390"/>
        <v>8.5555555555555551E-2</v>
      </c>
      <c r="CF505" s="605">
        <f t="shared" si="391"/>
        <v>100</v>
      </c>
      <c r="CG505" s="621">
        <f t="shared" si="392"/>
        <v>0.35566667132907442</v>
      </c>
      <c r="CH505" s="553">
        <f t="shared" si="393"/>
        <v>0</v>
      </c>
      <c r="CI505" s="552">
        <v>0</v>
      </c>
      <c r="CJ505" s="551">
        <f t="shared" ref="CJ505:CJ536" si="443">IF($M505="M",0.25,(IF($P505&gt;0,CI505/$P505," ")))</f>
        <v>0</v>
      </c>
      <c r="CK505" s="871">
        <v>0</v>
      </c>
      <c r="CL505" s="533">
        <f t="shared" si="433"/>
        <v>0</v>
      </c>
      <c r="CM505" s="619">
        <f t="shared" ref="CM505:CM531" si="444">+IF(M505="I",(+CK505),IF(M505="M",(+CK505)/4,))</f>
        <v>0</v>
      </c>
      <c r="CN505" s="619">
        <f t="shared" ref="CN505:CN541" si="445">IF(CI505=0,0,+CK505*100/CI505)</f>
        <v>0</v>
      </c>
      <c r="CO505" s="549">
        <f t="shared" si="394"/>
        <v>0</v>
      </c>
      <c r="CP505" s="619">
        <f t="shared" si="395"/>
        <v>0</v>
      </c>
      <c r="CQ505" s="619">
        <f t="shared" si="396"/>
        <v>0</v>
      </c>
      <c r="CR505" s="546">
        <v>0</v>
      </c>
      <c r="CS505" s="546">
        <v>0</v>
      </c>
      <c r="CT505" s="546">
        <v>0</v>
      </c>
      <c r="CU505" s="546">
        <v>0</v>
      </c>
      <c r="CV505" s="546">
        <v>0</v>
      </c>
      <c r="CW505" s="546">
        <v>0</v>
      </c>
      <c r="CX505" s="546">
        <v>0</v>
      </c>
      <c r="CY505" s="546">
        <v>0</v>
      </c>
      <c r="CZ505" s="618">
        <v>0</v>
      </c>
      <c r="DA505" s="618">
        <v>0</v>
      </c>
      <c r="DB505" s="618">
        <v>0</v>
      </c>
      <c r="DC505" s="618">
        <v>0</v>
      </c>
      <c r="DD505" s="618">
        <v>0</v>
      </c>
      <c r="DE505" s="618">
        <v>0</v>
      </c>
      <c r="DF505" s="618">
        <v>0</v>
      </c>
      <c r="DG505" s="618">
        <v>0</v>
      </c>
      <c r="DH505" s="618">
        <v>0</v>
      </c>
      <c r="DI505" s="618">
        <v>0</v>
      </c>
      <c r="DJ505" s="618">
        <v>0</v>
      </c>
      <c r="DK505" s="1034">
        <f t="shared" ref="DK505:DK537" si="446">+IF(M505="I",(+U505+AW505+CA505+CK505),IF(M505="M",(+U505+AW505+CA505+CK505)/4,))</f>
        <v>71.100000762939459</v>
      </c>
      <c r="DL505" s="543">
        <f t="shared" si="397"/>
        <v>0.16499999999999998</v>
      </c>
      <c r="DM505" s="542">
        <f t="shared" si="398"/>
        <v>263.33333615903507</v>
      </c>
      <c r="DN505" s="594">
        <f t="shared" si="399"/>
        <v>100</v>
      </c>
      <c r="DO505" s="540">
        <f t="shared" si="400"/>
        <v>0.16500000000000001</v>
      </c>
      <c r="DP505" s="597">
        <f t="shared" si="418"/>
        <v>0.16500000000000001</v>
      </c>
      <c r="DQ505" s="538">
        <f t="shared" si="401"/>
        <v>0.16500000000000001</v>
      </c>
      <c r="DR505" s="617">
        <f t="shared" si="402"/>
        <v>1</v>
      </c>
      <c r="DS505" s="616">
        <f t="shared" si="403"/>
        <v>1.3877787807814457E-17</v>
      </c>
      <c r="DT505" s="259">
        <v>623</v>
      </c>
      <c r="DU505" s="260" t="s">
        <v>245</v>
      </c>
      <c r="DV505" s="259"/>
      <c r="DW505" s="260" t="s">
        <v>242</v>
      </c>
      <c r="DX505" s="259"/>
      <c r="DY505" s="259"/>
      <c r="DZ505" s="259"/>
      <c r="EA505" s="987"/>
      <c r="EB505" s="1041" t="s">
        <v>2806</v>
      </c>
      <c r="EC505" s="802">
        <v>277000000</v>
      </c>
      <c r="EE505" s="1047"/>
    </row>
    <row r="506" spans="4:135" s="534" customFormat="1" ht="84" hidden="1" x14ac:dyDescent="0.3">
      <c r="D506" s="783">
        <v>503</v>
      </c>
      <c r="E506" s="799">
        <v>575</v>
      </c>
      <c r="F506" s="739" t="s">
        <v>203</v>
      </c>
      <c r="G506" s="739" t="s">
        <v>8</v>
      </c>
      <c r="H506" s="739" t="s">
        <v>160</v>
      </c>
      <c r="I506" s="739" t="s">
        <v>1338</v>
      </c>
      <c r="J506" s="573" t="s">
        <v>1476</v>
      </c>
      <c r="K506" s="573" t="s">
        <v>1349</v>
      </c>
      <c r="L506" s="596" t="s">
        <v>2046</v>
      </c>
      <c r="M506" s="571" t="s">
        <v>2017</v>
      </c>
      <c r="N506" s="571">
        <v>0</v>
      </c>
      <c r="O506" s="570">
        <f t="shared" si="419"/>
        <v>52000</v>
      </c>
      <c r="P506" s="569">
        <v>52000</v>
      </c>
      <c r="Q506" s="628">
        <v>0.33</v>
      </c>
      <c r="R506" s="580">
        <f t="shared" si="381"/>
        <v>3.2308269230769238E-2</v>
      </c>
      <c r="S506" s="627">
        <v>5091</v>
      </c>
      <c r="T506" s="642">
        <f t="shared" si="434"/>
        <v>9.7903846153846161E-2</v>
      </c>
      <c r="U506" s="992">
        <v>5091</v>
      </c>
      <c r="V506" s="626">
        <f t="shared" si="435"/>
        <v>5091</v>
      </c>
      <c r="W506" s="594">
        <f t="shared" si="436"/>
        <v>100</v>
      </c>
      <c r="X506" s="594">
        <f t="shared" si="382"/>
        <v>100</v>
      </c>
      <c r="Y506" s="594">
        <f t="shared" si="417"/>
        <v>3.2308269230769238E-2</v>
      </c>
      <c r="Z506" s="594">
        <f t="shared" si="383"/>
        <v>100</v>
      </c>
      <c r="AA506" s="593">
        <v>5455000000</v>
      </c>
      <c r="AB506" s="593">
        <v>5455000000</v>
      </c>
      <c r="AC506" s="593">
        <v>0</v>
      </c>
      <c r="AD506" s="593">
        <v>0</v>
      </c>
      <c r="AE506" s="593">
        <v>0</v>
      </c>
      <c r="AF506" s="593">
        <v>0</v>
      </c>
      <c r="AG506" s="593">
        <v>0</v>
      </c>
      <c r="AH506" s="593">
        <v>0</v>
      </c>
      <c r="AI506" s="593">
        <v>0</v>
      </c>
      <c r="AJ506" s="593">
        <v>0</v>
      </c>
      <c r="AK506" s="593">
        <v>0</v>
      </c>
      <c r="AL506" s="593">
        <v>0</v>
      </c>
      <c r="AM506" s="593">
        <v>0</v>
      </c>
      <c r="AN506" s="593">
        <v>0</v>
      </c>
      <c r="AO506" s="593">
        <v>0</v>
      </c>
      <c r="AP506" s="593">
        <v>0</v>
      </c>
      <c r="AQ506" s="593">
        <v>0</v>
      </c>
      <c r="AR506" s="593">
        <v>0</v>
      </c>
      <c r="AS506" s="546" t="s">
        <v>2045</v>
      </c>
      <c r="AT506" s="570">
        <f t="shared" si="384"/>
        <v>0.10828442307692307</v>
      </c>
      <c r="AU506" s="571">
        <v>17063</v>
      </c>
      <c r="AV506" s="625">
        <f t="shared" si="437"/>
        <v>0.32813461538461536</v>
      </c>
      <c r="AW506" s="1003">
        <v>17063</v>
      </c>
      <c r="AX506" s="604">
        <f t="shared" si="438"/>
        <v>17063</v>
      </c>
      <c r="AY506" s="604">
        <f t="shared" si="439"/>
        <v>100</v>
      </c>
      <c r="AZ506" s="604">
        <f t="shared" si="385"/>
        <v>100</v>
      </c>
      <c r="BA506" s="592">
        <f t="shared" si="386"/>
        <v>0.10828442307692306</v>
      </c>
      <c r="BB506" s="592">
        <f t="shared" si="387"/>
        <v>100</v>
      </c>
      <c r="BC506" s="591">
        <v>14500000000</v>
      </c>
      <c r="BD506" s="591">
        <v>0</v>
      </c>
      <c r="BE506" s="591">
        <v>3900000000</v>
      </c>
      <c r="BF506" s="591">
        <v>0</v>
      </c>
      <c r="BG506" s="591">
        <v>0</v>
      </c>
      <c r="BH506" s="591">
        <v>0</v>
      </c>
      <c r="BI506" s="591">
        <v>0</v>
      </c>
      <c r="BJ506" s="591">
        <v>10600000</v>
      </c>
      <c r="BK506" s="624">
        <v>5063709619</v>
      </c>
      <c r="BL506" s="589">
        <v>5063709619</v>
      </c>
      <c r="BM506" s="589">
        <v>0</v>
      </c>
      <c r="BN506" s="589">
        <v>0</v>
      </c>
      <c r="BO506" s="589">
        <v>0</v>
      </c>
      <c r="BP506" s="589">
        <v>0</v>
      </c>
      <c r="BQ506" s="589">
        <v>0</v>
      </c>
      <c r="BR506" s="589">
        <v>0</v>
      </c>
      <c r="BS506" s="589">
        <v>0</v>
      </c>
      <c r="BT506" s="589">
        <v>5206393000</v>
      </c>
      <c r="BU506" s="589" t="s">
        <v>2044</v>
      </c>
      <c r="BV506" s="588">
        <f t="shared" si="388"/>
        <v>9.5192307692307687E-2</v>
      </c>
      <c r="BW506" s="588">
        <v>15000</v>
      </c>
      <c r="BX506" s="623">
        <f t="shared" si="440"/>
        <v>0.28846153846153844</v>
      </c>
      <c r="BY506" s="607">
        <v>909</v>
      </c>
      <c r="BZ506" s="629">
        <v>909</v>
      </c>
      <c r="CA506" s="1017">
        <v>909</v>
      </c>
      <c r="CB506" s="557">
        <f t="shared" si="441"/>
        <v>909</v>
      </c>
      <c r="CC506" s="557">
        <f t="shared" si="442"/>
        <v>6.06</v>
      </c>
      <c r="CD506" s="622">
        <f t="shared" si="389"/>
        <v>6.06</v>
      </c>
      <c r="CE506" s="621">
        <f t="shared" si="390"/>
        <v>5.7686538461538452E-3</v>
      </c>
      <c r="CF506" s="605">
        <f t="shared" si="391"/>
        <v>6.06</v>
      </c>
      <c r="CG506" s="621">
        <f t="shared" si="392"/>
        <v>5.7686538461538452E-3</v>
      </c>
      <c r="CH506" s="553">
        <f t="shared" si="393"/>
        <v>9.4214999999999993E-2</v>
      </c>
      <c r="CI506" s="552">
        <v>14846</v>
      </c>
      <c r="CJ506" s="551">
        <f t="shared" si="443"/>
        <v>0.28549999999999998</v>
      </c>
      <c r="CK506" s="871">
        <v>7336</v>
      </c>
      <c r="CL506" s="533">
        <f t="shared" si="433"/>
        <v>7510</v>
      </c>
      <c r="CM506" s="619">
        <f t="shared" si="444"/>
        <v>7336</v>
      </c>
      <c r="CN506" s="619">
        <f t="shared" si="445"/>
        <v>49.413983564596528</v>
      </c>
      <c r="CO506" s="549">
        <f t="shared" si="394"/>
        <v>49.413983564596528</v>
      </c>
      <c r="CP506" s="619">
        <f t="shared" si="395"/>
        <v>4.6555384615384617E-2</v>
      </c>
      <c r="CQ506" s="619">
        <f t="shared" si="396"/>
        <v>4.6555384615384617E-2</v>
      </c>
      <c r="CR506" s="546">
        <v>19600000000</v>
      </c>
      <c r="CS506" s="546">
        <v>9000000000</v>
      </c>
      <c r="CT506" s="546">
        <v>0</v>
      </c>
      <c r="CU506" s="546">
        <v>0</v>
      </c>
      <c r="CV506" s="546">
        <v>0</v>
      </c>
      <c r="CW506" s="546">
        <v>0</v>
      </c>
      <c r="CX506" s="546">
        <v>0</v>
      </c>
      <c r="CY506" s="546">
        <v>10600000</v>
      </c>
      <c r="CZ506" s="618">
        <v>0</v>
      </c>
      <c r="DA506" s="618">
        <v>0</v>
      </c>
      <c r="DB506" s="618">
        <v>0</v>
      </c>
      <c r="DC506" s="618">
        <v>0</v>
      </c>
      <c r="DD506" s="618">
        <v>0</v>
      </c>
      <c r="DE506" s="618">
        <v>0</v>
      </c>
      <c r="DF506" s="618">
        <v>0</v>
      </c>
      <c r="DG506" s="618">
        <v>0</v>
      </c>
      <c r="DH506" s="618">
        <v>0</v>
      </c>
      <c r="DI506" s="618">
        <v>0</v>
      </c>
      <c r="DJ506" s="618">
        <v>0</v>
      </c>
      <c r="DK506" s="1034">
        <f t="shared" si="446"/>
        <v>30399</v>
      </c>
      <c r="DL506" s="543">
        <f t="shared" si="397"/>
        <v>0.32999999999999996</v>
      </c>
      <c r="DM506" s="542">
        <f t="shared" si="398"/>
        <v>58.459615384615383</v>
      </c>
      <c r="DN506" s="594">
        <f t="shared" si="399"/>
        <v>58.459615384615383</v>
      </c>
      <c r="DO506" s="540">
        <f t="shared" si="400"/>
        <v>0.1929167307692308</v>
      </c>
      <c r="DP506" s="597">
        <f t="shared" si="418"/>
        <v>0.1929167307692308</v>
      </c>
      <c r="DQ506" s="538">
        <f t="shared" si="401"/>
        <v>0.1929167307692308</v>
      </c>
      <c r="DR506" s="617">
        <f t="shared" si="402"/>
        <v>0.99999999999999989</v>
      </c>
      <c r="DS506" s="616">
        <f t="shared" si="403"/>
        <v>0</v>
      </c>
      <c r="DT506" s="259">
        <v>75</v>
      </c>
      <c r="DU506" s="260" t="s">
        <v>390</v>
      </c>
      <c r="DV506" s="259">
        <v>76</v>
      </c>
      <c r="DW506" s="260" t="s">
        <v>289</v>
      </c>
      <c r="DX506" s="259">
        <v>77</v>
      </c>
      <c r="DY506" s="259"/>
      <c r="DZ506" s="259"/>
      <c r="EA506" s="987"/>
      <c r="EB506" s="1041" t="s">
        <v>2807</v>
      </c>
      <c r="EC506" s="802">
        <v>19600000000</v>
      </c>
      <c r="EE506" s="1047"/>
    </row>
    <row r="507" spans="4:135" s="534" customFormat="1" ht="102" hidden="1" x14ac:dyDescent="0.3">
      <c r="D507" s="783">
        <v>504</v>
      </c>
      <c r="E507" s="799">
        <v>576</v>
      </c>
      <c r="F507" s="739" t="s">
        <v>203</v>
      </c>
      <c r="G507" s="739" t="s">
        <v>28</v>
      </c>
      <c r="H507" s="739" t="s">
        <v>160</v>
      </c>
      <c r="I507" s="739" t="s">
        <v>1338</v>
      </c>
      <c r="J507" s="573" t="s">
        <v>1350</v>
      </c>
      <c r="K507" s="573" t="s">
        <v>1351</v>
      </c>
      <c r="L507" s="596" t="s">
        <v>1582</v>
      </c>
      <c r="M507" s="571" t="s">
        <v>2017</v>
      </c>
      <c r="N507" s="571">
        <v>0</v>
      </c>
      <c r="O507" s="570">
        <f t="shared" si="419"/>
        <v>45</v>
      </c>
      <c r="P507" s="569">
        <v>45</v>
      </c>
      <c r="Q507" s="628">
        <v>0.16500000000000001</v>
      </c>
      <c r="R507" s="580">
        <f t="shared" si="381"/>
        <v>3.6666666666666667E-2</v>
      </c>
      <c r="S507" s="627">
        <v>10</v>
      </c>
      <c r="T507" s="643">
        <f t="shared" si="434"/>
        <v>0.22222222222222221</v>
      </c>
      <c r="U507" s="992">
        <v>13</v>
      </c>
      <c r="V507" s="626">
        <f t="shared" si="435"/>
        <v>13</v>
      </c>
      <c r="W507" s="594">
        <f t="shared" si="436"/>
        <v>130</v>
      </c>
      <c r="X507" s="594">
        <f t="shared" si="382"/>
        <v>100</v>
      </c>
      <c r="Y507" s="594">
        <f t="shared" si="417"/>
        <v>3.6666666666666667E-2</v>
      </c>
      <c r="Z507" s="594">
        <f t="shared" si="383"/>
        <v>100</v>
      </c>
      <c r="AA507" s="593">
        <v>0</v>
      </c>
      <c r="AB507" s="593">
        <v>0</v>
      </c>
      <c r="AC507" s="593">
        <v>0</v>
      </c>
      <c r="AD507" s="593">
        <v>0</v>
      </c>
      <c r="AE507" s="593">
        <v>0</v>
      </c>
      <c r="AF507" s="593">
        <v>0</v>
      </c>
      <c r="AG507" s="593">
        <v>0</v>
      </c>
      <c r="AH507" s="593">
        <v>0</v>
      </c>
      <c r="AI507" s="593">
        <v>7052000000</v>
      </c>
      <c r="AJ507" s="593">
        <v>7052000000</v>
      </c>
      <c r="AK507" s="593">
        <v>0</v>
      </c>
      <c r="AL507" s="593">
        <v>0</v>
      </c>
      <c r="AM507" s="593">
        <v>0</v>
      </c>
      <c r="AN507" s="593">
        <v>0</v>
      </c>
      <c r="AO507" s="593">
        <v>0</v>
      </c>
      <c r="AP507" s="593">
        <v>0</v>
      </c>
      <c r="AQ507" s="593">
        <v>0</v>
      </c>
      <c r="AR507" s="593">
        <v>0</v>
      </c>
      <c r="AS507" s="593">
        <v>0</v>
      </c>
      <c r="AT507" s="570">
        <f t="shared" si="384"/>
        <v>4.4000000000000004E-2</v>
      </c>
      <c r="AU507" s="571">
        <v>12</v>
      </c>
      <c r="AV507" s="625">
        <f t="shared" si="437"/>
        <v>0.26666666666666666</v>
      </c>
      <c r="AW507" s="1003">
        <v>12</v>
      </c>
      <c r="AX507" s="604">
        <f t="shared" si="438"/>
        <v>12</v>
      </c>
      <c r="AY507" s="604">
        <f t="shared" si="439"/>
        <v>100</v>
      </c>
      <c r="AZ507" s="604">
        <f t="shared" si="385"/>
        <v>100</v>
      </c>
      <c r="BA507" s="592">
        <f t="shared" si="386"/>
        <v>4.4000000000000004E-2</v>
      </c>
      <c r="BB507" s="592">
        <f t="shared" si="387"/>
        <v>100</v>
      </c>
      <c r="BC507" s="591">
        <v>0</v>
      </c>
      <c r="BD507" s="591">
        <v>0</v>
      </c>
      <c r="BE507" s="591">
        <v>0</v>
      </c>
      <c r="BF507" s="591">
        <v>0</v>
      </c>
      <c r="BG507" s="591">
        <v>0</v>
      </c>
      <c r="BH507" s="591">
        <v>0</v>
      </c>
      <c r="BI507" s="591">
        <v>0</v>
      </c>
      <c r="BJ507" s="591">
        <v>0</v>
      </c>
      <c r="BK507" s="624">
        <v>7180498445</v>
      </c>
      <c r="BL507" s="589">
        <v>7180498445</v>
      </c>
      <c r="BM507" s="589">
        <v>0</v>
      </c>
      <c r="BN507" s="589">
        <v>0</v>
      </c>
      <c r="BO507" s="589">
        <v>0</v>
      </c>
      <c r="BP507" s="589">
        <v>0</v>
      </c>
      <c r="BQ507" s="589">
        <v>0</v>
      </c>
      <c r="BR507" s="589">
        <v>0</v>
      </c>
      <c r="BS507" s="589">
        <v>0</v>
      </c>
      <c r="BT507" s="589">
        <v>0</v>
      </c>
      <c r="BU507" s="589">
        <v>0</v>
      </c>
      <c r="BV507" s="588">
        <f t="shared" si="388"/>
        <v>2.9333333333333336E-2</v>
      </c>
      <c r="BW507" s="588">
        <v>8</v>
      </c>
      <c r="BX507" s="623">
        <f t="shared" si="440"/>
        <v>0.17777777777777778</v>
      </c>
      <c r="BY507" s="607">
        <v>4</v>
      </c>
      <c r="BZ507" s="629">
        <v>6</v>
      </c>
      <c r="CA507" s="1017">
        <v>8</v>
      </c>
      <c r="CB507" s="557">
        <f t="shared" si="441"/>
        <v>8</v>
      </c>
      <c r="CC507" s="557">
        <f t="shared" si="442"/>
        <v>100</v>
      </c>
      <c r="CD507" s="622">
        <f t="shared" si="389"/>
        <v>100</v>
      </c>
      <c r="CE507" s="621">
        <f t="shared" si="390"/>
        <v>2.9333333333333336E-2</v>
      </c>
      <c r="CF507" s="605">
        <f t="shared" si="391"/>
        <v>100</v>
      </c>
      <c r="CG507" s="621">
        <f t="shared" si="392"/>
        <v>2.9333333333333336E-2</v>
      </c>
      <c r="CH507" s="553">
        <f t="shared" si="393"/>
        <v>5.5E-2</v>
      </c>
      <c r="CI507" s="552">
        <v>15</v>
      </c>
      <c r="CJ507" s="551">
        <f t="shared" si="443"/>
        <v>0.33333333333333331</v>
      </c>
      <c r="CK507" s="871">
        <v>12</v>
      </c>
      <c r="CL507" s="533">
        <f t="shared" si="433"/>
        <v>3</v>
      </c>
      <c r="CM507" s="619">
        <f t="shared" si="444"/>
        <v>12</v>
      </c>
      <c r="CN507" s="619">
        <f t="shared" si="445"/>
        <v>80</v>
      </c>
      <c r="CO507" s="549">
        <f t="shared" si="394"/>
        <v>80</v>
      </c>
      <c r="CP507" s="619">
        <f t="shared" si="395"/>
        <v>4.4000000000000004E-2</v>
      </c>
      <c r="CQ507" s="619">
        <f t="shared" si="396"/>
        <v>4.4000000000000004E-2</v>
      </c>
      <c r="CR507" s="546">
        <v>0</v>
      </c>
      <c r="CS507" s="546">
        <v>0</v>
      </c>
      <c r="CT507" s="546">
        <v>0</v>
      </c>
      <c r="CU507" s="546">
        <v>0</v>
      </c>
      <c r="CV507" s="546">
        <v>0</v>
      </c>
      <c r="CW507" s="546">
        <v>0</v>
      </c>
      <c r="CX507" s="546">
        <v>0</v>
      </c>
      <c r="CY507" s="546">
        <v>0</v>
      </c>
      <c r="CZ507" s="618">
        <v>0</v>
      </c>
      <c r="DA507" s="618">
        <v>0</v>
      </c>
      <c r="DB507" s="618">
        <v>0</v>
      </c>
      <c r="DC507" s="618">
        <v>0</v>
      </c>
      <c r="DD507" s="618">
        <v>0</v>
      </c>
      <c r="DE507" s="618">
        <v>0</v>
      </c>
      <c r="DF507" s="618">
        <v>0</v>
      </c>
      <c r="DG507" s="618">
        <v>0</v>
      </c>
      <c r="DH507" s="618">
        <v>0</v>
      </c>
      <c r="DI507" s="618">
        <v>0</v>
      </c>
      <c r="DJ507" s="618">
        <v>0</v>
      </c>
      <c r="DK507" s="1034">
        <f t="shared" si="446"/>
        <v>45</v>
      </c>
      <c r="DL507" s="543">
        <f t="shared" si="397"/>
        <v>0.16500000000000001</v>
      </c>
      <c r="DM507" s="542">
        <f t="shared" si="398"/>
        <v>100</v>
      </c>
      <c r="DN507" s="594">
        <f t="shared" si="399"/>
        <v>100</v>
      </c>
      <c r="DO507" s="540">
        <f t="shared" si="400"/>
        <v>0.16500000000000001</v>
      </c>
      <c r="DP507" s="597">
        <f t="shared" si="418"/>
        <v>0.16500000000000001</v>
      </c>
      <c r="DQ507" s="538">
        <f t="shared" si="401"/>
        <v>0.16500000000000001</v>
      </c>
      <c r="DR507" s="617">
        <f t="shared" si="402"/>
        <v>1</v>
      </c>
      <c r="DS507" s="616">
        <f t="shared" si="403"/>
        <v>0</v>
      </c>
      <c r="DT507" s="259">
        <v>612</v>
      </c>
      <c r="DU507" s="260" t="s">
        <v>255</v>
      </c>
      <c r="DV507" s="259"/>
      <c r="DW507" s="260" t="s">
        <v>242</v>
      </c>
      <c r="DX507" s="259"/>
      <c r="DY507" s="259"/>
      <c r="DZ507" s="259"/>
      <c r="EA507" s="987"/>
      <c r="EB507" s="1041" t="s">
        <v>2808</v>
      </c>
      <c r="EC507" s="802">
        <v>0</v>
      </c>
      <c r="EE507" s="1047"/>
    </row>
    <row r="508" spans="4:135" s="534" customFormat="1" ht="63.75" hidden="1" x14ac:dyDescent="0.3">
      <c r="D508" s="783">
        <v>505</v>
      </c>
      <c r="E508" s="799">
        <v>577</v>
      </c>
      <c r="F508" s="739" t="s">
        <v>203</v>
      </c>
      <c r="G508" s="739" t="s">
        <v>30</v>
      </c>
      <c r="H508" s="739" t="s">
        <v>160</v>
      </c>
      <c r="I508" s="739" t="s">
        <v>1352</v>
      </c>
      <c r="J508" s="573" t="s">
        <v>1353</v>
      </c>
      <c r="K508" s="573" t="s">
        <v>1354</v>
      </c>
      <c r="L508" s="596" t="s">
        <v>2040</v>
      </c>
      <c r="M508" s="571" t="s">
        <v>2017</v>
      </c>
      <c r="N508" s="571">
        <v>0</v>
      </c>
      <c r="O508" s="570">
        <f t="shared" si="419"/>
        <v>830</v>
      </c>
      <c r="P508" s="569">
        <v>830</v>
      </c>
      <c r="Q508" s="628">
        <v>0.33</v>
      </c>
      <c r="R508" s="580">
        <f t="shared" si="381"/>
        <v>8.2301204819277121E-2</v>
      </c>
      <c r="S508" s="627">
        <v>207</v>
      </c>
      <c r="T508" s="575">
        <f t="shared" si="434"/>
        <v>0.24939759036144579</v>
      </c>
      <c r="U508" s="992">
        <v>0</v>
      </c>
      <c r="V508" s="626">
        <f t="shared" si="435"/>
        <v>0</v>
      </c>
      <c r="W508" s="594">
        <f t="shared" si="436"/>
        <v>0</v>
      </c>
      <c r="X508" s="594">
        <f t="shared" si="382"/>
        <v>0</v>
      </c>
      <c r="Y508" s="594">
        <f t="shared" si="417"/>
        <v>0</v>
      </c>
      <c r="Z508" s="594">
        <f t="shared" si="383"/>
        <v>0</v>
      </c>
      <c r="AA508" s="593">
        <v>3000000000</v>
      </c>
      <c r="AB508" s="593">
        <v>600000000</v>
      </c>
      <c r="AC508" s="593">
        <v>2400000000</v>
      </c>
      <c r="AD508" s="593">
        <v>0</v>
      </c>
      <c r="AE508" s="593">
        <v>0</v>
      </c>
      <c r="AF508" s="593">
        <v>0</v>
      </c>
      <c r="AG508" s="593">
        <v>0</v>
      </c>
      <c r="AH508" s="593">
        <v>0</v>
      </c>
      <c r="AI508" s="593">
        <v>2844000000</v>
      </c>
      <c r="AJ508" s="593">
        <v>579000000</v>
      </c>
      <c r="AK508" s="593">
        <v>2265000000</v>
      </c>
      <c r="AL508" s="593">
        <v>0</v>
      </c>
      <c r="AM508" s="593">
        <v>0</v>
      </c>
      <c r="AN508" s="593">
        <v>0</v>
      </c>
      <c r="AO508" s="593">
        <v>0</v>
      </c>
      <c r="AP508" s="593">
        <v>0</v>
      </c>
      <c r="AQ508" s="593">
        <v>0</v>
      </c>
      <c r="AR508" s="593">
        <v>837000000</v>
      </c>
      <c r="AS508" s="593" t="s">
        <v>2035</v>
      </c>
      <c r="AT508" s="570">
        <f t="shared" si="384"/>
        <v>8.2301204819277121E-2</v>
      </c>
      <c r="AU508" s="571">
        <v>207</v>
      </c>
      <c r="AV508" s="625">
        <f t="shared" si="437"/>
        <v>0.24939759036144579</v>
      </c>
      <c r="AW508" s="1003">
        <v>407</v>
      </c>
      <c r="AX508" s="604">
        <f t="shared" si="438"/>
        <v>407</v>
      </c>
      <c r="AY508" s="604">
        <f t="shared" si="439"/>
        <v>196.61835748792271</v>
      </c>
      <c r="AZ508" s="604">
        <f t="shared" si="385"/>
        <v>100</v>
      </c>
      <c r="BA508" s="592">
        <f t="shared" si="386"/>
        <v>8.2301204819277107E-2</v>
      </c>
      <c r="BB508" s="592">
        <f t="shared" si="387"/>
        <v>100</v>
      </c>
      <c r="BC508" s="591">
        <v>24157000000</v>
      </c>
      <c r="BD508" s="591">
        <v>1209000000</v>
      </c>
      <c r="BE508" s="591">
        <v>4450000000</v>
      </c>
      <c r="BF508" s="591">
        <v>0</v>
      </c>
      <c r="BG508" s="591">
        <v>0</v>
      </c>
      <c r="BH508" s="591">
        <v>0</v>
      </c>
      <c r="BI508" s="591">
        <v>0</v>
      </c>
      <c r="BJ508" s="591">
        <v>18498000</v>
      </c>
      <c r="BK508" s="624">
        <v>1768878793</v>
      </c>
      <c r="BL508" s="589">
        <v>1768878793</v>
      </c>
      <c r="BM508" s="589">
        <v>0</v>
      </c>
      <c r="BN508" s="589">
        <v>0</v>
      </c>
      <c r="BO508" s="589">
        <v>0</v>
      </c>
      <c r="BP508" s="589">
        <v>0</v>
      </c>
      <c r="BQ508" s="589">
        <v>0</v>
      </c>
      <c r="BR508" s="589">
        <v>0</v>
      </c>
      <c r="BS508" s="589">
        <v>0</v>
      </c>
      <c r="BT508" s="589">
        <v>0</v>
      </c>
      <c r="BU508" s="589">
        <v>0</v>
      </c>
      <c r="BV508" s="588">
        <f t="shared" si="388"/>
        <v>8.2301204819277121E-2</v>
      </c>
      <c r="BW508" s="588">
        <v>207</v>
      </c>
      <c r="BX508" s="623">
        <f t="shared" si="440"/>
        <v>0.24939759036144579</v>
      </c>
      <c r="BY508" s="607">
        <v>513</v>
      </c>
      <c r="BZ508" s="629">
        <v>760</v>
      </c>
      <c r="CA508" s="1017">
        <v>808</v>
      </c>
      <c r="CB508" s="557">
        <f t="shared" si="441"/>
        <v>808</v>
      </c>
      <c r="CC508" s="557">
        <f t="shared" si="442"/>
        <v>390.33816425120773</v>
      </c>
      <c r="CD508" s="622">
        <f t="shared" si="389"/>
        <v>100</v>
      </c>
      <c r="CE508" s="621">
        <f t="shared" si="390"/>
        <v>8.2301204819277107E-2</v>
      </c>
      <c r="CF508" s="605">
        <f t="shared" si="391"/>
        <v>100</v>
      </c>
      <c r="CG508" s="621">
        <f t="shared" si="392"/>
        <v>0.32125301204819279</v>
      </c>
      <c r="CH508" s="553">
        <f t="shared" si="393"/>
        <v>8.309638554216868E-2</v>
      </c>
      <c r="CI508" s="552">
        <v>209</v>
      </c>
      <c r="CJ508" s="551">
        <f t="shared" si="443"/>
        <v>0.25180722891566265</v>
      </c>
      <c r="CK508" s="871">
        <v>685</v>
      </c>
      <c r="CL508" s="533">
        <f t="shared" si="433"/>
        <v>-476</v>
      </c>
      <c r="CM508" s="619">
        <f t="shared" si="444"/>
        <v>685</v>
      </c>
      <c r="CN508" s="619">
        <f t="shared" si="445"/>
        <v>327.7511961722488</v>
      </c>
      <c r="CO508" s="549">
        <f t="shared" si="394"/>
        <v>100</v>
      </c>
      <c r="CP508" s="619">
        <f t="shared" si="395"/>
        <v>8.309638554216868E-2</v>
      </c>
      <c r="CQ508" s="619">
        <f t="shared" si="396"/>
        <v>0.27234939759036147</v>
      </c>
      <c r="CR508" s="546">
        <v>24287000000</v>
      </c>
      <c r="CS508" s="546">
        <v>4450000000</v>
      </c>
      <c r="CT508" s="546">
        <v>1337000000</v>
      </c>
      <c r="CU508" s="546">
        <v>0</v>
      </c>
      <c r="CV508" s="546">
        <v>0</v>
      </c>
      <c r="CW508" s="546">
        <v>0</v>
      </c>
      <c r="CX508" s="546">
        <v>0</v>
      </c>
      <c r="CY508" s="546">
        <v>18500000</v>
      </c>
      <c r="CZ508" s="618">
        <v>0</v>
      </c>
      <c r="DA508" s="618">
        <v>0</v>
      </c>
      <c r="DB508" s="618">
        <v>0</v>
      </c>
      <c r="DC508" s="618">
        <v>0</v>
      </c>
      <c r="DD508" s="618">
        <v>0</v>
      </c>
      <c r="DE508" s="618">
        <v>0</v>
      </c>
      <c r="DF508" s="618">
        <v>0</v>
      </c>
      <c r="DG508" s="618">
        <v>0</v>
      </c>
      <c r="DH508" s="618">
        <v>0</v>
      </c>
      <c r="DI508" s="618">
        <v>0</v>
      </c>
      <c r="DJ508" s="618">
        <v>0</v>
      </c>
      <c r="DK508" s="1034">
        <f t="shared" si="446"/>
        <v>1900</v>
      </c>
      <c r="DL508" s="543">
        <f t="shared" si="397"/>
        <v>0.33000000000000007</v>
      </c>
      <c r="DM508" s="542">
        <f t="shared" si="398"/>
        <v>228.9156626506024</v>
      </c>
      <c r="DN508" s="594">
        <f t="shared" si="399"/>
        <v>100</v>
      </c>
      <c r="DO508" s="540">
        <f t="shared" si="400"/>
        <v>0.33</v>
      </c>
      <c r="DP508" s="597">
        <f t="shared" si="418"/>
        <v>0.33</v>
      </c>
      <c r="DQ508" s="538">
        <f t="shared" si="401"/>
        <v>0.33</v>
      </c>
      <c r="DR508" s="617">
        <f t="shared" si="402"/>
        <v>1</v>
      </c>
      <c r="DS508" s="616">
        <f t="shared" si="403"/>
        <v>0</v>
      </c>
      <c r="DT508" s="259">
        <v>621</v>
      </c>
      <c r="DU508" s="260" t="s">
        <v>247</v>
      </c>
      <c r="DV508" s="259"/>
      <c r="DW508" s="260" t="s">
        <v>242</v>
      </c>
      <c r="DX508" s="259"/>
      <c r="DY508" s="259"/>
      <c r="DZ508" s="259"/>
      <c r="EA508" s="987"/>
      <c r="EB508" s="1041" t="s">
        <v>2809</v>
      </c>
      <c r="EC508" s="802">
        <v>24223000000</v>
      </c>
      <c r="EE508" s="1047"/>
    </row>
    <row r="509" spans="4:135" s="534" customFormat="1" ht="51.75" hidden="1" thickBot="1" x14ac:dyDescent="0.35">
      <c r="D509" s="783">
        <v>506</v>
      </c>
      <c r="E509" s="799">
        <v>578</v>
      </c>
      <c r="F509" s="739" t="s">
        <v>203</v>
      </c>
      <c r="G509" s="739" t="s">
        <v>30</v>
      </c>
      <c r="H509" s="739" t="s">
        <v>160</v>
      </c>
      <c r="I509" s="739" t="s">
        <v>1352</v>
      </c>
      <c r="J509" s="573" t="s">
        <v>1355</v>
      </c>
      <c r="K509" s="573" t="s">
        <v>1356</v>
      </c>
      <c r="L509" s="596" t="s">
        <v>1593</v>
      </c>
      <c r="M509" s="571" t="s">
        <v>2017</v>
      </c>
      <c r="N509" s="571">
        <v>0</v>
      </c>
      <c r="O509" s="570">
        <f t="shared" si="419"/>
        <v>20</v>
      </c>
      <c r="P509" s="569">
        <v>20</v>
      </c>
      <c r="Q509" s="628">
        <v>0.25</v>
      </c>
      <c r="R509" s="580">
        <f t="shared" si="381"/>
        <v>6.25E-2</v>
      </c>
      <c r="S509" s="627">
        <v>5</v>
      </c>
      <c r="T509" s="642">
        <f t="shared" si="434"/>
        <v>0.25</v>
      </c>
      <c r="U509" s="992">
        <v>28</v>
      </c>
      <c r="V509" s="626">
        <f t="shared" si="435"/>
        <v>28</v>
      </c>
      <c r="W509" s="594">
        <f t="shared" si="436"/>
        <v>560</v>
      </c>
      <c r="X509" s="594">
        <f t="shared" si="382"/>
        <v>100</v>
      </c>
      <c r="Y509" s="594">
        <f t="shared" si="417"/>
        <v>6.25E-2</v>
      </c>
      <c r="Z509" s="594">
        <f t="shared" si="383"/>
        <v>100</v>
      </c>
      <c r="AA509" s="593">
        <v>150000000</v>
      </c>
      <c r="AB509" s="593">
        <v>150000000</v>
      </c>
      <c r="AC509" s="593">
        <v>0</v>
      </c>
      <c r="AD509" s="593">
        <v>0</v>
      </c>
      <c r="AE509" s="593">
        <v>0</v>
      </c>
      <c r="AF509" s="593">
        <v>0</v>
      </c>
      <c r="AG509" s="593">
        <v>0</v>
      </c>
      <c r="AH509" s="593">
        <v>0</v>
      </c>
      <c r="AI509" s="593">
        <v>150000000</v>
      </c>
      <c r="AJ509" s="593">
        <v>150000000</v>
      </c>
      <c r="AK509" s="593">
        <v>0</v>
      </c>
      <c r="AL509" s="593">
        <v>0</v>
      </c>
      <c r="AM509" s="593">
        <v>0</v>
      </c>
      <c r="AN509" s="593">
        <v>0</v>
      </c>
      <c r="AO509" s="593">
        <v>0</v>
      </c>
      <c r="AP509" s="593">
        <v>0</v>
      </c>
      <c r="AQ509" s="593">
        <v>0</v>
      </c>
      <c r="AR509" s="593">
        <v>690881000</v>
      </c>
      <c r="AS509" s="593" t="s">
        <v>2035</v>
      </c>
      <c r="AT509" s="570">
        <f t="shared" si="384"/>
        <v>6.25E-2</v>
      </c>
      <c r="AU509" s="571">
        <v>5</v>
      </c>
      <c r="AV509" s="625">
        <f t="shared" si="437"/>
        <v>0.25</v>
      </c>
      <c r="AW509" s="1003">
        <v>0</v>
      </c>
      <c r="AX509" s="604">
        <f t="shared" si="438"/>
        <v>0</v>
      </c>
      <c r="AY509" s="604">
        <f t="shared" si="439"/>
        <v>0</v>
      </c>
      <c r="AZ509" s="604">
        <f t="shared" si="385"/>
        <v>0</v>
      </c>
      <c r="BA509" s="592">
        <f t="shared" si="386"/>
        <v>0</v>
      </c>
      <c r="BB509" s="592">
        <f t="shared" si="387"/>
        <v>0</v>
      </c>
      <c r="BC509" s="591">
        <v>1110000000</v>
      </c>
      <c r="BD509" s="591">
        <v>0</v>
      </c>
      <c r="BE509" s="591">
        <v>500000000</v>
      </c>
      <c r="BF509" s="591">
        <v>0</v>
      </c>
      <c r="BG509" s="591">
        <v>0</v>
      </c>
      <c r="BH509" s="591">
        <v>0</v>
      </c>
      <c r="BI509" s="591">
        <v>0</v>
      </c>
      <c r="BJ509" s="591">
        <v>610000000</v>
      </c>
      <c r="BK509" s="624">
        <v>0</v>
      </c>
      <c r="BL509" s="589">
        <v>0</v>
      </c>
      <c r="BM509" s="589">
        <v>0</v>
      </c>
      <c r="BN509" s="589">
        <v>0</v>
      </c>
      <c r="BO509" s="589">
        <v>0</v>
      </c>
      <c r="BP509" s="589">
        <v>0</v>
      </c>
      <c r="BQ509" s="589">
        <v>0</v>
      </c>
      <c r="BR509" s="589">
        <v>0</v>
      </c>
      <c r="BS509" s="589">
        <v>0</v>
      </c>
      <c r="BT509" s="589">
        <v>0</v>
      </c>
      <c r="BU509" s="589">
        <v>0</v>
      </c>
      <c r="BV509" s="588">
        <f t="shared" si="388"/>
        <v>6.25E-2</v>
      </c>
      <c r="BW509" s="588">
        <v>5</v>
      </c>
      <c r="BX509" s="623">
        <f t="shared" si="440"/>
        <v>0.25</v>
      </c>
      <c r="BY509" s="636">
        <v>0</v>
      </c>
      <c r="BZ509" s="635">
        <v>0</v>
      </c>
      <c r="CA509" s="1017">
        <v>2</v>
      </c>
      <c r="CB509" s="557">
        <f t="shared" si="441"/>
        <v>2</v>
      </c>
      <c r="CC509" s="557">
        <f t="shared" si="442"/>
        <v>40</v>
      </c>
      <c r="CD509" s="622">
        <f t="shared" si="389"/>
        <v>40</v>
      </c>
      <c r="CE509" s="621">
        <f t="shared" si="390"/>
        <v>2.5000000000000001E-2</v>
      </c>
      <c r="CF509" s="605">
        <f t="shared" si="391"/>
        <v>40</v>
      </c>
      <c r="CG509" s="621">
        <f t="shared" si="392"/>
        <v>2.5000000000000001E-2</v>
      </c>
      <c r="CH509" s="553">
        <f t="shared" si="393"/>
        <v>6.25E-2</v>
      </c>
      <c r="CI509" s="552">
        <v>5</v>
      </c>
      <c r="CJ509" s="551">
        <f t="shared" si="443"/>
        <v>0.25</v>
      </c>
      <c r="CK509" s="871">
        <v>0</v>
      </c>
      <c r="CL509" s="533">
        <f t="shared" si="433"/>
        <v>5</v>
      </c>
      <c r="CM509" s="619">
        <f t="shared" si="444"/>
        <v>0</v>
      </c>
      <c r="CN509" s="619">
        <f t="shared" si="445"/>
        <v>0</v>
      </c>
      <c r="CO509" s="549">
        <f t="shared" si="394"/>
        <v>0</v>
      </c>
      <c r="CP509" s="619">
        <f t="shared" si="395"/>
        <v>0</v>
      </c>
      <c r="CQ509" s="619">
        <f t="shared" si="396"/>
        <v>0</v>
      </c>
      <c r="CR509" s="546">
        <v>1093000000</v>
      </c>
      <c r="CS509" s="546">
        <v>481000000</v>
      </c>
      <c r="CT509" s="546">
        <v>0</v>
      </c>
      <c r="CU509" s="546">
        <v>0</v>
      </c>
      <c r="CV509" s="546">
        <v>0</v>
      </c>
      <c r="CW509" s="546">
        <v>0</v>
      </c>
      <c r="CX509" s="546">
        <v>0</v>
      </c>
      <c r="CY509" s="546">
        <v>612000000</v>
      </c>
      <c r="CZ509" s="618">
        <v>0</v>
      </c>
      <c r="DA509" s="618">
        <v>0</v>
      </c>
      <c r="DB509" s="618">
        <v>0</v>
      </c>
      <c r="DC509" s="618">
        <v>0</v>
      </c>
      <c r="DD509" s="618">
        <v>0</v>
      </c>
      <c r="DE509" s="618">
        <v>0</v>
      </c>
      <c r="DF509" s="618">
        <v>0</v>
      </c>
      <c r="DG509" s="618">
        <v>0</v>
      </c>
      <c r="DH509" s="618">
        <v>0</v>
      </c>
      <c r="DI509" s="618">
        <v>0</v>
      </c>
      <c r="DJ509" s="618">
        <v>0</v>
      </c>
      <c r="DK509" s="1034">
        <f t="shared" si="446"/>
        <v>30</v>
      </c>
      <c r="DL509" s="543">
        <f t="shared" si="397"/>
        <v>0.25</v>
      </c>
      <c r="DM509" s="542">
        <f t="shared" si="398"/>
        <v>150</v>
      </c>
      <c r="DN509" s="594">
        <f t="shared" si="399"/>
        <v>100</v>
      </c>
      <c r="DO509" s="540">
        <f t="shared" si="400"/>
        <v>0.25</v>
      </c>
      <c r="DP509" s="597">
        <f t="shared" si="418"/>
        <v>0.25</v>
      </c>
      <c r="DQ509" s="538">
        <f t="shared" si="401"/>
        <v>0.25</v>
      </c>
      <c r="DR509" s="617">
        <f t="shared" si="402"/>
        <v>1</v>
      </c>
      <c r="DS509" s="616">
        <f t="shared" si="403"/>
        <v>0</v>
      </c>
      <c r="DT509" s="259">
        <v>621</v>
      </c>
      <c r="DU509" s="260" t="s">
        <v>247</v>
      </c>
      <c r="DV509" s="259"/>
      <c r="DW509" s="260" t="s">
        <v>242</v>
      </c>
      <c r="DX509" s="259"/>
      <c r="DY509" s="259"/>
      <c r="DZ509" s="259"/>
      <c r="EA509" s="987"/>
      <c r="EB509" s="1041" t="s">
        <v>2810</v>
      </c>
      <c r="EC509" s="802">
        <v>1610000000</v>
      </c>
      <c r="EE509" s="1047"/>
    </row>
    <row r="510" spans="4:135" s="534" customFormat="1" ht="76.5" hidden="1" x14ac:dyDescent="0.3">
      <c r="D510" s="783">
        <v>507</v>
      </c>
      <c r="E510" s="799">
        <v>579</v>
      </c>
      <c r="F510" s="739" t="s">
        <v>203</v>
      </c>
      <c r="G510" s="739" t="s">
        <v>30</v>
      </c>
      <c r="H510" s="739" t="s">
        <v>160</v>
      </c>
      <c r="I510" s="739" t="s">
        <v>1352</v>
      </c>
      <c r="J510" s="573" t="s">
        <v>1357</v>
      </c>
      <c r="K510" s="573" t="s">
        <v>1358</v>
      </c>
      <c r="L510" s="596" t="s">
        <v>2043</v>
      </c>
      <c r="M510" s="571" t="s">
        <v>2017</v>
      </c>
      <c r="N510" s="571">
        <v>0</v>
      </c>
      <c r="O510" s="570">
        <f t="shared" si="419"/>
        <v>1</v>
      </c>
      <c r="P510" s="569">
        <v>1</v>
      </c>
      <c r="Q510" s="628">
        <v>8.8999999999999996E-2</v>
      </c>
      <c r="R510" s="580">
        <f t="shared" si="381"/>
        <v>1.78E-2</v>
      </c>
      <c r="S510" s="627">
        <v>0.2</v>
      </c>
      <c r="T510" s="575">
        <f t="shared" si="434"/>
        <v>0.2</v>
      </c>
      <c r="U510" s="992">
        <v>0</v>
      </c>
      <c r="V510" s="626">
        <f t="shared" si="435"/>
        <v>0</v>
      </c>
      <c r="W510" s="594">
        <f t="shared" si="436"/>
        <v>0</v>
      </c>
      <c r="X510" s="594">
        <f t="shared" si="382"/>
        <v>0</v>
      </c>
      <c r="Y510" s="594">
        <f t="shared" si="417"/>
        <v>0</v>
      </c>
      <c r="Z510" s="594">
        <f t="shared" si="383"/>
        <v>0</v>
      </c>
      <c r="AA510" s="593">
        <v>200000000</v>
      </c>
      <c r="AB510" s="593">
        <v>200000000</v>
      </c>
      <c r="AC510" s="593">
        <v>0</v>
      </c>
      <c r="AD510" s="593">
        <v>0</v>
      </c>
      <c r="AE510" s="593">
        <v>0</v>
      </c>
      <c r="AF510" s="593">
        <v>0</v>
      </c>
      <c r="AG510" s="593">
        <v>0</v>
      </c>
      <c r="AH510" s="593">
        <v>0</v>
      </c>
      <c r="AI510" s="593">
        <v>200000000</v>
      </c>
      <c r="AJ510" s="593">
        <v>200000000</v>
      </c>
      <c r="AK510" s="593">
        <v>0</v>
      </c>
      <c r="AL510" s="593">
        <v>0</v>
      </c>
      <c r="AM510" s="593">
        <v>0</v>
      </c>
      <c r="AN510" s="593">
        <v>0</v>
      </c>
      <c r="AO510" s="593">
        <v>0</v>
      </c>
      <c r="AP510" s="593">
        <v>0</v>
      </c>
      <c r="AQ510" s="593">
        <v>0</v>
      </c>
      <c r="AR510" s="593">
        <v>0</v>
      </c>
      <c r="AS510" s="593">
        <v>0</v>
      </c>
      <c r="AT510" s="570">
        <f t="shared" si="384"/>
        <v>7.1199999999999999E-2</v>
      </c>
      <c r="AU510" s="571">
        <v>0.8</v>
      </c>
      <c r="AV510" s="625">
        <f t="shared" si="437"/>
        <v>0.8</v>
      </c>
      <c r="AW510" s="1003">
        <v>1</v>
      </c>
      <c r="AX510" s="604">
        <f t="shared" si="438"/>
        <v>1</v>
      </c>
      <c r="AY510" s="604">
        <f t="shared" si="439"/>
        <v>125</v>
      </c>
      <c r="AZ510" s="604">
        <f t="shared" si="385"/>
        <v>100</v>
      </c>
      <c r="BA510" s="592">
        <f t="shared" si="386"/>
        <v>7.1199999999999999E-2</v>
      </c>
      <c r="BB510" s="592">
        <f t="shared" si="387"/>
        <v>100</v>
      </c>
      <c r="BC510" s="591">
        <v>500000000</v>
      </c>
      <c r="BD510" s="591">
        <v>0</v>
      </c>
      <c r="BE510" s="591">
        <v>500000000</v>
      </c>
      <c r="BF510" s="591">
        <v>0</v>
      </c>
      <c r="BG510" s="591">
        <v>0</v>
      </c>
      <c r="BH510" s="591">
        <v>0</v>
      </c>
      <c r="BI510" s="591">
        <v>0</v>
      </c>
      <c r="BJ510" s="591">
        <v>0</v>
      </c>
      <c r="BK510" s="624">
        <v>289656824</v>
      </c>
      <c r="BL510" s="589">
        <v>289656824</v>
      </c>
      <c r="BM510" s="589">
        <v>0</v>
      </c>
      <c r="BN510" s="589">
        <v>0</v>
      </c>
      <c r="BO510" s="589">
        <v>0</v>
      </c>
      <c r="BP510" s="589">
        <v>0</v>
      </c>
      <c r="BQ510" s="589">
        <v>0</v>
      </c>
      <c r="BR510" s="589">
        <v>0</v>
      </c>
      <c r="BS510" s="589">
        <v>0</v>
      </c>
      <c r="BT510" s="589">
        <v>0</v>
      </c>
      <c r="BU510" s="589">
        <v>0</v>
      </c>
      <c r="BV510" s="588">
        <f t="shared" si="388"/>
        <v>0</v>
      </c>
      <c r="BW510" s="588">
        <v>0</v>
      </c>
      <c r="BX510" s="623">
        <f t="shared" si="440"/>
        <v>0</v>
      </c>
      <c r="BY510" s="633">
        <v>0</v>
      </c>
      <c r="BZ510" s="641">
        <v>0</v>
      </c>
      <c r="CA510" s="1019">
        <v>0</v>
      </c>
      <c r="CB510" s="557">
        <f t="shared" si="441"/>
        <v>0</v>
      </c>
      <c r="CC510" s="557">
        <f t="shared" si="442"/>
        <v>0</v>
      </c>
      <c r="CD510" s="622">
        <f t="shared" si="389"/>
        <v>0</v>
      </c>
      <c r="CE510" s="621">
        <f t="shared" si="390"/>
        <v>0</v>
      </c>
      <c r="CF510" s="605">
        <f t="shared" si="391"/>
        <v>0</v>
      </c>
      <c r="CG510" s="621">
        <f t="shared" si="392"/>
        <v>0</v>
      </c>
      <c r="CH510" s="553">
        <f t="shared" si="393"/>
        <v>0</v>
      </c>
      <c r="CI510" s="552">
        <v>0</v>
      </c>
      <c r="CJ510" s="551">
        <f t="shared" si="443"/>
        <v>0</v>
      </c>
      <c r="CK510" s="871">
        <v>0</v>
      </c>
      <c r="CL510" s="533">
        <f t="shared" si="433"/>
        <v>0</v>
      </c>
      <c r="CM510" s="619">
        <f t="shared" si="444"/>
        <v>0</v>
      </c>
      <c r="CN510" s="619">
        <f t="shared" si="445"/>
        <v>0</v>
      </c>
      <c r="CO510" s="549">
        <f t="shared" si="394"/>
        <v>0</v>
      </c>
      <c r="CP510" s="619">
        <f t="shared" si="395"/>
        <v>0</v>
      </c>
      <c r="CQ510" s="619">
        <f t="shared" si="396"/>
        <v>0</v>
      </c>
      <c r="CR510" s="546">
        <v>0</v>
      </c>
      <c r="CS510" s="546">
        <v>0</v>
      </c>
      <c r="CT510" s="546">
        <v>0</v>
      </c>
      <c r="CU510" s="546">
        <v>0</v>
      </c>
      <c r="CV510" s="546">
        <v>0</v>
      </c>
      <c r="CW510" s="546">
        <v>0</v>
      </c>
      <c r="CX510" s="546">
        <v>0</v>
      </c>
      <c r="CY510" s="546">
        <v>0</v>
      </c>
      <c r="CZ510" s="618">
        <v>0</v>
      </c>
      <c r="DA510" s="618">
        <v>0</v>
      </c>
      <c r="DB510" s="618">
        <v>0</v>
      </c>
      <c r="DC510" s="618">
        <v>0</v>
      </c>
      <c r="DD510" s="618">
        <v>0</v>
      </c>
      <c r="DE510" s="618">
        <v>0</v>
      </c>
      <c r="DF510" s="618">
        <v>0</v>
      </c>
      <c r="DG510" s="618">
        <v>0</v>
      </c>
      <c r="DH510" s="618">
        <v>0</v>
      </c>
      <c r="DI510" s="618">
        <v>0</v>
      </c>
      <c r="DJ510" s="618">
        <v>0</v>
      </c>
      <c r="DK510" s="1034">
        <f t="shared" si="446"/>
        <v>1</v>
      </c>
      <c r="DL510" s="543">
        <f t="shared" si="397"/>
        <v>8.8999999999999996E-2</v>
      </c>
      <c r="DM510" s="542">
        <f t="shared" si="398"/>
        <v>100</v>
      </c>
      <c r="DN510" s="594">
        <f t="shared" si="399"/>
        <v>100</v>
      </c>
      <c r="DO510" s="540">
        <f t="shared" si="400"/>
        <v>8.900000000000001E-2</v>
      </c>
      <c r="DP510" s="597">
        <f t="shared" si="418"/>
        <v>8.8999999999999996E-2</v>
      </c>
      <c r="DQ510" s="538">
        <f t="shared" si="401"/>
        <v>8.8999999999999996E-2</v>
      </c>
      <c r="DR510" s="617">
        <f t="shared" si="402"/>
        <v>1</v>
      </c>
      <c r="DS510" s="616">
        <f t="shared" si="403"/>
        <v>0</v>
      </c>
      <c r="DT510" s="259">
        <v>621</v>
      </c>
      <c r="DU510" s="260" t="s">
        <v>247</v>
      </c>
      <c r="DV510" s="259"/>
      <c r="DW510" s="260" t="s">
        <v>242</v>
      </c>
      <c r="DX510" s="259"/>
      <c r="DY510" s="259"/>
      <c r="DZ510" s="259"/>
      <c r="EA510" s="987"/>
      <c r="EB510" s="1041" t="s">
        <v>2811</v>
      </c>
      <c r="EC510" s="802">
        <v>0</v>
      </c>
      <c r="EE510" s="1047"/>
    </row>
    <row r="511" spans="4:135" s="534" customFormat="1" ht="51" hidden="1" x14ac:dyDescent="0.3">
      <c r="D511" s="783">
        <v>508</v>
      </c>
      <c r="E511" s="799">
        <v>580</v>
      </c>
      <c r="F511" s="739" t="s">
        <v>203</v>
      </c>
      <c r="G511" s="739" t="s">
        <v>30</v>
      </c>
      <c r="H511" s="739" t="s">
        <v>160</v>
      </c>
      <c r="I511" s="739" t="s">
        <v>1352</v>
      </c>
      <c r="J511" s="573" t="s">
        <v>1359</v>
      </c>
      <c r="K511" s="573" t="s">
        <v>1360</v>
      </c>
      <c r="L511" s="596" t="s">
        <v>2042</v>
      </c>
      <c r="M511" s="628" t="s">
        <v>2017</v>
      </c>
      <c r="N511" s="571">
        <v>0</v>
      </c>
      <c r="O511" s="570">
        <f t="shared" si="419"/>
        <v>8</v>
      </c>
      <c r="P511" s="569">
        <v>8</v>
      </c>
      <c r="Q511" s="628">
        <v>0.25</v>
      </c>
      <c r="R511" s="580">
        <f t="shared" si="381"/>
        <v>3.125E-2</v>
      </c>
      <c r="S511" s="627">
        <v>1</v>
      </c>
      <c r="T511" s="575">
        <f t="shared" si="434"/>
        <v>0.125</v>
      </c>
      <c r="U511" s="992">
        <v>2</v>
      </c>
      <c r="V511" s="626">
        <f t="shared" si="435"/>
        <v>2</v>
      </c>
      <c r="W511" s="594">
        <f t="shared" si="436"/>
        <v>200</v>
      </c>
      <c r="X511" s="594">
        <f t="shared" si="382"/>
        <v>100</v>
      </c>
      <c r="Y511" s="594">
        <f t="shared" si="417"/>
        <v>3.125E-2</v>
      </c>
      <c r="Z511" s="594">
        <f t="shared" si="383"/>
        <v>100</v>
      </c>
      <c r="AA511" s="593">
        <v>700000000</v>
      </c>
      <c r="AB511" s="593">
        <v>700000000</v>
      </c>
      <c r="AC511" s="593">
        <v>0</v>
      </c>
      <c r="AD511" s="593">
        <v>0</v>
      </c>
      <c r="AE511" s="593">
        <v>0</v>
      </c>
      <c r="AF511" s="593">
        <v>0</v>
      </c>
      <c r="AG511" s="593">
        <v>0</v>
      </c>
      <c r="AH511" s="593">
        <v>0</v>
      </c>
      <c r="AI511" s="593">
        <v>200000000</v>
      </c>
      <c r="AJ511" s="593">
        <v>200000000</v>
      </c>
      <c r="AK511" s="593">
        <v>0</v>
      </c>
      <c r="AL511" s="593">
        <v>0</v>
      </c>
      <c r="AM511" s="593">
        <v>0</v>
      </c>
      <c r="AN511" s="593">
        <v>0</v>
      </c>
      <c r="AO511" s="593">
        <v>0</v>
      </c>
      <c r="AP511" s="593">
        <v>0</v>
      </c>
      <c r="AQ511" s="593">
        <v>0</v>
      </c>
      <c r="AR511" s="593">
        <v>0</v>
      </c>
      <c r="AS511" s="593">
        <v>0</v>
      </c>
      <c r="AT511" s="570">
        <f t="shared" si="384"/>
        <v>9.375E-2</v>
      </c>
      <c r="AU511" s="571">
        <v>3</v>
      </c>
      <c r="AV511" s="625">
        <f t="shared" si="437"/>
        <v>0.375</v>
      </c>
      <c r="AW511" s="1003">
        <v>6</v>
      </c>
      <c r="AX511" s="604">
        <f t="shared" si="438"/>
        <v>6</v>
      </c>
      <c r="AY511" s="604">
        <f t="shared" si="439"/>
        <v>200</v>
      </c>
      <c r="AZ511" s="604">
        <f t="shared" si="385"/>
        <v>100</v>
      </c>
      <c r="BA511" s="592">
        <f t="shared" si="386"/>
        <v>9.375E-2</v>
      </c>
      <c r="BB511" s="592">
        <f t="shared" si="387"/>
        <v>100</v>
      </c>
      <c r="BC511" s="591">
        <v>0</v>
      </c>
      <c r="BD511" s="591">
        <v>0</v>
      </c>
      <c r="BE511" s="591">
        <v>0</v>
      </c>
      <c r="BF511" s="591">
        <v>0</v>
      </c>
      <c r="BG511" s="591">
        <v>0</v>
      </c>
      <c r="BH511" s="591">
        <v>0</v>
      </c>
      <c r="BI511" s="591">
        <v>0</v>
      </c>
      <c r="BJ511" s="591">
        <v>0</v>
      </c>
      <c r="BK511" s="624">
        <v>0</v>
      </c>
      <c r="BL511" s="589">
        <v>0</v>
      </c>
      <c r="BM511" s="589">
        <v>0</v>
      </c>
      <c r="BN511" s="589">
        <v>0</v>
      </c>
      <c r="BO511" s="589">
        <v>0</v>
      </c>
      <c r="BP511" s="589">
        <v>0</v>
      </c>
      <c r="BQ511" s="589">
        <v>0</v>
      </c>
      <c r="BR511" s="589">
        <v>0</v>
      </c>
      <c r="BS511" s="589">
        <v>0</v>
      </c>
      <c r="BT511" s="589">
        <v>0</v>
      </c>
      <c r="BU511" s="589">
        <v>0</v>
      </c>
      <c r="BV511" s="588">
        <f t="shared" si="388"/>
        <v>6.25E-2</v>
      </c>
      <c r="BW511" s="588">
        <v>2</v>
      </c>
      <c r="BX511" s="623">
        <f t="shared" si="440"/>
        <v>0.25</v>
      </c>
      <c r="BY511" s="607">
        <v>0</v>
      </c>
      <c r="BZ511" s="629">
        <v>0</v>
      </c>
      <c r="CA511" s="1017" t="s">
        <v>1504</v>
      </c>
      <c r="CB511" s="557" t="str">
        <f t="shared" si="441"/>
        <v>2</v>
      </c>
      <c r="CC511" s="557">
        <f t="shared" si="442"/>
        <v>100</v>
      </c>
      <c r="CD511" s="622">
        <f t="shared" si="389"/>
        <v>100</v>
      </c>
      <c r="CE511" s="621">
        <f t="shared" si="390"/>
        <v>6.25E-2</v>
      </c>
      <c r="CF511" s="605">
        <f t="shared" si="391"/>
        <v>100</v>
      </c>
      <c r="CG511" s="621">
        <f t="shared" si="392"/>
        <v>6.25E-2</v>
      </c>
      <c r="CH511" s="553">
        <f t="shared" si="393"/>
        <v>6.25E-2</v>
      </c>
      <c r="CI511" s="552">
        <v>2</v>
      </c>
      <c r="CJ511" s="551">
        <f t="shared" si="443"/>
        <v>0.25</v>
      </c>
      <c r="CK511" s="871">
        <v>0</v>
      </c>
      <c r="CL511" s="533">
        <f t="shared" si="433"/>
        <v>2</v>
      </c>
      <c r="CM511" s="619">
        <f t="shared" si="444"/>
        <v>0</v>
      </c>
      <c r="CN511" s="619">
        <f t="shared" si="445"/>
        <v>0</v>
      </c>
      <c r="CO511" s="549">
        <f t="shared" si="394"/>
        <v>0</v>
      </c>
      <c r="CP511" s="619">
        <f t="shared" si="395"/>
        <v>0</v>
      </c>
      <c r="CQ511" s="619">
        <f t="shared" si="396"/>
        <v>0</v>
      </c>
      <c r="CR511" s="546">
        <v>0</v>
      </c>
      <c r="CS511" s="546">
        <v>0</v>
      </c>
      <c r="CT511" s="546">
        <v>0</v>
      </c>
      <c r="CU511" s="546">
        <v>0</v>
      </c>
      <c r="CV511" s="546">
        <v>0</v>
      </c>
      <c r="CW511" s="546">
        <v>0</v>
      </c>
      <c r="CX511" s="546">
        <v>0</v>
      </c>
      <c r="CY511" s="546">
        <v>0</v>
      </c>
      <c r="CZ511" s="618">
        <v>0</v>
      </c>
      <c r="DA511" s="618">
        <v>0</v>
      </c>
      <c r="DB511" s="618">
        <v>0</v>
      </c>
      <c r="DC511" s="618">
        <v>0</v>
      </c>
      <c r="DD511" s="618">
        <v>0</v>
      </c>
      <c r="DE511" s="618">
        <v>0</v>
      </c>
      <c r="DF511" s="618">
        <v>0</v>
      </c>
      <c r="DG511" s="618">
        <v>0</v>
      </c>
      <c r="DH511" s="618">
        <v>0</v>
      </c>
      <c r="DI511" s="618">
        <v>0</v>
      </c>
      <c r="DJ511" s="618">
        <v>0</v>
      </c>
      <c r="DK511" s="1034">
        <f t="shared" si="446"/>
        <v>10</v>
      </c>
      <c r="DL511" s="543">
        <f t="shared" si="397"/>
        <v>0.25</v>
      </c>
      <c r="DM511" s="542">
        <f t="shared" si="398"/>
        <v>125</v>
      </c>
      <c r="DN511" s="594">
        <f t="shared" si="399"/>
        <v>100</v>
      </c>
      <c r="DO511" s="540">
        <f t="shared" si="400"/>
        <v>0.25</v>
      </c>
      <c r="DP511" s="597">
        <f t="shared" si="418"/>
        <v>0.25</v>
      </c>
      <c r="DQ511" s="538">
        <f t="shared" si="401"/>
        <v>0.25</v>
      </c>
      <c r="DR511" s="617">
        <f t="shared" si="402"/>
        <v>1</v>
      </c>
      <c r="DS511" s="616">
        <f t="shared" si="403"/>
        <v>0</v>
      </c>
      <c r="DT511" s="259">
        <v>621</v>
      </c>
      <c r="DU511" s="260" t="s">
        <v>247</v>
      </c>
      <c r="DV511" s="259"/>
      <c r="DW511" s="260" t="s">
        <v>242</v>
      </c>
      <c r="DX511" s="259"/>
      <c r="DY511" s="259"/>
      <c r="DZ511" s="259"/>
      <c r="EA511" s="987"/>
      <c r="EB511" s="1041" t="s">
        <v>2812</v>
      </c>
      <c r="EC511" s="802">
        <v>0</v>
      </c>
      <c r="EE511" s="1047"/>
    </row>
    <row r="512" spans="4:135" s="534" customFormat="1" ht="89.25" hidden="1" x14ac:dyDescent="0.3">
      <c r="D512" s="783">
        <v>509</v>
      </c>
      <c r="E512" s="799">
        <v>581</v>
      </c>
      <c r="F512" s="739" t="s">
        <v>203</v>
      </c>
      <c r="G512" s="739" t="s">
        <v>30</v>
      </c>
      <c r="H512" s="739" t="s">
        <v>160</v>
      </c>
      <c r="I512" s="739" t="s">
        <v>1352</v>
      </c>
      <c r="J512" s="573" t="s">
        <v>1361</v>
      </c>
      <c r="K512" s="573" t="s">
        <v>1362</v>
      </c>
      <c r="L512" s="596" t="s">
        <v>2030</v>
      </c>
      <c r="M512" s="571" t="s">
        <v>2032</v>
      </c>
      <c r="N512" s="571">
        <v>0</v>
      </c>
      <c r="O512" s="570">
        <f>+P512</f>
        <v>32</v>
      </c>
      <c r="P512" s="569">
        <v>32</v>
      </c>
      <c r="Q512" s="628">
        <v>0.25</v>
      </c>
      <c r="R512" s="580">
        <f t="shared" si="381"/>
        <v>6.25E-2</v>
      </c>
      <c r="S512" s="627">
        <v>32</v>
      </c>
      <c r="T512" s="575">
        <f t="shared" si="434"/>
        <v>0.25</v>
      </c>
      <c r="U512" s="992">
        <v>32</v>
      </c>
      <c r="V512" s="626">
        <f t="shared" si="435"/>
        <v>8</v>
      </c>
      <c r="W512" s="594">
        <f t="shared" si="436"/>
        <v>100</v>
      </c>
      <c r="X512" s="594">
        <f t="shared" si="382"/>
        <v>100</v>
      </c>
      <c r="Y512" s="594">
        <f t="shared" si="417"/>
        <v>6.25E-2</v>
      </c>
      <c r="Z512" s="594">
        <f t="shared" si="383"/>
        <v>100</v>
      </c>
      <c r="AA512" s="593">
        <v>0</v>
      </c>
      <c r="AB512" s="593">
        <v>0</v>
      </c>
      <c r="AC512" s="593">
        <v>0</v>
      </c>
      <c r="AD512" s="593">
        <v>0</v>
      </c>
      <c r="AE512" s="593">
        <v>0</v>
      </c>
      <c r="AF512" s="593">
        <v>0</v>
      </c>
      <c r="AG512" s="593">
        <v>0</v>
      </c>
      <c r="AH512" s="593">
        <v>0</v>
      </c>
      <c r="AI512" s="593">
        <v>667880000</v>
      </c>
      <c r="AJ512" s="593">
        <v>667880000</v>
      </c>
      <c r="AK512" s="593">
        <v>0</v>
      </c>
      <c r="AL512" s="593">
        <v>0</v>
      </c>
      <c r="AM512" s="593">
        <v>0</v>
      </c>
      <c r="AN512" s="593">
        <v>0</v>
      </c>
      <c r="AO512" s="593">
        <v>0</v>
      </c>
      <c r="AP512" s="593">
        <v>0</v>
      </c>
      <c r="AQ512" s="593">
        <v>0</v>
      </c>
      <c r="AR512" s="593">
        <v>0</v>
      </c>
      <c r="AS512" s="593">
        <v>0</v>
      </c>
      <c r="AT512" s="570">
        <f t="shared" si="384"/>
        <v>6.25E-2</v>
      </c>
      <c r="AU512" s="571">
        <v>32</v>
      </c>
      <c r="AV512" s="625">
        <f t="shared" si="437"/>
        <v>0.25</v>
      </c>
      <c r="AW512" s="1003">
        <v>32</v>
      </c>
      <c r="AX512" s="604">
        <f t="shared" si="438"/>
        <v>8</v>
      </c>
      <c r="AY512" s="604">
        <f t="shared" si="439"/>
        <v>100</v>
      </c>
      <c r="AZ512" s="604">
        <f t="shared" si="385"/>
        <v>100</v>
      </c>
      <c r="BA512" s="592">
        <f t="shared" si="386"/>
        <v>6.25E-2</v>
      </c>
      <c r="BB512" s="592">
        <f t="shared" si="387"/>
        <v>100</v>
      </c>
      <c r="BC512" s="591">
        <v>1384000000</v>
      </c>
      <c r="BD512" s="591">
        <v>0</v>
      </c>
      <c r="BE512" s="591">
        <v>1384000000</v>
      </c>
      <c r="BF512" s="591">
        <v>0</v>
      </c>
      <c r="BG512" s="591">
        <v>0</v>
      </c>
      <c r="BH512" s="591">
        <v>0</v>
      </c>
      <c r="BI512" s="591">
        <v>0</v>
      </c>
      <c r="BJ512" s="591">
        <v>0</v>
      </c>
      <c r="BK512" s="624">
        <v>2207116789</v>
      </c>
      <c r="BL512" s="589">
        <v>2207116789</v>
      </c>
      <c r="BM512" s="589">
        <v>0</v>
      </c>
      <c r="BN512" s="589">
        <v>0</v>
      </c>
      <c r="BO512" s="589">
        <v>0</v>
      </c>
      <c r="BP512" s="589">
        <v>0</v>
      </c>
      <c r="BQ512" s="589">
        <v>0</v>
      </c>
      <c r="BR512" s="589">
        <v>0</v>
      </c>
      <c r="BS512" s="589">
        <v>0</v>
      </c>
      <c r="BT512" s="589">
        <v>0</v>
      </c>
      <c r="BU512" s="589">
        <v>0</v>
      </c>
      <c r="BV512" s="588">
        <f t="shared" si="388"/>
        <v>6.25E-2</v>
      </c>
      <c r="BW512" s="588">
        <v>32</v>
      </c>
      <c r="BX512" s="623">
        <f t="shared" si="440"/>
        <v>0.25</v>
      </c>
      <c r="BY512" s="607">
        <v>30</v>
      </c>
      <c r="BZ512" s="629">
        <v>32</v>
      </c>
      <c r="CA512" s="1017">
        <v>32</v>
      </c>
      <c r="CB512" s="557">
        <f t="shared" si="441"/>
        <v>8</v>
      </c>
      <c r="CC512" s="557">
        <f t="shared" si="442"/>
        <v>100</v>
      </c>
      <c r="CD512" s="622">
        <f t="shared" si="389"/>
        <v>100</v>
      </c>
      <c r="CE512" s="621">
        <f t="shared" si="390"/>
        <v>6.25E-2</v>
      </c>
      <c r="CF512" s="605">
        <f t="shared" si="391"/>
        <v>100</v>
      </c>
      <c r="CG512" s="621">
        <f t="shared" si="392"/>
        <v>6.25E-2</v>
      </c>
      <c r="CH512" s="553">
        <f t="shared" si="393"/>
        <v>6.25E-2</v>
      </c>
      <c r="CI512" s="552">
        <v>32</v>
      </c>
      <c r="CJ512" s="551">
        <f t="shared" si="443"/>
        <v>0.25</v>
      </c>
      <c r="CK512" s="874">
        <v>25</v>
      </c>
      <c r="CL512" s="533">
        <f t="shared" si="433"/>
        <v>7</v>
      </c>
      <c r="CM512" s="619">
        <f t="shared" si="444"/>
        <v>6.25</v>
      </c>
      <c r="CN512" s="619">
        <f t="shared" si="445"/>
        <v>78.125</v>
      </c>
      <c r="CO512" s="619">
        <f t="shared" si="394"/>
        <v>78.125</v>
      </c>
      <c r="CP512" s="619">
        <f t="shared" si="395"/>
        <v>4.8828125E-2</v>
      </c>
      <c r="CQ512" s="619">
        <f t="shared" si="396"/>
        <v>4.8828125E-2</v>
      </c>
      <c r="CR512" s="546">
        <v>1384000000</v>
      </c>
      <c r="CS512" s="546">
        <v>1384000000</v>
      </c>
      <c r="CT512" s="546">
        <v>0</v>
      </c>
      <c r="CU512" s="546">
        <v>0</v>
      </c>
      <c r="CV512" s="546">
        <v>0</v>
      </c>
      <c r="CW512" s="546">
        <v>0</v>
      </c>
      <c r="CX512" s="546">
        <v>0</v>
      </c>
      <c r="CY512" s="546">
        <v>0</v>
      </c>
      <c r="CZ512" s="618">
        <v>0</v>
      </c>
      <c r="DA512" s="618">
        <v>0</v>
      </c>
      <c r="DB512" s="618">
        <v>0</v>
      </c>
      <c r="DC512" s="618">
        <v>0</v>
      </c>
      <c r="DD512" s="618">
        <v>0</v>
      </c>
      <c r="DE512" s="618">
        <v>0</v>
      </c>
      <c r="DF512" s="618">
        <v>0</v>
      </c>
      <c r="DG512" s="618">
        <v>0</v>
      </c>
      <c r="DH512" s="618">
        <v>0</v>
      </c>
      <c r="DI512" s="618">
        <v>0</v>
      </c>
      <c r="DJ512" s="618">
        <v>0</v>
      </c>
      <c r="DK512" s="1034">
        <f t="shared" si="446"/>
        <v>30.25</v>
      </c>
      <c r="DL512" s="543">
        <f t="shared" si="397"/>
        <v>0.25</v>
      </c>
      <c r="DM512" s="542">
        <f t="shared" si="398"/>
        <v>94.53125</v>
      </c>
      <c r="DN512" s="594">
        <f t="shared" si="399"/>
        <v>94.53125</v>
      </c>
      <c r="DO512" s="540">
        <f t="shared" si="400"/>
        <v>0.236328125</v>
      </c>
      <c r="DP512" s="597">
        <f>+IF(M512="M",DO512,0)</f>
        <v>0.236328125</v>
      </c>
      <c r="DQ512" s="538">
        <f t="shared" si="401"/>
        <v>0.236328125</v>
      </c>
      <c r="DR512" s="617">
        <f t="shared" si="402"/>
        <v>1</v>
      </c>
      <c r="DS512" s="616">
        <f t="shared" si="403"/>
        <v>0</v>
      </c>
      <c r="DT512" s="259">
        <v>621</v>
      </c>
      <c r="DU512" s="260" t="s">
        <v>247</v>
      </c>
      <c r="DV512" s="259"/>
      <c r="DW512" s="260" t="s">
        <v>242</v>
      </c>
      <c r="DX512" s="259"/>
      <c r="DY512" s="259"/>
      <c r="DZ512" s="259"/>
      <c r="EA512" s="987"/>
      <c r="EB512" s="1041" t="s">
        <v>2813</v>
      </c>
      <c r="EC512" s="802">
        <v>1384000000</v>
      </c>
      <c r="EE512" s="1047"/>
    </row>
    <row r="513" spans="4:135" s="534" customFormat="1" ht="89.25" hidden="1" x14ac:dyDescent="0.3">
      <c r="D513" s="783">
        <v>510</v>
      </c>
      <c r="E513" s="799">
        <v>582</v>
      </c>
      <c r="F513" s="739" t="s">
        <v>203</v>
      </c>
      <c r="G513" s="739" t="s">
        <v>30</v>
      </c>
      <c r="H513" s="739" t="s">
        <v>160</v>
      </c>
      <c r="I513" s="739" t="s">
        <v>1352</v>
      </c>
      <c r="J513" s="573" t="s">
        <v>1363</v>
      </c>
      <c r="K513" s="573" t="s">
        <v>1364</v>
      </c>
      <c r="L513" s="596" t="s">
        <v>2041</v>
      </c>
      <c r="M513" s="571" t="s">
        <v>2017</v>
      </c>
      <c r="N513" s="571">
        <v>0</v>
      </c>
      <c r="O513" s="570">
        <f t="shared" ref="O513:O523" si="447">+N513+P513</f>
        <v>80</v>
      </c>
      <c r="P513" s="569">
        <v>80</v>
      </c>
      <c r="Q513" s="628">
        <v>0.25</v>
      </c>
      <c r="R513" s="580">
        <f t="shared" si="381"/>
        <v>6.25E-2</v>
      </c>
      <c r="S513" s="627">
        <v>20</v>
      </c>
      <c r="T513" s="575">
        <f t="shared" si="434"/>
        <v>0.25</v>
      </c>
      <c r="U513" s="992">
        <v>67</v>
      </c>
      <c r="V513" s="626">
        <f t="shared" si="435"/>
        <v>67</v>
      </c>
      <c r="W513" s="594">
        <f t="shared" si="436"/>
        <v>335</v>
      </c>
      <c r="X513" s="594">
        <f t="shared" si="382"/>
        <v>100</v>
      </c>
      <c r="Y513" s="594">
        <f t="shared" si="417"/>
        <v>6.25E-2</v>
      </c>
      <c r="Z513" s="594">
        <f t="shared" si="383"/>
        <v>100</v>
      </c>
      <c r="AA513" s="593">
        <v>0</v>
      </c>
      <c r="AB513" s="593">
        <v>0</v>
      </c>
      <c r="AC513" s="593">
        <v>0</v>
      </c>
      <c r="AD513" s="593">
        <v>0</v>
      </c>
      <c r="AE513" s="593">
        <v>0</v>
      </c>
      <c r="AF513" s="593">
        <v>0</v>
      </c>
      <c r="AG513" s="593">
        <v>0</v>
      </c>
      <c r="AH513" s="593">
        <v>0</v>
      </c>
      <c r="AI513" s="593">
        <v>0</v>
      </c>
      <c r="AJ513" s="593">
        <v>0</v>
      </c>
      <c r="AK513" s="593">
        <v>0</v>
      </c>
      <c r="AL513" s="593">
        <v>0</v>
      </c>
      <c r="AM513" s="593">
        <v>0</v>
      </c>
      <c r="AN513" s="593">
        <v>0</v>
      </c>
      <c r="AO513" s="593">
        <v>0</v>
      </c>
      <c r="AP513" s="593">
        <v>0</v>
      </c>
      <c r="AQ513" s="593">
        <v>0</v>
      </c>
      <c r="AR513" s="593">
        <v>0</v>
      </c>
      <c r="AS513" s="593">
        <v>0</v>
      </c>
      <c r="AT513" s="570">
        <f t="shared" si="384"/>
        <v>6.25E-2</v>
      </c>
      <c r="AU513" s="571">
        <v>20</v>
      </c>
      <c r="AV513" s="625">
        <f t="shared" si="437"/>
        <v>0.25</v>
      </c>
      <c r="AW513" s="1003">
        <v>12</v>
      </c>
      <c r="AX513" s="604">
        <f t="shared" si="438"/>
        <v>12</v>
      </c>
      <c r="AY513" s="604">
        <f t="shared" si="439"/>
        <v>60</v>
      </c>
      <c r="AZ513" s="604">
        <f t="shared" si="385"/>
        <v>60</v>
      </c>
      <c r="BA513" s="592">
        <f t="shared" si="386"/>
        <v>3.7499999999999999E-2</v>
      </c>
      <c r="BB513" s="592">
        <f t="shared" si="387"/>
        <v>60</v>
      </c>
      <c r="BC513" s="591">
        <v>546000000</v>
      </c>
      <c r="BD513" s="591">
        <v>0</v>
      </c>
      <c r="BE513" s="591">
        <v>546000000</v>
      </c>
      <c r="BF513" s="591">
        <v>0</v>
      </c>
      <c r="BG513" s="591">
        <v>0</v>
      </c>
      <c r="BH513" s="591">
        <v>0</v>
      </c>
      <c r="BI513" s="591">
        <v>0</v>
      </c>
      <c r="BJ513" s="591">
        <v>0</v>
      </c>
      <c r="BK513" s="624">
        <v>644084880</v>
      </c>
      <c r="BL513" s="589">
        <v>644084880</v>
      </c>
      <c r="BM513" s="589">
        <v>0</v>
      </c>
      <c r="BN513" s="589">
        <v>0</v>
      </c>
      <c r="BO513" s="589">
        <v>0</v>
      </c>
      <c r="BP513" s="589">
        <v>0</v>
      </c>
      <c r="BQ513" s="589">
        <v>0</v>
      </c>
      <c r="BR513" s="589">
        <v>0</v>
      </c>
      <c r="BS513" s="589">
        <v>0</v>
      </c>
      <c r="BT513" s="589">
        <v>0</v>
      </c>
      <c r="BU513" s="589">
        <v>0</v>
      </c>
      <c r="BV513" s="588">
        <f t="shared" si="388"/>
        <v>6.25E-2</v>
      </c>
      <c r="BW513" s="588">
        <v>20</v>
      </c>
      <c r="BX513" s="623">
        <f t="shared" si="440"/>
        <v>0.25</v>
      </c>
      <c r="BY513" s="607">
        <v>0</v>
      </c>
      <c r="BZ513" s="629">
        <v>0</v>
      </c>
      <c r="CA513" s="1017">
        <v>0</v>
      </c>
      <c r="CB513" s="557">
        <f t="shared" si="441"/>
        <v>0</v>
      </c>
      <c r="CC513" s="557">
        <f t="shared" si="442"/>
        <v>0</v>
      </c>
      <c r="CD513" s="622">
        <f t="shared" si="389"/>
        <v>0</v>
      </c>
      <c r="CE513" s="621">
        <f t="shared" si="390"/>
        <v>0</v>
      </c>
      <c r="CF513" s="605">
        <f t="shared" si="391"/>
        <v>0</v>
      </c>
      <c r="CG513" s="621">
        <f t="shared" si="392"/>
        <v>0</v>
      </c>
      <c r="CH513" s="553">
        <f t="shared" si="393"/>
        <v>6.25E-2</v>
      </c>
      <c r="CI513" s="552">
        <v>20</v>
      </c>
      <c r="CJ513" s="551">
        <f t="shared" si="443"/>
        <v>0.25</v>
      </c>
      <c r="CK513" s="871">
        <v>0</v>
      </c>
      <c r="CL513" s="533">
        <f t="shared" si="433"/>
        <v>20</v>
      </c>
      <c r="CM513" s="619">
        <f t="shared" si="444"/>
        <v>0</v>
      </c>
      <c r="CN513" s="619">
        <f t="shared" si="445"/>
        <v>0</v>
      </c>
      <c r="CO513" s="549">
        <f t="shared" si="394"/>
        <v>0</v>
      </c>
      <c r="CP513" s="619">
        <f t="shared" si="395"/>
        <v>0</v>
      </c>
      <c r="CQ513" s="619">
        <f t="shared" si="396"/>
        <v>0</v>
      </c>
      <c r="CR513" s="546">
        <v>0</v>
      </c>
      <c r="CS513" s="546">
        <v>0</v>
      </c>
      <c r="CT513" s="546">
        <v>0</v>
      </c>
      <c r="CU513" s="546">
        <v>0</v>
      </c>
      <c r="CV513" s="546">
        <v>0</v>
      </c>
      <c r="CW513" s="546">
        <v>0</v>
      </c>
      <c r="CX513" s="546">
        <v>0</v>
      </c>
      <c r="CY513" s="546">
        <v>0</v>
      </c>
      <c r="CZ513" s="618">
        <v>0</v>
      </c>
      <c r="DA513" s="618">
        <v>0</v>
      </c>
      <c r="DB513" s="618">
        <v>0</v>
      </c>
      <c r="DC513" s="618">
        <v>0</v>
      </c>
      <c r="DD513" s="618">
        <v>0</v>
      </c>
      <c r="DE513" s="618">
        <v>0</v>
      </c>
      <c r="DF513" s="618">
        <v>0</v>
      </c>
      <c r="DG513" s="618">
        <v>0</v>
      </c>
      <c r="DH513" s="618">
        <v>0</v>
      </c>
      <c r="DI513" s="618">
        <v>0</v>
      </c>
      <c r="DJ513" s="618">
        <v>0</v>
      </c>
      <c r="DK513" s="1034">
        <f t="shared" si="446"/>
        <v>79</v>
      </c>
      <c r="DL513" s="543">
        <f t="shared" si="397"/>
        <v>0.25</v>
      </c>
      <c r="DM513" s="542">
        <f t="shared" si="398"/>
        <v>98.75</v>
      </c>
      <c r="DN513" s="594">
        <f t="shared" si="399"/>
        <v>98.75</v>
      </c>
      <c r="DO513" s="540">
        <f t="shared" si="400"/>
        <v>0.24687500000000001</v>
      </c>
      <c r="DP513" s="597">
        <f t="shared" ref="DP513:DP523" si="448">+IF(((DN513*Q513)/100)&lt;Q513, ((DN513*Q513)/100),Q513)</f>
        <v>0.24687500000000001</v>
      </c>
      <c r="DQ513" s="538">
        <f t="shared" si="401"/>
        <v>0.24687500000000001</v>
      </c>
      <c r="DR513" s="617">
        <f t="shared" si="402"/>
        <v>1</v>
      </c>
      <c r="DS513" s="616">
        <f t="shared" si="403"/>
        <v>0</v>
      </c>
      <c r="DT513" s="259">
        <v>621</v>
      </c>
      <c r="DU513" s="260" t="s">
        <v>247</v>
      </c>
      <c r="DV513" s="259"/>
      <c r="DW513" s="260" t="s">
        <v>242</v>
      </c>
      <c r="DX513" s="259"/>
      <c r="DY513" s="259"/>
      <c r="DZ513" s="259"/>
      <c r="EA513" s="987"/>
      <c r="EB513" s="1041" t="s">
        <v>2814</v>
      </c>
      <c r="EC513" s="802">
        <v>0</v>
      </c>
      <c r="EE513" s="1047"/>
    </row>
    <row r="514" spans="4:135" s="534" customFormat="1" ht="76.5" hidden="1" x14ac:dyDescent="0.3">
      <c r="D514" s="783">
        <v>511</v>
      </c>
      <c r="E514" s="799">
        <v>583</v>
      </c>
      <c r="F514" s="739" t="s">
        <v>203</v>
      </c>
      <c r="G514" s="739" t="s">
        <v>30</v>
      </c>
      <c r="H514" s="739" t="s">
        <v>160</v>
      </c>
      <c r="I514" s="739" t="s">
        <v>1352</v>
      </c>
      <c r="J514" s="573" t="s">
        <v>1365</v>
      </c>
      <c r="K514" s="573" t="s">
        <v>1366</v>
      </c>
      <c r="L514" s="596" t="s">
        <v>2040</v>
      </c>
      <c r="M514" s="571" t="s">
        <v>2017</v>
      </c>
      <c r="N514" s="571">
        <v>0</v>
      </c>
      <c r="O514" s="570">
        <f t="shared" si="447"/>
        <v>153</v>
      </c>
      <c r="P514" s="569">
        <v>153</v>
      </c>
      <c r="Q514" s="628">
        <v>0.25</v>
      </c>
      <c r="R514" s="580">
        <f t="shared" si="381"/>
        <v>0</v>
      </c>
      <c r="S514" s="627">
        <v>0</v>
      </c>
      <c r="T514" s="575">
        <f t="shared" si="434"/>
        <v>0</v>
      </c>
      <c r="U514" s="992">
        <v>0</v>
      </c>
      <c r="V514" s="626">
        <f t="shared" si="435"/>
        <v>0</v>
      </c>
      <c r="W514" s="594">
        <f t="shared" si="436"/>
        <v>0</v>
      </c>
      <c r="X514" s="594">
        <f t="shared" si="382"/>
        <v>0</v>
      </c>
      <c r="Y514" s="594">
        <f t="shared" si="417"/>
        <v>0</v>
      </c>
      <c r="Z514" s="594">
        <f t="shared" si="383"/>
        <v>0</v>
      </c>
      <c r="AA514" s="593">
        <v>100000000</v>
      </c>
      <c r="AB514" s="593">
        <v>100000000</v>
      </c>
      <c r="AC514" s="593">
        <v>0</v>
      </c>
      <c r="AD514" s="593">
        <v>0</v>
      </c>
      <c r="AE514" s="593">
        <v>0</v>
      </c>
      <c r="AF514" s="593">
        <v>0</v>
      </c>
      <c r="AG514" s="593">
        <v>0</v>
      </c>
      <c r="AH514" s="593">
        <v>0</v>
      </c>
      <c r="AI514" s="593">
        <v>100000000</v>
      </c>
      <c r="AJ514" s="593">
        <v>100000000</v>
      </c>
      <c r="AK514" s="593">
        <v>0</v>
      </c>
      <c r="AL514" s="593">
        <v>0</v>
      </c>
      <c r="AM514" s="593">
        <v>0</v>
      </c>
      <c r="AN514" s="593">
        <v>0</v>
      </c>
      <c r="AO514" s="593">
        <v>0</v>
      </c>
      <c r="AP514" s="593">
        <v>0</v>
      </c>
      <c r="AQ514" s="593">
        <v>0</v>
      </c>
      <c r="AR514" s="593">
        <v>0</v>
      </c>
      <c r="AS514" s="593">
        <v>0</v>
      </c>
      <c r="AT514" s="570">
        <f t="shared" si="384"/>
        <v>8.3333333333333329E-2</v>
      </c>
      <c r="AU514" s="571">
        <v>51</v>
      </c>
      <c r="AV514" s="625">
        <f t="shared" si="437"/>
        <v>0.33333333333333331</v>
      </c>
      <c r="AW514" s="1003">
        <v>13</v>
      </c>
      <c r="AX514" s="604">
        <f t="shared" si="438"/>
        <v>13</v>
      </c>
      <c r="AY514" s="604">
        <f t="shared" si="439"/>
        <v>25.490196078431371</v>
      </c>
      <c r="AZ514" s="604">
        <f t="shared" si="385"/>
        <v>25.490196078431371</v>
      </c>
      <c r="BA514" s="592">
        <f t="shared" si="386"/>
        <v>2.1241830065359471E-2</v>
      </c>
      <c r="BB514" s="592">
        <f t="shared" si="387"/>
        <v>25.490196078431371</v>
      </c>
      <c r="BC514" s="591">
        <v>1265000000</v>
      </c>
      <c r="BD514" s="591">
        <v>0</v>
      </c>
      <c r="BE514" s="591">
        <v>1265000000</v>
      </c>
      <c r="BF514" s="591">
        <v>0</v>
      </c>
      <c r="BG514" s="591">
        <v>0</v>
      </c>
      <c r="BH514" s="591">
        <v>0</v>
      </c>
      <c r="BI514" s="591">
        <v>0</v>
      </c>
      <c r="BJ514" s="591">
        <v>0</v>
      </c>
      <c r="BK514" s="624">
        <v>1264941797</v>
      </c>
      <c r="BL514" s="589">
        <v>1264941797</v>
      </c>
      <c r="BM514" s="589">
        <v>0</v>
      </c>
      <c r="BN514" s="589">
        <v>0</v>
      </c>
      <c r="BO514" s="589">
        <v>0</v>
      </c>
      <c r="BP514" s="589">
        <v>0</v>
      </c>
      <c r="BQ514" s="589">
        <v>0</v>
      </c>
      <c r="BR514" s="589">
        <v>0</v>
      </c>
      <c r="BS514" s="589">
        <v>0</v>
      </c>
      <c r="BT514" s="589">
        <v>0</v>
      </c>
      <c r="BU514" s="589">
        <v>0</v>
      </c>
      <c r="BV514" s="588">
        <f t="shared" si="388"/>
        <v>8.3333333333333329E-2</v>
      </c>
      <c r="BW514" s="588">
        <v>51</v>
      </c>
      <c r="BX514" s="623">
        <f t="shared" si="440"/>
        <v>0.33333333333333331</v>
      </c>
      <c r="BY514" s="607">
        <v>51</v>
      </c>
      <c r="BZ514" s="629">
        <v>51</v>
      </c>
      <c r="CA514" s="1017">
        <v>79</v>
      </c>
      <c r="CB514" s="557">
        <f t="shared" si="441"/>
        <v>79</v>
      </c>
      <c r="CC514" s="557">
        <f t="shared" si="442"/>
        <v>154.90196078431373</v>
      </c>
      <c r="CD514" s="622">
        <f t="shared" si="389"/>
        <v>100</v>
      </c>
      <c r="CE514" s="621">
        <f t="shared" si="390"/>
        <v>8.3333333333333315E-2</v>
      </c>
      <c r="CF514" s="605">
        <f t="shared" si="391"/>
        <v>100</v>
      </c>
      <c r="CG514" s="621">
        <f t="shared" si="392"/>
        <v>0.12908496732026145</v>
      </c>
      <c r="CH514" s="553">
        <f t="shared" si="393"/>
        <v>8.3333333333333329E-2</v>
      </c>
      <c r="CI514" s="552">
        <v>51</v>
      </c>
      <c r="CJ514" s="551">
        <f t="shared" si="443"/>
        <v>0.33333333333333331</v>
      </c>
      <c r="CK514" s="874">
        <v>51</v>
      </c>
      <c r="CL514" s="533">
        <f t="shared" si="433"/>
        <v>0</v>
      </c>
      <c r="CM514" s="619">
        <f t="shared" si="444"/>
        <v>51</v>
      </c>
      <c r="CN514" s="619">
        <f t="shared" si="445"/>
        <v>100</v>
      </c>
      <c r="CO514" s="549">
        <f t="shared" si="394"/>
        <v>100</v>
      </c>
      <c r="CP514" s="619">
        <f t="shared" si="395"/>
        <v>8.3333333333333315E-2</v>
      </c>
      <c r="CQ514" s="619">
        <f t="shared" si="396"/>
        <v>8.3333333333333315E-2</v>
      </c>
      <c r="CR514" s="546">
        <v>0</v>
      </c>
      <c r="CS514" s="546">
        <v>0</v>
      </c>
      <c r="CT514" s="546">
        <v>0</v>
      </c>
      <c r="CU514" s="546">
        <v>0</v>
      </c>
      <c r="CV514" s="546">
        <v>0</v>
      </c>
      <c r="CW514" s="546">
        <v>0</v>
      </c>
      <c r="CX514" s="546">
        <v>0</v>
      </c>
      <c r="CY514" s="546">
        <v>0</v>
      </c>
      <c r="CZ514" s="618">
        <v>0</v>
      </c>
      <c r="DA514" s="618">
        <v>0</v>
      </c>
      <c r="DB514" s="618">
        <v>0</v>
      </c>
      <c r="DC514" s="618">
        <v>0</v>
      </c>
      <c r="DD514" s="618">
        <v>0</v>
      </c>
      <c r="DE514" s="618">
        <v>0</v>
      </c>
      <c r="DF514" s="618">
        <v>0</v>
      </c>
      <c r="DG514" s="618">
        <v>0</v>
      </c>
      <c r="DH514" s="618">
        <v>0</v>
      </c>
      <c r="DI514" s="618">
        <v>0</v>
      </c>
      <c r="DJ514" s="618">
        <v>0</v>
      </c>
      <c r="DK514" s="1034">
        <f t="shared" si="446"/>
        <v>143</v>
      </c>
      <c r="DL514" s="543">
        <f t="shared" si="397"/>
        <v>0.25</v>
      </c>
      <c r="DM514" s="542">
        <f t="shared" si="398"/>
        <v>93.464052287581694</v>
      </c>
      <c r="DN514" s="594">
        <f t="shared" si="399"/>
        <v>93.464052287581694</v>
      </c>
      <c r="DO514" s="540">
        <f t="shared" si="400"/>
        <v>0.23366013071895422</v>
      </c>
      <c r="DP514" s="597">
        <f t="shared" si="448"/>
        <v>0.23366013071895422</v>
      </c>
      <c r="DQ514" s="538">
        <f t="shared" si="401"/>
        <v>0.23366013071895422</v>
      </c>
      <c r="DR514" s="617">
        <f t="shared" si="402"/>
        <v>1</v>
      </c>
      <c r="DS514" s="616">
        <f t="shared" si="403"/>
        <v>0</v>
      </c>
      <c r="DT514" s="259">
        <v>621</v>
      </c>
      <c r="DU514" s="260" t="s">
        <v>247</v>
      </c>
      <c r="DV514" s="259"/>
      <c r="DW514" s="260" t="s">
        <v>242</v>
      </c>
      <c r="DX514" s="259"/>
      <c r="DY514" s="259"/>
      <c r="DZ514" s="259"/>
      <c r="EA514" s="987"/>
      <c r="EB514" s="1041" t="s">
        <v>2815</v>
      </c>
      <c r="EC514" s="802">
        <v>0</v>
      </c>
      <c r="EE514" s="1047"/>
    </row>
    <row r="515" spans="4:135" s="534" customFormat="1" ht="63.75" hidden="1" x14ac:dyDescent="0.3">
      <c r="D515" s="783">
        <v>512</v>
      </c>
      <c r="E515" s="799">
        <v>584</v>
      </c>
      <c r="F515" s="739" t="s">
        <v>203</v>
      </c>
      <c r="G515" s="739" t="s">
        <v>10</v>
      </c>
      <c r="H515" s="739" t="s">
        <v>160</v>
      </c>
      <c r="I515" s="739" t="s">
        <v>1352</v>
      </c>
      <c r="J515" s="573" t="s">
        <v>1367</v>
      </c>
      <c r="K515" s="573" t="s">
        <v>1368</v>
      </c>
      <c r="L515" s="596" t="s">
        <v>1724</v>
      </c>
      <c r="M515" s="571" t="s">
        <v>2017</v>
      </c>
      <c r="N515" s="571">
        <v>0</v>
      </c>
      <c r="O515" s="570">
        <f t="shared" si="447"/>
        <v>100</v>
      </c>
      <c r="P515" s="569">
        <v>100</v>
      </c>
      <c r="Q515" s="628">
        <v>0.33</v>
      </c>
      <c r="R515" s="580">
        <f t="shared" si="381"/>
        <v>0</v>
      </c>
      <c r="S515" s="627">
        <v>0</v>
      </c>
      <c r="T515" s="575">
        <f t="shared" si="434"/>
        <v>0</v>
      </c>
      <c r="U515" s="992">
        <v>0</v>
      </c>
      <c r="V515" s="626">
        <f t="shared" si="435"/>
        <v>0</v>
      </c>
      <c r="W515" s="594">
        <f t="shared" si="436"/>
        <v>0</v>
      </c>
      <c r="X515" s="594">
        <f t="shared" si="382"/>
        <v>0</v>
      </c>
      <c r="Y515" s="594">
        <f t="shared" si="417"/>
        <v>0</v>
      </c>
      <c r="Z515" s="594">
        <f t="shared" si="383"/>
        <v>0</v>
      </c>
      <c r="AA515" s="593">
        <v>500000000</v>
      </c>
      <c r="AB515" s="593">
        <v>500000000</v>
      </c>
      <c r="AC515" s="593">
        <v>0</v>
      </c>
      <c r="AD515" s="593">
        <v>0</v>
      </c>
      <c r="AE515" s="593">
        <v>0</v>
      </c>
      <c r="AF515" s="593">
        <v>0</v>
      </c>
      <c r="AG515" s="593">
        <v>0</v>
      </c>
      <c r="AH515" s="593">
        <v>0</v>
      </c>
      <c r="AI515" s="593">
        <v>456576000</v>
      </c>
      <c r="AJ515" s="593">
        <v>456576000</v>
      </c>
      <c r="AK515" s="593">
        <v>0</v>
      </c>
      <c r="AL515" s="593">
        <v>0</v>
      </c>
      <c r="AM515" s="593">
        <v>0</v>
      </c>
      <c r="AN515" s="593">
        <v>0</v>
      </c>
      <c r="AO515" s="593">
        <v>0</v>
      </c>
      <c r="AP515" s="593">
        <v>0</v>
      </c>
      <c r="AQ515" s="593">
        <v>0</v>
      </c>
      <c r="AR515" s="593">
        <v>0</v>
      </c>
      <c r="AS515" s="593">
        <v>0</v>
      </c>
      <c r="AT515" s="570">
        <f t="shared" si="384"/>
        <v>8.2500000000000004E-2</v>
      </c>
      <c r="AU515" s="571">
        <v>25</v>
      </c>
      <c r="AV515" s="625">
        <f t="shared" si="437"/>
        <v>0.25</v>
      </c>
      <c r="AW515" s="1003">
        <v>31</v>
      </c>
      <c r="AX515" s="604">
        <f t="shared" si="438"/>
        <v>31</v>
      </c>
      <c r="AY515" s="604">
        <f t="shared" si="439"/>
        <v>124</v>
      </c>
      <c r="AZ515" s="604">
        <f t="shared" si="385"/>
        <v>100</v>
      </c>
      <c r="BA515" s="592">
        <f t="shared" si="386"/>
        <v>8.2500000000000004E-2</v>
      </c>
      <c r="BB515" s="592">
        <f t="shared" si="387"/>
        <v>100</v>
      </c>
      <c r="BC515" s="591">
        <v>5000000000</v>
      </c>
      <c r="BD515" s="591">
        <v>5000000000</v>
      </c>
      <c r="BE515" s="591">
        <v>0</v>
      </c>
      <c r="BF515" s="591">
        <v>0</v>
      </c>
      <c r="BG515" s="591">
        <v>0</v>
      </c>
      <c r="BH515" s="591">
        <v>0</v>
      </c>
      <c r="BI515" s="591">
        <v>0</v>
      </c>
      <c r="BJ515" s="591">
        <v>0</v>
      </c>
      <c r="BK515" s="624">
        <v>3000000000</v>
      </c>
      <c r="BL515" s="589">
        <v>3000000000</v>
      </c>
      <c r="BM515" s="589">
        <v>0</v>
      </c>
      <c r="BN515" s="589">
        <v>0</v>
      </c>
      <c r="BO515" s="589">
        <v>0</v>
      </c>
      <c r="BP515" s="589">
        <v>0</v>
      </c>
      <c r="BQ515" s="589">
        <v>0</v>
      </c>
      <c r="BR515" s="589">
        <v>0</v>
      </c>
      <c r="BS515" s="589">
        <v>0</v>
      </c>
      <c r="BT515" s="589">
        <v>0</v>
      </c>
      <c r="BU515" s="589">
        <v>0</v>
      </c>
      <c r="BV515" s="588">
        <f t="shared" si="388"/>
        <v>0.11549999999999999</v>
      </c>
      <c r="BW515" s="588">
        <v>35</v>
      </c>
      <c r="BX515" s="623">
        <f t="shared" si="440"/>
        <v>0.35</v>
      </c>
      <c r="BY515" s="607">
        <v>0</v>
      </c>
      <c r="BZ515" s="629">
        <v>28</v>
      </c>
      <c r="CA515" s="1017">
        <v>35</v>
      </c>
      <c r="CB515" s="557">
        <f t="shared" si="441"/>
        <v>35</v>
      </c>
      <c r="CC515" s="557">
        <f t="shared" si="442"/>
        <v>100</v>
      </c>
      <c r="CD515" s="622">
        <f t="shared" si="389"/>
        <v>100</v>
      </c>
      <c r="CE515" s="621">
        <f t="shared" si="390"/>
        <v>0.11549999999999999</v>
      </c>
      <c r="CF515" s="605">
        <f t="shared" si="391"/>
        <v>100</v>
      </c>
      <c r="CG515" s="621">
        <f t="shared" si="392"/>
        <v>0.11549999999999999</v>
      </c>
      <c r="CH515" s="553">
        <f t="shared" si="393"/>
        <v>0.13200000000000001</v>
      </c>
      <c r="CI515" s="552">
        <v>40</v>
      </c>
      <c r="CJ515" s="551">
        <f t="shared" si="443"/>
        <v>0.4</v>
      </c>
      <c r="CK515" s="871">
        <v>34</v>
      </c>
      <c r="CL515" s="533">
        <f t="shared" si="433"/>
        <v>6</v>
      </c>
      <c r="CM515" s="619">
        <f t="shared" si="444"/>
        <v>34</v>
      </c>
      <c r="CN515" s="619">
        <f t="shared" si="445"/>
        <v>85</v>
      </c>
      <c r="CO515" s="549">
        <f t="shared" si="394"/>
        <v>85</v>
      </c>
      <c r="CP515" s="619">
        <f t="shared" si="395"/>
        <v>0.11220000000000001</v>
      </c>
      <c r="CQ515" s="619">
        <f t="shared" si="396"/>
        <v>0.11220000000000001</v>
      </c>
      <c r="CR515" s="546">
        <v>0</v>
      </c>
      <c r="CS515" s="546">
        <v>0</v>
      </c>
      <c r="CT515" s="546">
        <v>0</v>
      </c>
      <c r="CU515" s="546">
        <v>0</v>
      </c>
      <c r="CV515" s="546">
        <v>0</v>
      </c>
      <c r="CW515" s="546">
        <v>0</v>
      </c>
      <c r="CX515" s="546">
        <v>0</v>
      </c>
      <c r="CY515" s="546">
        <v>0</v>
      </c>
      <c r="CZ515" s="618">
        <v>0</v>
      </c>
      <c r="DA515" s="618">
        <v>0</v>
      </c>
      <c r="DB515" s="618">
        <v>0</v>
      </c>
      <c r="DC515" s="618">
        <v>0</v>
      </c>
      <c r="DD515" s="618">
        <v>0</v>
      </c>
      <c r="DE515" s="618">
        <v>0</v>
      </c>
      <c r="DF515" s="618">
        <v>0</v>
      </c>
      <c r="DG515" s="618">
        <v>0</v>
      </c>
      <c r="DH515" s="618">
        <v>0</v>
      </c>
      <c r="DI515" s="618">
        <v>0</v>
      </c>
      <c r="DJ515" s="618">
        <v>0</v>
      </c>
      <c r="DK515" s="1034">
        <f t="shared" si="446"/>
        <v>100</v>
      </c>
      <c r="DL515" s="543">
        <f t="shared" si="397"/>
        <v>0.33</v>
      </c>
      <c r="DM515" s="542">
        <f t="shared" si="398"/>
        <v>100</v>
      </c>
      <c r="DN515" s="594">
        <f t="shared" si="399"/>
        <v>100</v>
      </c>
      <c r="DO515" s="540">
        <f t="shared" si="400"/>
        <v>0.33</v>
      </c>
      <c r="DP515" s="597">
        <f t="shared" si="448"/>
        <v>0.33</v>
      </c>
      <c r="DQ515" s="538">
        <f t="shared" si="401"/>
        <v>0.33</v>
      </c>
      <c r="DR515" s="617">
        <f t="shared" si="402"/>
        <v>1</v>
      </c>
      <c r="DS515" s="616">
        <f t="shared" si="403"/>
        <v>0</v>
      </c>
      <c r="DT515" s="259">
        <v>621</v>
      </c>
      <c r="DU515" s="260" t="s">
        <v>247</v>
      </c>
      <c r="DV515" s="259"/>
      <c r="DW515" s="260" t="s">
        <v>242</v>
      </c>
      <c r="DX515" s="259"/>
      <c r="DY515" s="259"/>
      <c r="DZ515" s="259"/>
      <c r="EA515" s="987"/>
      <c r="EB515" s="1041" t="s">
        <v>2816</v>
      </c>
      <c r="EC515" s="802">
        <v>4712000000</v>
      </c>
      <c r="EE515" s="1047"/>
    </row>
    <row r="516" spans="4:135" s="534" customFormat="1" ht="89.25" hidden="1" x14ac:dyDescent="0.3">
      <c r="D516" s="783">
        <v>513</v>
      </c>
      <c r="E516" s="799">
        <v>585</v>
      </c>
      <c r="F516" s="739" t="s">
        <v>203</v>
      </c>
      <c r="G516" s="739" t="s">
        <v>10</v>
      </c>
      <c r="H516" s="739" t="s">
        <v>160</v>
      </c>
      <c r="I516" s="739" t="s">
        <v>1352</v>
      </c>
      <c r="J516" s="573" t="s">
        <v>1369</v>
      </c>
      <c r="K516" s="573" t="s">
        <v>1370</v>
      </c>
      <c r="L516" s="596" t="s">
        <v>2039</v>
      </c>
      <c r="M516" s="571" t="s">
        <v>2017</v>
      </c>
      <c r="N516" s="571">
        <v>16</v>
      </c>
      <c r="O516" s="570">
        <f t="shared" si="447"/>
        <v>100</v>
      </c>
      <c r="P516" s="569">
        <v>84</v>
      </c>
      <c r="Q516" s="628">
        <v>0.33</v>
      </c>
      <c r="R516" s="580">
        <f t="shared" si="381"/>
        <v>0</v>
      </c>
      <c r="S516" s="627">
        <v>0</v>
      </c>
      <c r="T516" s="575">
        <f t="shared" si="434"/>
        <v>0</v>
      </c>
      <c r="U516" s="992">
        <v>7</v>
      </c>
      <c r="V516" s="626">
        <f t="shared" si="435"/>
        <v>7</v>
      </c>
      <c r="W516" s="594">
        <f t="shared" si="436"/>
        <v>0</v>
      </c>
      <c r="X516" s="594">
        <f t="shared" si="382"/>
        <v>0</v>
      </c>
      <c r="Y516" s="594">
        <f t="shared" si="417"/>
        <v>0</v>
      </c>
      <c r="Z516" s="594">
        <f t="shared" si="383"/>
        <v>100</v>
      </c>
      <c r="AA516" s="593">
        <v>1276000000</v>
      </c>
      <c r="AB516" s="593">
        <v>1276000000</v>
      </c>
      <c r="AC516" s="593">
        <v>0</v>
      </c>
      <c r="AD516" s="593">
        <v>0</v>
      </c>
      <c r="AE516" s="593">
        <v>0</v>
      </c>
      <c r="AF516" s="593">
        <v>0</v>
      </c>
      <c r="AG516" s="593">
        <v>0</v>
      </c>
      <c r="AH516" s="593">
        <v>0</v>
      </c>
      <c r="AI516" s="593">
        <v>0</v>
      </c>
      <c r="AJ516" s="593">
        <v>0</v>
      </c>
      <c r="AK516" s="593">
        <v>0</v>
      </c>
      <c r="AL516" s="593">
        <v>0</v>
      </c>
      <c r="AM516" s="593">
        <v>0</v>
      </c>
      <c r="AN516" s="593">
        <v>0</v>
      </c>
      <c r="AO516" s="593">
        <v>0</v>
      </c>
      <c r="AP516" s="593">
        <v>0</v>
      </c>
      <c r="AQ516" s="593">
        <v>0</v>
      </c>
      <c r="AR516" s="593">
        <v>0</v>
      </c>
      <c r="AS516" s="593">
        <v>0</v>
      </c>
      <c r="AT516" s="570">
        <f t="shared" si="384"/>
        <v>7.857142857142857E-2</v>
      </c>
      <c r="AU516" s="571">
        <v>20</v>
      </c>
      <c r="AV516" s="625">
        <f t="shared" si="437"/>
        <v>0.23809523809523808</v>
      </c>
      <c r="AW516" s="1003">
        <v>16</v>
      </c>
      <c r="AX516" s="604">
        <f t="shared" si="438"/>
        <v>16</v>
      </c>
      <c r="AY516" s="604">
        <f t="shared" si="439"/>
        <v>80</v>
      </c>
      <c r="AZ516" s="604">
        <f t="shared" si="385"/>
        <v>80</v>
      </c>
      <c r="BA516" s="592">
        <f t="shared" si="386"/>
        <v>6.2857142857142861E-2</v>
      </c>
      <c r="BB516" s="592">
        <f t="shared" si="387"/>
        <v>80</v>
      </c>
      <c r="BC516" s="591">
        <v>2000000000</v>
      </c>
      <c r="BD516" s="591">
        <v>2000000000</v>
      </c>
      <c r="BE516" s="591">
        <v>0</v>
      </c>
      <c r="BF516" s="591">
        <v>0</v>
      </c>
      <c r="BG516" s="591">
        <v>0</v>
      </c>
      <c r="BH516" s="591">
        <v>0</v>
      </c>
      <c r="BI516" s="591">
        <v>0</v>
      </c>
      <c r="BJ516" s="591">
        <v>0</v>
      </c>
      <c r="BK516" s="624">
        <v>1400991000</v>
      </c>
      <c r="BL516" s="589">
        <v>1400991000</v>
      </c>
      <c r="BM516" s="589">
        <v>0</v>
      </c>
      <c r="BN516" s="589">
        <v>0</v>
      </c>
      <c r="BO516" s="589">
        <v>0</v>
      </c>
      <c r="BP516" s="589">
        <v>0</v>
      </c>
      <c r="BQ516" s="589">
        <v>0</v>
      </c>
      <c r="BR516" s="589">
        <v>0</v>
      </c>
      <c r="BS516" s="589">
        <v>0</v>
      </c>
      <c r="BT516" s="589">
        <v>0</v>
      </c>
      <c r="BU516" s="589">
        <v>0</v>
      </c>
      <c r="BV516" s="588">
        <f t="shared" si="388"/>
        <v>0.11785714285714287</v>
      </c>
      <c r="BW516" s="588">
        <v>30</v>
      </c>
      <c r="BX516" s="623">
        <f t="shared" si="440"/>
        <v>0.35714285714285715</v>
      </c>
      <c r="BY516" s="607">
        <v>22</v>
      </c>
      <c r="BZ516" s="629">
        <v>34.840000000000003</v>
      </c>
      <c r="CA516" s="1017">
        <v>30</v>
      </c>
      <c r="CB516" s="557">
        <f t="shared" si="441"/>
        <v>30</v>
      </c>
      <c r="CC516" s="557">
        <f t="shared" si="442"/>
        <v>100</v>
      </c>
      <c r="CD516" s="622">
        <f t="shared" si="389"/>
        <v>100</v>
      </c>
      <c r="CE516" s="621">
        <f t="shared" si="390"/>
        <v>0.11785714285714287</v>
      </c>
      <c r="CF516" s="605">
        <f t="shared" si="391"/>
        <v>100</v>
      </c>
      <c r="CG516" s="621">
        <f t="shared" si="392"/>
        <v>0.11785714285714287</v>
      </c>
      <c r="CH516" s="553">
        <f t="shared" si="393"/>
        <v>0.13357142857142859</v>
      </c>
      <c r="CI516" s="552">
        <v>34</v>
      </c>
      <c r="CJ516" s="551">
        <f t="shared" si="443"/>
        <v>0.40476190476190477</v>
      </c>
      <c r="CK516" s="874">
        <v>26</v>
      </c>
      <c r="CL516" s="533">
        <f t="shared" si="433"/>
        <v>8</v>
      </c>
      <c r="CM516" s="619">
        <f t="shared" si="444"/>
        <v>26</v>
      </c>
      <c r="CN516" s="619">
        <f t="shared" si="445"/>
        <v>76.470588235294116</v>
      </c>
      <c r="CO516" s="549">
        <f t="shared" si="394"/>
        <v>76.470588235294116</v>
      </c>
      <c r="CP516" s="619">
        <f t="shared" si="395"/>
        <v>0.10214285714285715</v>
      </c>
      <c r="CQ516" s="619">
        <f t="shared" si="396"/>
        <v>0.10214285714285715</v>
      </c>
      <c r="CR516" s="546">
        <v>4500000000</v>
      </c>
      <c r="CS516" s="546">
        <v>0</v>
      </c>
      <c r="CT516" s="546">
        <v>4500000000</v>
      </c>
      <c r="CU516" s="546">
        <v>0</v>
      </c>
      <c r="CV516" s="546">
        <v>0</v>
      </c>
      <c r="CW516" s="546">
        <v>0</v>
      </c>
      <c r="CX516" s="546">
        <v>0</v>
      </c>
      <c r="CY516" s="546">
        <v>0</v>
      </c>
      <c r="CZ516" s="618">
        <v>0</v>
      </c>
      <c r="DA516" s="618">
        <v>0</v>
      </c>
      <c r="DB516" s="618">
        <v>0</v>
      </c>
      <c r="DC516" s="618">
        <v>0</v>
      </c>
      <c r="DD516" s="618">
        <v>0</v>
      </c>
      <c r="DE516" s="618">
        <v>0</v>
      </c>
      <c r="DF516" s="618">
        <v>0</v>
      </c>
      <c r="DG516" s="618">
        <v>0</v>
      </c>
      <c r="DH516" s="618">
        <v>0</v>
      </c>
      <c r="DI516" s="618">
        <v>0</v>
      </c>
      <c r="DJ516" s="618">
        <v>0</v>
      </c>
      <c r="DK516" s="1034">
        <f t="shared" si="446"/>
        <v>79</v>
      </c>
      <c r="DL516" s="543">
        <f t="shared" si="397"/>
        <v>0.33000000000000007</v>
      </c>
      <c r="DM516" s="542">
        <f t="shared" si="398"/>
        <v>94.047619047619051</v>
      </c>
      <c r="DN516" s="594">
        <f t="shared" si="399"/>
        <v>94.047619047619051</v>
      </c>
      <c r="DO516" s="540">
        <f t="shared" si="400"/>
        <v>0.31035714285714289</v>
      </c>
      <c r="DP516" s="597">
        <f t="shared" si="448"/>
        <v>0.31035714285714289</v>
      </c>
      <c r="DQ516" s="538">
        <f t="shared" si="401"/>
        <v>0.31035714285714289</v>
      </c>
      <c r="DR516" s="617">
        <f t="shared" si="402"/>
        <v>1</v>
      </c>
      <c r="DS516" s="616">
        <f t="shared" si="403"/>
        <v>0</v>
      </c>
      <c r="DT516" s="259">
        <v>621</v>
      </c>
      <c r="DU516" s="260" t="s">
        <v>247</v>
      </c>
      <c r="DV516" s="259"/>
      <c r="DW516" s="260" t="s">
        <v>242</v>
      </c>
      <c r="DX516" s="259"/>
      <c r="DY516" s="259"/>
      <c r="DZ516" s="259"/>
      <c r="EA516" s="987"/>
      <c r="EB516" s="1041" t="s">
        <v>2817</v>
      </c>
      <c r="EC516" s="802">
        <v>5000000000</v>
      </c>
      <c r="EE516" s="1047"/>
    </row>
    <row r="517" spans="4:135" s="534" customFormat="1" ht="127.5" hidden="1" x14ac:dyDescent="0.3">
      <c r="D517" s="783">
        <v>514</v>
      </c>
      <c r="E517" s="799">
        <v>586</v>
      </c>
      <c r="F517" s="574" t="s">
        <v>203</v>
      </c>
      <c r="G517" s="574" t="s">
        <v>30</v>
      </c>
      <c r="H517" s="574" t="s">
        <v>160</v>
      </c>
      <c r="I517" s="574" t="s">
        <v>1371</v>
      </c>
      <c r="J517" s="573" t="s">
        <v>1477</v>
      </c>
      <c r="K517" s="573" t="s">
        <v>1373</v>
      </c>
      <c r="L517" s="596" t="s">
        <v>1682</v>
      </c>
      <c r="M517" s="571" t="s">
        <v>2017</v>
      </c>
      <c r="N517" s="571">
        <v>0</v>
      </c>
      <c r="O517" s="570">
        <f t="shared" si="447"/>
        <v>100000</v>
      </c>
      <c r="P517" s="569">
        <v>100000</v>
      </c>
      <c r="Q517" s="631">
        <v>0.33</v>
      </c>
      <c r="R517" s="580">
        <f t="shared" ref="R517:R541" si="449">+Q517*T517</f>
        <v>9.9000000000000005E-2</v>
      </c>
      <c r="S517" s="627">
        <v>30000</v>
      </c>
      <c r="T517" s="575">
        <f t="shared" si="434"/>
        <v>0.3</v>
      </c>
      <c r="U517" s="992">
        <v>55690</v>
      </c>
      <c r="V517" s="626">
        <f t="shared" si="435"/>
        <v>55690</v>
      </c>
      <c r="W517" s="594">
        <f t="shared" si="436"/>
        <v>185.63333333333333</v>
      </c>
      <c r="X517" s="594">
        <f t="shared" ref="X517:X541" si="450">+IF(W517&lt;100,W517,100)</f>
        <v>100</v>
      </c>
      <c r="Y517" s="594">
        <f t="shared" si="417"/>
        <v>9.9000000000000005E-2</v>
      </c>
      <c r="Z517" s="594">
        <f t="shared" ref="Z517:Z541" si="451">+IF(U517&gt;S517,100,X517)</f>
        <v>100</v>
      </c>
      <c r="AA517" s="593">
        <v>150000000</v>
      </c>
      <c r="AB517" s="593">
        <v>150000000</v>
      </c>
      <c r="AC517" s="593">
        <v>0</v>
      </c>
      <c r="AD517" s="593">
        <v>0</v>
      </c>
      <c r="AE517" s="593">
        <v>0</v>
      </c>
      <c r="AF517" s="593">
        <v>0</v>
      </c>
      <c r="AG517" s="593">
        <v>0</v>
      </c>
      <c r="AH517" s="593">
        <v>0</v>
      </c>
      <c r="AI517" s="593">
        <v>150000000</v>
      </c>
      <c r="AJ517" s="593">
        <v>150000000</v>
      </c>
      <c r="AK517" s="593">
        <v>0</v>
      </c>
      <c r="AL517" s="593">
        <v>0</v>
      </c>
      <c r="AM517" s="593">
        <v>0</v>
      </c>
      <c r="AN517" s="593">
        <v>0</v>
      </c>
      <c r="AO517" s="593">
        <v>0</v>
      </c>
      <c r="AP517" s="593">
        <v>0</v>
      </c>
      <c r="AQ517" s="593">
        <v>0</v>
      </c>
      <c r="AR517" s="593">
        <v>1520000000</v>
      </c>
      <c r="AS517" s="593" t="s">
        <v>2035</v>
      </c>
      <c r="AT517" s="630">
        <f t="shared" ref="AT517:AT541" si="452">+Q517*AV517</f>
        <v>3.3000000000000002E-2</v>
      </c>
      <c r="AU517" s="571">
        <v>10000</v>
      </c>
      <c r="AV517" s="625">
        <f t="shared" si="437"/>
        <v>0.1</v>
      </c>
      <c r="AW517" s="1003">
        <v>6140</v>
      </c>
      <c r="AX517" s="604">
        <f t="shared" si="438"/>
        <v>6140</v>
      </c>
      <c r="AY517" s="604">
        <f t="shared" si="439"/>
        <v>61.4</v>
      </c>
      <c r="AZ517" s="604">
        <f t="shared" ref="AZ517:AZ541" si="453">+IF(AY517&lt;100,AY517,100)</f>
        <v>61.4</v>
      </c>
      <c r="BA517" s="592">
        <f t="shared" ref="BA517:BA541" si="454">+(AZ517*AT517)/100</f>
        <v>2.0262000000000002E-2</v>
      </c>
      <c r="BB517" s="592">
        <f t="shared" ref="BB517:BB541" si="455">+IF(AW517&gt;AU517,100,AZ517)</f>
        <v>61.4</v>
      </c>
      <c r="BC517" s="591">
        <v>14415000000</v>
      </c>
      <c r="BD517" s="591">
        <v>0</v>
      </c>
      <c r="BE517" s="591">
        <v>0</v>
      </c>
      <c r="BF517" s="591">
        <v>0</v>
      </c>
      <c r="BG517" s="591">
        <v>0</v>
      </c>
      <c r="BH517" s="591">
        <v>0</v>
      </c>
      <c r="BI517" s="591">
        <v>0</v>
      </c>
      <c r="BJ517" s="591">
        <v>14415000</v>
      </c>
      <c r="BK517" s="624">
        <v>0</v>
      </c>
      <c r="BL517" s="589">
        <v>0</v>
      </c>
      <c r="BM517" s="589">
        <v>0</v>
      </c>
      <c r="BN517" s="589">
        <v>0</v>
      </c>
      <c r="BO517" s="589">
        <v>0</v>
      </c>
      <c r="BP517" s="589">
        <v>0</v>
      </c>
      <c r="BQ517" s="589">
        <v>0</v>
      </c>
      <c r="BR517" s="589">
        <v>0</v>
      </c>
      <c r="BS517" s="589">
        <v>0</v>
      </c>
      <c r="BT517" s="589">
        <v>830000000</v>
      </c>
      <c r="BU517" s="589" t="s">
        <v>2035</v>
      </c>
      <c r="BV517" s="588">
        <f t="shared" ref="BV517:BV541" si="456">+Q517*BX517</f>
        <v>4.9500000000000002E-2</v>
      </c>
      <c r="BW517" s="588">
        <v>15000</v>
      </c>
      <c r="BX517" s="623">
        <f t="shared" si="440"/>
        <v>0.15</v>
      </c>
      <c r="BY517" s="607">
        <v>9845</v>
      </c>
      <c r="BZ517" s="629">
        <v>10789</v>
      </c>
      <c r="CA517" s="1017">
        <v>50810</v>
      </c>
      <c r="CB517" s="557">
        <f t="shared" si="441"/>
        <v>50810</v>
      </c>
      <c r="CC517" s="557">
        <f t="shared" si="442"/>
        <v>338.73333333333335</v>
      </c>
      <c r="CD517" s="622">
        <f t="shared" ref="CD517:CD541" si="457">+IF(CC517&lt;100,CC517,100)</f>
        <v>100</v>
      </c>
      <c r="CE517" s="621">
        <f t="shared" ref="CE517:CE541" si="458">+(CD517*BV517)/100</f>
        <v>4.9500000000000002E-2</v>
      </c>
      <c r="CF517" s="605">
        <f t="shared" ref="CF517:CF541" si="459">+IF(BZ517&gt;BW517,100,CD517)</f>
        <v>100</v>
      </c>
      <c r="CG517" s="621">
        <f t="shared" ref="CG517:CG535" si="460">(CC517*BV517)/100</f>
        <v>0.16767300000000002</v>
      </c>
      <c r="CH517" s="553">
        <f t="shared" ref="CH517:CH541" si="461">+Q517*CJ517</f>
        <v>0.14850000000000002</v>
      </c>
      <c r="CI517" s="552">
        <v>45000</v>
      </c>
      <c r="CJ517" s="551">
        <f t="shared" si="443"/>
        <v>0.45</v>
      </c>
      <c r="CK517" s="874">
        <v>0</v>
      </c>
      <c r="CL517" s="533">
        <f t="shared" si="433"/>
        <v>45000</v>
      </c>
      <c r="CM517" s="619">
        <f t="shared" si="444"/>
        <v>0</v>
      </c>
      <c r="CN517" s="619">
        <f t="shared" si="445"/>
        <v>0</v>
      </c>
      <c r="CO517" s="549">
        <f t="shared" ref="CO517:CO541" si="462">+IF(CN517&lt;100,CN517,100)</f>
        <v>0</v>
      </c>
      <c r="CP517" s="619">
        <f t="shared" ref="CP517:CP541" si="463">+(CO517*CH517)/100</f>
        <v>0</v>
      </c>
      <c r="CQ517" s="619">
        <f t="shared" ref="CQ517:CQ541" si="464">+(CN517*CH517)/100</f>
        <v>0</v>
      </c>
      <c r="CR517" s="546">
        <v>14415000000</v>
      </c>
      <c r="CS517" s="546">
        <v>0</v>
      </c>
      <c r="CT517" s="546">
        <v>0</v>
      </c>
      <c r="CU517" s="546">
        <v>0</v>
      </c>
      <c r="CV517" s="546">
        <v>0</v>
      </c>
      <c r="CW517" s="546">
        <v>0</v>
      </c>
      <c r="CX517" s="546">
        <v>0</v>
      </c>
      <c r="CY517" s="546">
        <v>14415000</v>
      </c>
      <c r="CZ517" s="618">
        <v>0</v>
      </c>
      <c r="DA517" s="618">
        <v>0</v>
      </c>
      <c r="DB517" s="618">
        <v>0</v>
      </c>
      <c r="DC517" s="618">
        <v>0</v>
      </c>
      <c r="DD517" s="618">
        <v>0</v>
      </c>
      <c r="DE517" s="618">
        <v>0</v>
      </c>
      <c r="DF517" s="618">
        <v>0</v>
      </c>
      <c r="DG517" s="618">
        <v>0</v>
      </c>
      <c r="DH517" s="618">
        <v>0</v>
      </c>
      <c r="DI517" s="618">
        <v>0</v>
      </c>
      <c r="DJ517" s="618">
        <v>0</v>
      </c>
      <c r="DK517" s="1034">
        <f t="shared" si="446"/>
        <v>112640</v>
      </c>
      <c r="DL517" s="543">
        <f t="shared" ref="DL517:DL541" si="465">+R517+AT517+BV517+CH517</f>
        <v>0.33</v>
      </c>
      <c r="DM517" s="542">
        <f t="shared" ref="DM517:DM541" si="466">+DK517*100/P517</f>
        <v>112.64</v>
      </c>
      <c r="DN517" s="594">
        <f t="shared" ref="DN517:DN541" si="467">+IF(DM517&lt;100,DM517,100)</f>
        <v>100</v>
      </c>
      <c r="DO517" s="540">
        <f t="shared" ref="DO517:DO541" si="468">+(DN517*Q517)/100</f>
        <v>0.33</v>
      </c>
      <c r="DP517" s="597">
        <f t="shared" si="448"/>
        <v>0.33</v>
      </c>
      <c r="DQ517" s="538">
        <f t="shared" ref="DQ517:DQ541" si="469">+IF(DL517&lt;DP517,DL517,DP517)</f>
        <v>0.33</v>
      </c>
      <c r="DR517" s="617">
        <f t="shared" ref="DR517:DR541" si="470">+T517+AV517+BX517+CJ517</f>
        <v>1</v>
      </c>
      <c r="DS517" s="616">
        <f t="shared" ref="DS517:DS541" si="471">+Q517-R517-AT517-BV517-CH517</f>
        <v>0</v>
      </c>
      <c r="DT517" s="259">
        <v>621</v>
      </c>
      <c r="DU517" s="260" t="s">
        <v>247</v>
      </c>
      <c r="DV517" s="259"/>
      <c r="DW517" s="260" t="s">
        <v>242</v>
      </c>
      <c r="DX517" s="259"/>
      <c r="DY517" s="259"/>
      <c r="DZ517" s="259"/>
      <c r="EA517" s="987"/>
      <c r="EB517" s="1041" t="s">
        <v>2818</v>
      </c>
      <c r="EC517" s="802">
        <v>14415000000</v>
      </c>
      <c r="EE517" s="1047"/>
    </row>
    <row r="518" spans="4:135" s="534" customFormat="1" ht="89.25" hidden="1" x14ac:dyDescent="0.3">
      <c r="D518" s="783">
        <v>515</v>
      </c>
      <c r="E518" s="799">
        <v>587</v>
      </c>
      <c r="F518" s="739" t="s">
        <v>203</v>
      </c>
      <c r="G518" s="739" t="s">
        <v>30</v>
      </c>
      <c r="H518" s="739" t="s">
        <v>160</v>
      </c>
      <c r="I518" s="739" t="s">
        <v>1371</v>
      </c>
      <c r="J518" s="573" t="s">
        <v>1372</v>
      </c>
      <c r="K518" s="573" t="s">
        <v>1374</v>
      </c>
      <c r="L518" s="596" t="s">
        <v>2038</v>
      </c>
      <c r="M518" s="571" t="s">
        <v>2017</v>
      </c>
      <c r="N518" s="571">
        <v>0</v>
      </c>
      <c r="O518" s="570">
        <f t="shared" si="447"/>
        <v>56</v>
      </c>
      <c r="P518" s="569">
        <v>56</v>
      </c>
      <c r="Q518" s="628">
        <v>0.33</v>
      </c>
      <c r="R518" s="580">
        <f t="shared" si="449"/>
        <v>1.7678571428571429E-2</v>
      </c>
      <c r="S518" s="627">
        <v>3</v>
      </c>
      <c r="T518" s="575">
        <f t="shared" si="434"/>
        <v>5.3571428571428568E-2</v>
      </c>
      <c r="U518" s="992">
        <v>4</v>
      </c>
      <c r="V518" s="626">
        <f t="shared" si="435"/>
        <v>4</v>
      </c>
      <c r="W518" s="594">
        <f t="shared" si="436"/>
        <v>133.33333333333334</v>
      </c>
      <c r="X518" s="594">
        <f t="shared" si="450"/>
        <v>100</v>
      </c>
      <c r="Y518" s="594">
        <f t="shared" si="417"/>
        <v>1.7678571428571429E-2</v>
      </c>
      <c r="Z518" s="594">
        <f t="shared" si="451"/>
        <v>100</v>
      </c>
      <c r="AA518" s="593">
        <v>150000000</v>
      </c>
      <c r="AB518" s="593">
        <v>150000000</v>
      </c>
      <c r="AC518" s="593">
        <v>0</v>
      </c>
      <c r="AD518" s="593">
        <v>0</v>
      </c>
      <c r="AE518" s="593">
        <v>0</v>
      </c>
      <c r="AF518" s="593">
        <v>0</v>
      </c>
      <c r="AG518" s="593">
        <v>0</v>
      </c>
      <c r="AH518" s="593">
        <v>0</v>
      </c>
      <c r="AI518" s="593">
        <v>0</v>
      </c>
      <c r="AJ518" s="593">
        <v>0</v>
      </c>
      <c r="AK518" s="593">
        <v>0</v>
      </c>
      <c r="AL518" s="593">
        <v>0</v>
      </c>
      <c r="AM518" s="593">
        <v>0</v>
      </c>
      <c r="AN518" s="593">
        <v>0</v>
      </c>
      <c r="AO518" s="593">
        <v>0</v>
      </c>
      <c r="AP518" s="593">
        <v>0</v>
      </c>
      <c r="AQ518" s="593">
        <v>0</v>
      </c>
      <c r="AR518" s="593">
        <v>587978000</v>
      </c>
      <c r="AS518" s="593" t="s">
        <v>2035</v>
      </c>
      <c r="AT518" s="570">
        <f t="shared" si="452"/>
        <v>9.4285714285714278E-2</v>
      </c>
      <c r="AU518" s="571">
        <v>16</v>
      </c>
      <c r="AV518" s="625">
        <f t="shared" si="437"/>
        <v>0.2857142857142857</v>
      </c>
      <c r="AW518" s="1003">
        <v>5</v>
      </c>
      <c r="AX518" s="604">
        <f t="shared" si="438"/>
        <v>5</v>
      </c>
      <c r="AY518" s="604">
        <f t="shared" si="439"/>
        <v>31.25</v>
      </c>
      <c r="AZ518" s="604">
        <f t="shared" si="453"/>
        <v>31.25</v>
      </c>
      <c r="BA518" s="592">
        <f t="shared" si="454"/>
        <v>2.946428571428571E-2</v>
      </c>
      <c r="BB518" s="592">
        <f t="shared" si="455"/>
        <v>31.25</v>
      </c>
      <c r="BC518" s="591">
        <v>1222000000</v>
      </c>
      <c r="BD518" s="591">
        <v>0</v>
      </c>
      <c r="BE518" s="591">
        <v>312000000</v>
      </c>
      <c r="BF518" s="591">
        <v>0</v>
      </c>
      <c r="BG518" s="591">
        <v>0</v>
      </c>
      <c r="BH518" s="591">
        <v>0</v>
      </c>
      <c r="BI518" s="591">
        <v>0</v>
      </c>
      <c r="BJ518" s="591">
        <v>910000000</v>
      </c>
      <c r="BK518" s="624">
        <v>436406759</v>
      </c>
      <c r="BL518" s="589">
        <v>436406759</v>
      </c>
      <c r="BM518" s="589">
        <v>0</v>
      </c>
      <c r="BN518" s="589">
        <v>0</v>
      </c>
      <c r="BO518" s="589">
        <v>0</v>
      </c>
      <c r="BP518" s="589">
        <v>0</v>
      </c>
      <c r="BQ518" s="589">
        <v>0</v>
      </c>
      <c r="BR518" s="589">
        <v>0</v>
      </c>
      <c r="BS518" s="589">
        <v>0</v>
      </c>
      <c r="BT518" s="589">
        <v>122000000</v>
      </c>
      <c r="BU518" s="589" t="s">
        <v>2037</v>
      </c>
      <c r="BV518" s="588">
        <f t="shared" si="456"/>
        <v>0.10607142857142858</v>
      </c>
      <c r="BW518" s="588">
        <v>18</v>
      </c>
      <c r="BX518" s="623">
        <f t="shared" si="440"/>
        <v>0.32142857142857145</v>
      </c>
      <c r="BY518" s="607">
        <v>6</v>
      </c>
      <c r="BZ518" s="629">
        <v>6</v>
      </c>
      <c r="CA518" s="1017">
        <v>22</v>
      </c>
      <c r="CB518" s="557">
        <f t="shared" si="441"/>
        <v>22</v>
      </c>
      <c r="CC518" s="557">
        <f t="shared" si="442"/>
        <v>122.22222222222223</v>
      </c>
      <c r="CD518" s="622">
        <f t="shared" si="457"/>
        <v>100</v>
      </c>
      <c r="CE518" s="621">
        <f t="shared" si="458"/>
        <v>0.10607142857142858</v>
      </c>
      <c r="CF518" s="605">
        <f t="shared" si="459"/>
        <v>100</v>
      </c>
      <c r="CG518" s="621">
        <f t="shared" si="460"/>
        <v>0.12964285714285714</v>
      </c>
      <c r="CH518" s="553">
        <f t="shared" si="461"/>
        <v>0.11196428571428572</v>
      </c>
      <c r="CI518" s="552">
        <v>19</v>
      </c>
      <c r="CJ518" s="551">
        <f t="shared" si="443"/>
        <v>0.3392857142857143</v>
      </c>
      <c r="CK518" s="874">
        <v>20</v>
      </c>
      <c r="CL518" s="533">
        <f t="shared" si="433"/>
        <v>-1</v>
      </c>
      <c r="CM518" s="619">
        <f t="shared" si="444"/>
        <v>20</v>
      </c>
      <c r="CN518" s="619">
        <f t="shared" si="445"/>
        <v>105.26315789473684</v>
      </c>
      <c r="CO518" s="549">
        <f t="shared" si="462"/>
        <v>100</v>
      </c>
      <c r="CP518" s="619">
        <f t="shared" si="463"/>
        <v>0.11196428571428572</v>
      </c>
      <c r="CQ518" s="619">
        <f t="shared" si="464"/>
        <v>0.11785714285714287</v>
      </c>
      <c r="CR518" s="546">
        <v>2410000000</v>
      </c>
      <c r="CS518" s="546">
        <v>1500000000</v>
      </c>
      <c r="CT518" s="546">
        <v>0</v>
      </c>
      <c r="CU518" s="546">
        <v>0</v>
      </c>
      <c r="CV518" s="546">
        <v>0</v>
      </c>
      <c r="CW518" s="546">
        <v>0</v>
      </c>
      <c r="CX518" s="546">
        <v>0</v>
      </c>
      <c r="CY518" s="546">
        <v>910000000</v>
      </c>
      <c r="CZ518" s="618">
        <v>0</v>
      </c>
      <c r="DA518" s="618">
        <v>0</v>
      </c>
      <c r="DB518" s="618">
        <v>0</v>
      </c>
      <c r="DC518" s="618">
        <v>0</v>
      </c>
      <c r="DD518" s="618">
        <v>0</v>
      </c>
      <c r="DE518" s="618">
        <v>0</v>
      </c>
      <c r="DF518" s="618">
        <v>0</v>
      </c>
      <c r="DG518" s="618">
        <v>0</v>
      </c>
      <c r="DH518" s="618">
        <v>0</v>
      </c>
      <c r="DI518" s="618">
        <v>0</v>
      </c>
      <c r="DJ518" s="618">
        <v>0</v>
      </c>
      <c r="DK518" s="1034">
        <f t="shared" si="446"/>
        <v>51</v>
      </c>
      <c r="DL518" s="543">
        <f t="shared" si="465"/>
        <v>0.33</v>
      </c>
      <c r="DM518" s="542">
        <f t="shared" si="466"/>
        <v>91.071428571428569</v>
      </c>
      <c r="DN518" s="594">
        <f t="shared" si="467"/>
        <v>91.071428571428569</v>
      </c>
      <c r="DO518" s="540">
        <f t="shared" si="468"/>
        <v>0.30053571428571429</v>
      </c>
      <c r="DP518" s="597">
        <f t="shared" si="448"/>
        <v>0.30053571428571429</v>
      </c>
      <c r="DQ518" s="538">
        <f t="shared" si="469"/>
        <v>0.30053571428571429</v>
      </c>
      <c r="DR518" s="617">
        <f t="shared" si="470"/>
        <v>1</v>
      </c>
      <c r="DS518" s="616">
        <f t="shared" si="471"/>
        <v>0</v>
      </c>
      <c r="DT518" s="259">
        <v>621</v>
      </c>
      <c r="DU518" s="260" t="s">
        <v>247</v>
      </c>
      <c r="DV518" s="259"/>
      <c r="DW518" s="260" t="s">
        <v>242</v>
      </c>
      <c r="DX518" s="259"/>
      <c r="DY518" s="259"/>
      <c r="DZ518" s="259"/>
      <c r="EA518" s="987"/>
      <c r="EB518" s="1041" t="s">
        <v>2819</v>
      </c>
      <c r="EC518" s="802">
        <v>2410000000</v>
      </c>
      <c r="EE518" s="1047"/>
    </row>
    <row r="519" spans="4:135" s="534" customFormat="1" ht="102" hidden="1" x14ac:dyDescent="0.3">
      <c r="D519" s="783">
        <v>516</v>
      </c>
      <c r="E519" s="799">
        <v>588</v>
      </c>
      <c r="F519" s="739" t="s">
        <v>203</v>
      </c>
      <c r="G519" s="739" t="s">
        <v>30</v>
      </c>
      <c r="H519" s="739" t="s">
        <v>160</v>
      </c>
      <c r="I519" s="739" t="s">
        <v>1371</v>
      </c>
      <c r="J519" s="573" t="s">
        <v>1375</v>
      </c>
      <c r="K519" s="573" t="s">
        <v>1376</v>
      </c>
      <c r="L519" s="596" t="s">
        <v>1593</v>
      </c>
      <c r="M519" s="571" t="s">
        <v>2017</v>
      </c>
      <c r="N519" s="571">
        <v>0</v>
      </c>
      <c r="O519" s="570">
        <f t="shared" si="447"/>
        <v>100</v>
      </c>
      <c r="P519" s="569">
        <v>100</v>
      </c>
      <c r="Q519" s="628">
        <v>0.25</v>
      </c>
      <c r="R519" s="580">
        <f t="shared" si="449"/>
        <v>0</v>
      </c>
      <c r="S519" s="627">
        <v>0</v>
      </c>
      <c r="T519" s="575">
        <f t="shared" si="434"/>
        <v>0</v>
      </c>
      <c r="U519" s="992">
        <v>0</v>
      </c>
      <c r="V519" s="626">
        <f t="shared" si="435"/>
        <v>0</v>
      </c>
      <c r="W519" s="594">
        <f t="shared" si="436"/>
        <v>0</v>
      </c>
      <c r="X519" s="594">
        <f t="shared" si="450"/>
        <v>0</v>
      </c>
      <c r="Y519" s="594">
        <f t="shared" si="417"/>
        <v>0</v>
      </c>
      <c r="Z519" s="594">
        <f t="shared" si="451"/>
        <v>0</v>
      </c>
      <c r="AA519" s="593">
        <v>0</v>
      </c>
      <c r="AB519" s="593">
        <v>0</v>
      </c>
      <c r="AC519" s="593">
        <v>0</v>
      </c>
      <c r="AD519" s="593">
        <v>0</v>
      </c>
      <c r="AE519" s="593">
        <v>0</v>
      </c>
      <c r="AF519" s="593">
        <v>0</v>
      </c>
      <c r="AG519" s="593">
        <v>0</v>
      </c>
      <c r="AH519" s="593">
        <v>0</v>
      </c>
      <c r="AI519" s="593">
        <v>0</v>
      </c>
      <c r="AJ519" s="593">
        <v>0</v>
      </c>
      <c r="AK519" s="593">
        <v>0</v>
      </c>
      <c r="AL519" s="593">
        <v>0</v>
      </c>
      <c r="AM519" s="593">
        <v>0</v>
      </c>
      <c r="AN519" s="593">
        <v>0</v>
      </c>
      <c r="AO519" s="593">
        <v>0</v>
      </c>
      <c r="AP519" s="593">
        <v>0</v>
      </c>
      <c r="AQ519" s="593">
        <v>0</v>
      </c>
      <c r="AR519" s="593">
        <v>0</v>
      </c>
      <c r="AS519" s="593">
        <v>0</v>
      </c>
      <c r="AT519" s="570">
        <f t="shared" si="452"/>
        <v>0.25</v>
      </c>
      <c r="AU519" s="571">
        <v>100</v>
      </c>
      <c r="AV519" s="625">
        <f t="shared" si="437"/>
        <v>1</v>
      </c>
      <c r="AW519" s="1003">
        <v>116</v>
      </c>
      <c r="AX519" s="604">
        <f t="shared" si="438"/>
        <v>116</v>
      </c>
      <c r="AY519" s="604">
        <f t="shared" si="439"/>
        <v>116</v>
      </c>
      <c r="AZ519" s="604">
        <f t="shared" si="453"/>
        <v>100</v>
      </c>
      <c r="BA519" s="592">
        <f t="shared" si="454"/>
        <v>0.25</v>
      </c>
      <c r="BB519" s="592">
        <f t="shared" si="455"/>
        <v>100</v>
      </c>
      <c r="BC519" s="591">
        <v>1907000000</v>
      </c>
      <c r="BD519" s="591">
        <v>0</v>
      </c>
      <c r="BE519" s="591">
        <v>633000000</v>
      </c>
      <c r="BF519" s="591">
        <v>0</v>
      </c>
      <c r="BG519" s="591">
        <v>0</v>
      </c>
      <c r="BH519" s="591">
        <v>0</v>
      </c>
      <c r="BI519" s="591">
        <v>0</v>
      </c>
      <c r="BJ519" s="591">
        <v>1274000000</v>
      </c>
      <c r="BK519" s="624">
        <v>0</v>
      </c>
      <c r="BL519" s="589">
        <v>0</v>
      </c>
      <c r="BM519" s="589">
        <v>0</v>
      </c>
      <c r="BN519" s="589">
        <v>0</v>
      </c>
      <c r="BO519" s="589">
        <v>0</v>
      </c>
      <c r="BP519" s="589">
        <v>0</v>
      </c>
      <c r="BQ519" s="589">
        <v>0</v>
      </c>
      <c r="BR519" s="589">
        <v>0</v>
      </c>
      <c r="BS519" s="589">
        <v>0</v>
      </c>
      <c r="BT519" s="589">
        <v>0</v>
      </c>
      <c r="BU519" s="589">
        <v>0</v>
      </c>
      <c r="BV519" s="588">
        <f t="shared" si="456"/>
        <v>0</v>
      </c>
      <c r="BW519" s="588">
        <v>0</v>
      </c>
      <c r="BX519" s="623">
        <f t="shared" si="440"/>
        <v>0</v>
      </c>
      <c r="BY519" s="607">
        <v>0</v>
      </c>
      <c r="BZ519" s="629">
        <v>0</v>
      </c>
      <c r="CA519" s="1017">
        <v>0</v>
      </c>
      <c r="CB519" s="557">
        <f t="shared" si="441"/>
        <v>0</v>
      </c>
      <c r="CC519" s="557">
        <f t="shared" si="442"/>
        <v>0</v>
      </c>
      <c r="CD519" s="622">
        <f t="shared" si="457"/>
        <v>0</v>
      </c>
      <c r="CE519" s="621">
        <f t="shared" si="458"/>
        <v>0</v>
      </c>
      <c r="CF519" s="605">
        <f t="shared" si="459"/>
        <v>0</v>
      </c>
      <c r="CG519" s="621">
        <f t="shared" si="460"/>
        <v>0</v>
      </c>
      <c r="CH519" s="553">
        <f t="shared" si="461"/>
        <v>0</v>
      </c>
      <c r="CI519" s="552">
        <v>0</v>
      </c>
      <c r="CJ519" s="551">
        <f t="shared" si="443"/>
        <v>0</v>
      </c>
      <c r="CK519" s="871">
        <v>0</v>
      </c>
      <c r="CL519" s="533">
        <f t="shared" si="433"/>
        <v>0</v>
      </c>
      <c r="CM519" s="619">
        <f t="shared" si="444"/>
        <v>0</v>
      </c>
      <c r="CN519" s="619">
        <f t="shared" si="445"/>
        <v>0</v>
      </c>
      <c r="CO519" s="549">
        <f t="shared" si="462"/>
        <v>0</v>
      </c>
      <c r="CP519" s="619">
        <f t="shared" si="463"/>
        <v>0</v>
      </c>
      <c r="CQ519" s="619">
        <f t="shared" si="464"/>
        <v>0</v>
      </c>
      <c r="CR519" s="546">
        <v>1324000000</v>
      </c>
      <c r="CS519" s="546">
        <v>50000000</v>
      </c>
      <c r="CT519" s="546">
        <v>0</v>
      </c>
      <c r="CU519" s="546">
        <v>0</v>
      </c>
      <c r="CV519" s="546">
        <v>0</v>
      </c>
      <c r="CW519" s="546">
        <v>0</v>
      </c>
      <c r="CX519" s="546">
        <v>0</v>
      </c>
      <c r="CY519" s="546">
        <v>1274000000</v>
      </c>
      <c r="CZ519" s="618">
        <v>0</v>
      </c>
      <c r="DA519" s="618">
        <v>0</v>
      </c>
      <c r="DB519" s="618">
        <v>0</v>
      </c>
      <c r="DC519" s="618">
        <v>0</v>
      </c>
      <c r="DD519" s="618">
        <v>0</v>
      </c>
      <c r="DE519" s="618">
        <v>0</v>
      </c>
      <c r="DF519" s="618">
        <v>0</v>
      </c>
      <c r="DG519" s="618">
        <v>0</v>
      </c>
      <c r="DH519" s="618">
        <v>0</v>
      </c>
      <c r="DI519" s="618">
        <v>0</v>
      </c>
      <c r="DJ519" s="618">
        <v>0</v>
      </c>
      <c r="DK519" s="1034">
        <f t="shared" si="446"/>
        <v>116</v>
      </c>
      <c r="DL519" s="543">
        <f t="shared" si="465"/>
        <v>0.25</v>
      </c>
      <c r="DM519" s="542">
        <f t="shared" si="466"/>
        <v>116</v>
      </c>
      <c r="DN519" s="594">
        <f t="shared" si="467"/>
        <v>100</v>
      </c>
      <c r="DO519" s="540">
        <f t="shared" si="468"/>
        <v>0.25</v>
      </c>
      <c r="DP519" s="597">
        <f t="shared" si="448"/>
        <v>0.25</v>
      </c>
      <c r="DQ519" s="538">
        <f t="shared" si="469"/>
        <v>0.25</v>
      </c>
      <c r="DR519" s="617">
        <f t="shared" si="470"/>
        <v>1</v>
      </c>
      <c r="DS519" s="616">
        <f t="shared" si="471"/>
        <v>0</v>
      </c>
      <c r="DT519" s="259">
        <v>611</v>
      </c>
      <c r="DU519" s="260" t="s">
        <v>256</v>
      </c>
      <c r="DV519" s="259"/>
      <c r="DW519" s="260" t="s">
        <v>242</v>
      </c>
      <c r="DX519" s="259"/>
      <c r="DY519" s="259"/>
      <c r="DZ519" s="259"/>
      <c r="EA519" s="987"/>
      <c r="EB519" s="1041" t="s">
        <v>2820</v>
      </c>
      <c r="EC519" s="802">
        <v>1324000000</v>
      </c>
      <c r="EE519" s="1047"/>
    </row>
    <row r="520" spans="4:135" s="534" customFormat="1" ht="63.75" hidden="1" x14ac:dyDescent="0.3">
      <c r="D520" s="783">
        <v>517</v>
      </c>
      <c r="E520" s="799">
        <v>589</v>
      </c>
      <c r="F520" s="739" t="s">
        <v>203</v>
      </c>
      <c r="G520" s="739" t="s">
        <v>30</v>
      </c>
      <c r="H520" s="739" t="s">
        <v>160</v>
      </c>
      <c r="I520" s="739" t="s">
        <v>1371</v>
      </c>
      <c r="J520" s="573" t="s">
        <v>1375</v>
      </c>
      <c r="K520" s="573" t="s">
        <v>1377</v>
      </c>
      <c r="L520" s="596" t="s">
        <v>2036</v>
      </c>
      <c r="M520" s="571" t="s">
        <v>2017</v>
      </c>
      <c r="N520" s="571">
        <v>0</v>
      </c>
      <c r="O520" s="570">
        <f t="shared" si="447"/>
        <v>17000</v>
      </c>
      <c r="P520" s="569">
        <v>17000</v>
      </c>
      <c r="Q520" s="628">
        <v>0.16500000000000001</v>
      </c>
      <c r="R520" s="580">
        <f t="shared" si="449"/>
        <v>0</v>
      </c>
      <c r="S520" s="627">
        <v>0</v>
      </c>
      <c r="T520" s="575">
        <f t="shared" si="434"/>
        <v>0</v>
      </c>
      <c r="U520" s="992">
        <v>0</v>
      </c>
      <c r="V520" s="626">
        <f t="shared" si="435"/>
        <v>0</v>
      </c>
      <c r="W520" s="594">
        <f t="shared" si="436"/>
        <v>0</v>
      </c>
      <c r="X520" s="594">
        <f t="shared" si="450"/>
        <v>0</v>
      </c>
      <c r="Y520" s="594">
        <f t="shared" si="417"/>
        <v>0</v>
      </c>
      <c r="Z520" s="594">
        <f t="shared" si="451"/>
        <v>0</v>
      </c>
      <c r="AA520" s="593">
        <v>0</v>
      </c>
      <c r="AB520" s="593">
        <v>0</v>
      </c>
      <c r="AC520" s="593">
        <v>0</v>
      </c>
      <c r="AD520" s="593">
        <v>0</v>
      </c>
      <c r="AE520" s="593">
        <v>0</v>
      </c>
      <c r="AF520" s="593">
        <v>0</v>
      </c>
      <c r="AG520" s="593">
        <v>0</v>
      </c>
      <c r="AH520" s="593">
        <v>0</v>
      </c>
      <c r="AI520" s="593">
        <v>0</v>
      </c>
      <c r="AJ520" s="593">
        <v>0</v>
      </c>
      <c r="AK520" s="593">
        <v>0</v>
      </c>
      <c r="AL520" s="593">
        <v>0</v>
      </c>
      <c r="AM520" s="593">
        <v>0</v>
      </c>
      <c r="AN520" s="593">
        <v>0</v>
      </c>
      <c r="AO520" s="593">
        <v>0</v>
      </c>
      <c r="AP520" s="593">
        <v>0</v>
      </c>
      <c r="AQ520" s="593">
        <v>0</v>
      </c>
      <c r="AR520" s="593">
        <v>0</v>
      </c>
      <c r="AS520" s="593">
        <v>0</v>
      </c>
      <c r="AT520" s="570">
        <f t="shared" si="452"/>
        <v>4.8529411764705883E-2</v>
      </c>
      <c r="AU520" s="571">
        <v>5000</v>
      </c>
      <c r="AV520" s="625">
        <f t="shared" si="437"/>
        <v>0.29411764705882354</v>
      </c>
      <c r="AW520" s="1003">
        <v>4000</v>
      </c>
      <c r="AX520" s="604">
        <f t="shared" si="438"/>
        <v>4000</v>
      </c>
      <c r="AY520" s="604">
        <f t="shared" si="439"/>
        <v>80</v>
      </c>
      <c r="AZ520" s="604">
        <f t="shared" si="453"/>
        <v>80</v>
      </c>
      <c r="BA520" s="592">
        <f t="shared" si="454"/>
        <v>3.8823529411764708E-2</v>
      </c>
      <c r="BB520" s="592">
        <f t="shared" si="455"/>
        <v>80</v>
      </c>
      <c r="BC520" s="591">
        <v>0</v>
      </c>
      <c r="BD520" s="591">
        <v>0</v>
      </c>
      <c r="BE520" s="591">
        <v>0</v>
      </c>
      <c r="BF520" s="591">
        <v>0</v>
      </c>
      <c r="BG520" s="591">
        <v>0</v>
      </c>
      <c r="BH520" s="591">
        <v>0</v>
      </c>
      <c r="BI520" s="591">
        <v>0</v>
      </c>
      <c r="BJ520" s="591">
        <v>0</v>
      </c>
      <c r="BK520" s="624">
        <v>0</v>
      </c>
      <c r="BL520" s="589">
        <v>0</v>
      </c>
      <c r="BM520" s="589">
        <v>0</v>
      </c>
      <c r="BN520" s="589">
        <v>0</v>
      </c>
      <c r="BO520" s="589">
        <v>0</v>
      </c>
      <c r="BP520" s="589">
        <v>0</v>
      </c>
      <c r="BQ520" s="589">
        <v>0</v>
      </c>
      <c r="BR520" s="589">
        <v>0</v>
      </c>
      <c r="BS520" s="589">
        <v>0</v>
      </c>
      <c r="BT520" s="589">
        <v>0</v>
      </c>
      <c r="BU520" s="589">
        <v>0</v>
      </c>
      <c r="BV520" s="588">
        <f t="shared" si="456"/>
        <v>4.8529411764705883E-2</v>
      </c>
      <c r="BW520" s="588">
        <v>5000</v>
      </c>
      <c r="BX520" s="623">
        <f t="shared" si="440"/>
        <v>0.29411764705882354</v>
      </c>
      <c r="BY520" s="607">
        <v>4000</v>
      </c>
      <c r="BZ520" s="629">
        <v>4000</v>
      </c>
      <c r="CA520" s="1017">
        <v>4000</v>
      </c>
      <c r="CB520" s="557">
        <f t="shared" si="441"/>
        <v>4000</v>
      </c>
      <c r="CC520" s="557">
        <f t="shared" si="442"/>
        <v>80</v>
      </c>
      <c r="CD520" s="622">
        <f t="shared" si="457"/>
        <v>80</v>
      </c>
      <c r="CE520" s="621">
        <f t="shared" si="458"/>
        <v>3.8823529411764708E-2</v>
      </c>
      <c r="CF520" s="605">
        <f t="shared" si="459"/>
        <v>80</v>
      </c>
      <c r="CG520" s="621">
        <f t="shared" si="460"/>
        <v>3.8823529411764708E-2</v>
      </c>
      <c r="CH520" s="553">
        <f t="shared" si="461"/>
        <v>6.7941176470588241E-2</v>
      </c>
      <c r="CI520" s="552">
        <v>7000</v>
      </c>
      <c r="CJ520" s="551">
        <f t="shared" si="443"/>
        <v>0.41176470588235292</v>
      </c>
      <c r="CK520" s="871">
        <v>0</v>
      </c>
      <c r="CL520" s="533">
        <f t="shared" si="433"/>
        <v>7000</v>
      </c>
      <c r="CM520" s="619">
        <f t="shared" si="444"/>
        <v>0</v>
      </c>
      <c r="CN520" s="619">
        <f t="shared" si="445"/>
        <v>0</v>
      </c>
      <c r="CO520" s="549">
        <f t="shared" si="462"/>
        <v>0</v>
      </c>
      <c r="CP520" s="619">
        <f t="shared" si="463"/>
        <v>0</v>
      </c>
      <c r="CQ520" s="619">
        <f t="shared" si="464"/>
        <v>0</v>
      </c>
      <c r="CR520" s="546">
        <v>0</v>
      </c>
      <c r="CS520" s="546">
        <v>0</v>
      </c>
      <c r="CT520" s="546">
        <v>0</v>
      </c>
      <c r="CU520" s="546">
        <v>0</v>
      </c>
      <c r="CV520" s="546">
        <v>0</v>
      </c>
      <c r="CW520" s="546">
        <v>0</v>
      </c>
      <c r="CX520" s="546">
        <v>0</v>
      </c>
      <c r="CY520" s="546">
        <v>0</v>
      </c>
      <c r="CZ520" s="618">
        <v>0</v>
      </c>
      <c r="DA520" s="618">
        <v>0</v>
      </c>
      <c r="DB520" s="618">
        <v>0</v>
      </c>
      <c r="DC520" s="618">
        <v>0</v>
      </c>
      <c r="DD520" s="618">
        <v>0</v>
      </c>
      <c r="DE520" s="618">
        <v>0</v>
      </c>
      <c r="DF520" s="618">
        <v>0</v>
      </c>
      <c r="DG520" s="618">
        <v>0</v>
      </c>
      <c r="DH520" s="618">
        <v>0</v>
      </c>
      <c r="DI520" s="618">
        <v>0</v>
      </c>
      <c r="DJ520" s="618">
        <v>0</v>
      </c>
      <c r="DK520" s="1034">
        <f t="shared" si="446"/>
        <v>8000</v>
      </c>
      <c r="DL520" s="543">
        <f t="shared" si="465"/>
        <v>0.16500000000000001</v>
      </c>
      <c r="DM520" s="542">
        <f t="shared" si="466"/>
        <v>47.058823529411768</v>
      </c>
      <c r="DN520" s="594">
        <f t="shared" si="467"/>
        <v>47.058823529411768</v>
      </c>
      <c r="DO520" s="540">
        <f t="shared" si="468"/>
        <v>7.7647058823529416E-2</v>
      </c>
      <c r="DP520" s="597">
        <f t="shared" si="448"/>
        <v>7.7647058823529416E-2</v>
      </c>
      <c r="DQ520" s="538">
        <f t="shared" si="469"/>
        <v>7.7647058823529416E-2</v>
      </c>
      <c r="DR520" s="617">
        <f t="shared" si="470"/>
        <v>1</v>
      </c>
      <c r="DS520" s="616">
        <f t="shared" si="471"/>
        <v>0</v>
      </c>
      <c r="DT520" s="259">
        <v>611</v>
      </c>
      <c r="DU520" s="260" t="s">
        <v>256</v>
      </c>
      <c r="DV520" s="259"/>
      <c r="DW520" s="260" t="s">
        <v>242</v>
      </c>
      <c r="DX520" s="259"/>
      <c r="DY520" s="259"/>
      <c r="DZ520" s="259"/>
      <c r="EA520" s="987"/>
      <c r="EB520" s="1041" t="s">
        <v>2821</v>
      </c>
      <c r="EC520" s="802">
        <v>0</v>
      </c>
      <c r="EE520" s="1047"/>
    </row>
    <row r="521" spans="4:135" s="534" customFormat="1" ht="102" hidden="1" x14ac:dyDescent="0.3">
      <c r="D521" s="783">
        <v>518</v>
      </c>
      <c r="E521" s="799">
        <v>590</v>
      </c>
      <c r="F521" s="739" t="s">
        <v>203</v>
      </c>
      <c r="G521" s="739" t="s">
        <v>30</v>
      </c>
      <c r="H521" s="739" t="s">
        <v>160</v>
      </c>
      <c r="I521" s="739" t="s">
        <v>1371</v>
      </c>
      <c r="J521" s="573" t="s">
        <v>1378</v>
      </c>
      <c r="K521" s="573" t="s">
        <v>1379</v>
      </c>
      <c r="L521" s="596" t="s">
        <v>1593</v>
      </c>
      <c r="M521" s="571" t="s">
        <v>2017</v>
      </c>
      <c r="N521" s="571">
        <v>0</v>
      </c>
      <c r="O521" s="570">
        <f t="shared" si="447"/>
        <v>60</v>
      </c>
      <c r="P521" s="569">
        <v>60</v>
      </c>
      <c r="Q521" s="628">
        <v>0.16500000000000001</v>
      </c>
      <c r="R521" s="580">
        <f t="shared" si="449"/>
        <v>4.9500000000000002E-2</v>
      </c>
      <c r="S521" s="627">
        <v>18</v>
      </c>
      <c r="T521" s="575">
        <f t="shared" si="434"/>
        <v>0.3</v>
      </c>
      <c r="U521" s="992">
        <v>18</v>
      </c>
      <c r="V521" s="626">
        <f t="shared" si="435"/>
        <v>18</v>
      </c>
      <c r="W521" s="594">
        <f t="shared" si="436"/>
        <v>100</v>
      </c>
      <c r="X521" s="594">
        <f t="shared" si="450"/>
        <v>100</v>
      </c>
      <c r="Y521" s="594">
        <f t="shared" si="417"/>
        <v>4.9500000000000002E-2</v>
      </c>
      <c r="Z521" s="594">
        <f t="shared" si="451"/>
        <v>100</v>
      </c>
      <c r="AA521" s="593">
        <v>0</v>
      </c>
      <c r="AB521" s="593">
        <v>0</v>
      </c>
      <c r="AC521" s="593">
        <v>0</v>
      </c>
      <c r="AD521" s="593">
        <v>0</v>
      </c>
      <c r="AE521" s="593">
        <v>0</v>
      </c>
      <c r="AF521" s="593">
        <v>0</v>
      </c>
      <c r="AG521" s="593">
        <v>0</v>
      </c>
      <c r="AH521" s="593">
        <v>0</v>
      </c>
      <c r="AI521" s="593">
        <v>0</v>
      </c>
      <c r="AJ521" s="593">
        <v>0</v>
      </c>
      <c r="AK521" s="593">
        <v>0</v>
      </c>
      <c r="AL521" s="593">
        <v>0</v>
      </c>
      <c r="AM521" s="593">
        <v>0</v>
      </c>
      <c r="AN521" s="593">
        <v>0</v>
      </c>
      <c r="AO521" s="593">
        <v>0</v>
      </c>
      <c r="AP521" s="593">
        <v>0</v>
      </c>
      <c r="AQ521" s="593">
        <v>0</v>
      </c>
      <c r="AR521" s="593">
        <v>181312000</v>
      </c>
      <c r="AS521" s="593" t="s">
        <v>2035</v>
      </c>
      <c r="AT521" s="570">
        <f t="shared" si="452"/>
        <v>3.85E-2</v>
      </c>
      <c r="AU521" s="571">
        <v>14</v>
      </c>
      <c r="AV521" s="625">
        <f t="shared" si="437"/>
        <v>0.23333333333333334</v>
      </c>
      <c r="AW521" s="1003">
        <v>0</v>
      </c>
      <c r="AX521" s="604">
        <f t="shared" si="438"/>
        <v>0</v>
      </c>
      <c r="AY521" s="604">
        <f t="shared" si="439"/>
        <v>0</v>
      </c>
      <c r="AZ521" s="604">
        <f t="shared" si="453"/>
        <v>0</v>
      </c>
      <c r="BA521" s="592">
        <f t="shared" si="454"/>
        <v>0</v>
      </c>
      <c r="BB521" s="592">
        <f t="shared" si="455"/>
        <v>0</v>
      </c>
      <c r="BC521" s="591">
        <v>0</v>
      </c>
      <c r="BD521" s="591">
        <v>0</v>
      </c>
      <c r="BE521" s="591">
        <v>0</v>
      </c>
      <c r="BF521" s="591">
        <v>0</v>
      </c>
      <c r="BG521" s="591">
        <v>0</v>
      </c>
      <c r="BH521" s="591">
        <v>0</v>
      </c>
      <c r="BI521" s="591">
        <v>0</v>
      </c>
      <c r="BJ521" s="591">
        <v>0</v>
      </c>
      <c r="BK521" s="624">
        <v>1252372484</v>
      </c>
      <c r="BL521" s="589">
        <v>1252372484</v>
      </c>
      <c r="BM521" s="589">
        <v>0</v>
      </c>
      <c r="BN521" s="589">
        <v>0</v>
      </c>
      <c r="BO521" s="589">
        <v>0</v>
      </c>
      <c r="BP521" s="589">
        <v>0</v>
      </c>
      <c r="BQ521" s="589">
        <v>0</v>
      </c>
      <c r="BR521" s="589">
        <v>0</v>
      </c>
      <c r="BS521" s="589">
        <v>0</v>
      </c>
      <c r="BT521" s="589">
        <v>0</v>
      </c>
      <c r="BU521" s="589">
        <v>0</v>
      </c>
      <c r="BV521" s="588">
        <f t="shared" si="456"/>
        <v>3.85E-2</v>
      </c>
      <c r="BW521" s="588">
        <v>14</v>
      </c>
      <c r="BX521" s="623">
        <f t="shared" si="440"/>
        <v>0.23333333333333334</v>
      </c>
      <c r="BY521" s="607">
        <v>60</v>
      </c>
      <c r="BZ521" s="629">
        <v>60</v>
      </c>
      <c r="CA521" s="1017">
        <v>68</v>
      </c>
      <c r="CB521" s="557">
        <f t="shared" si="441"/>
        <v>68</v>
      </c>
      <c r="CC521" s="557">
        <f t="shared" si="442"/>
        <v>485.71428571428572</v>
      </c>
      <c r="CD521" s="622">
        <f t="shared" si="457"/>
        <v>100</v>
      </c>
      <c r="CE521" s="621">
        <f t="shared" si="458"/>
        <v>3.85E-2</v>
      </c>
      <c r="CF521" s="605">
        <f t="shared" si="459"/>
        <v>100</v>
      </c>
      <c r="CG521" s="621">
        <f t="shared" si="460"/>
        <v>0.187</v>
      </c>
      <c r="CH521" s="553">
        <f t="shared" si="461"/>
        <v>3.85E-2</v>
      </c>
      <c r="CI521" s="552">
        <v>14</v>
      </c>
      <c r="CJ521" s="551">
        <f t="shared" si="443"/>
        <v>0.23333333333333334</v>
      </c>
      <c r="CK521" s="874">
        <v>68</v>
      </c>
      <c r="CL521" s="533">
        <f t="shared" si="433"/>
        <v>-54</v>
      </c>
      <c r="CM521" s="619">
        <f t="shared" si="444"/>
        <v>68</v>
      </c>
      <c r="CN521" s="619">
        <f t="shared" si="445"/>
        <v>485.71428571428572</v>
      </c>
      <c r="CO521" s="549">
        <f t="shared" si="462"/>
        <v>100</v>
      </c>
      <c r="CP521" s="619">
        <f t="shared" si="463"/>
        <v>3.85E-2</v>
      </c>
      <c r="CQ521" s="619">
        <f t="shared" si="464"/>
        <v>0.187</v>
      </c>
      <c r="CR521" s="546">
        <v>0</v>
      </c>
      <c r="CS521" s="546">
        <v>0</v>
      </c>
      <c r="CT521" s="546">
        <v>0</v>
      </c>
      <c r="CU521" s="546">
        <v>0</v>
      </c>
      <c r="CV521" s="546">
        <v>0</v>
      </c>
      <c r="CW521" s="546">
        <v>0</v>
      </c>
      <c r="CX521" s="546">
        <v>0</v>
      </c>
      <c r="CY521" s="546">
        <v>0</v>
      </c>
      <c r="CZ521" s="618">
        <v>0</v>
      </c>
      <c r="DA521" s="618">
        <v>0</v>
      </c>
      <c r="DB521" s="618">
        <v>0</v>
      </c>
      <c r="DC521" s="618">
        <v>0</v>
      </c>
      <c r="DD521" s="618">
        <v>0</v>
      </c>
      <c r="DE521" s="618">
        <v>0</v>
      </c>
      <c r="DF521" s="618">
        <v>0</v>
      </c>
      <c r="DG521" s="618">
        <v>0</v>
      </c>
      <c r="DH521" s="618">
        <v>0</v>
      </c>
      <c r="DI521" s="618">
        <v>0</v>
      </c>
      <c r="DJ521" s="618">
        <v>0</v>
      </c>
      <c r="DK521" s="1034">
        <f t="shared" si="446"/>
        <v>154</v>
      </c>
      <c r="DL521" s="543">
        <f t="shared" si="465"/>
        <v>0.16500000000000001</v>
      </c>
      <c r="DM521" s="542">
        <f t="shared" si="466"/>
        <v>256.66666666666669</v>
      </c>
      <c r="DN521" s="594">
        <f t="shared" si="467"/>
        <v>100</v>
      </c>
      <c r="DO521" s="540">
        <f t="shared" si="468"/>
        <v>0.16500000000000001</v>
      </c>
      <c r="DP521" s="597">
        <f t="shared" si="448"/>
        <v>0.16500000000000001</v>
      </c>
      <c r="DQ521" s="538">
        <f t="shared" si="469"/>
        <v>0.16500000000000001</v>
      </c>
      <c r="DR521" s="617">
        <f t="shared" si="470"/>
        <v>1</v>
      </c>
      <c r="DS521" s="616">
        <f t="shared" si="471"/>
        <v>0</v>
      </c>
      <c r="DT521" s="259">
        <v>621</v>
      </c>
      <c r="DU521" s="260" t="s">
        <v>247</v>
      </c>
      <c r="DV521" s="259"/>
      <c r="DW521" s="260" t="s">
        <v>242</v>
      </c>
      <c r="DX521" s="259"/>
      <c r="DY521" s="259"/>
      <c r="DZ521" s="259"/>
      <c r="EA521" s="987"/>
      <c r="EB521" s="1041" t="s">
        <v>2822</v>
      </c>
      <c r="EC521" s="802">
        <v>0</v>
      </c>
      <c r="EE521" s="1047"/>
    </row>
    <row r="522" spans="4:135" s="534" customFormat="1" ht="76.5" hidden="1" x14ac:dyDescent="0.3">
      <c r="D522" s="783">
        <v>519</v>
      </c>
      <c r="E522" s="799">
        <v>591</v>
      </c>
      <c r="F522" s="739" t="s">
        <v>203</v>
      </c>
      <c r="G522" s="739" t="s">
        <v>30</v>
      </c>
      <c r="H522" s="739" t="s">
        <v>160</v>
      </c>
      <c r="I522" s="739" t="s">
        <v>1371</v>
      </c>
      <c r="J522" s="573" t="s">
        <v>1378</v>
      </c>
      <c r="K522" s="573" t="s">
        <v>1380</v>
      </c>
      <c r="L522" s="596" t="s">
        <v>1724</v>
      </c>
      <c r="M522" s="571" t="s">
        <v>2017</v>
      </c>
      <c r="N522" s="571">
        <v>0</v>
      </c>
      <c r="O522" s="570">
        <f t="shared" si="447"/>
        <v>100</v>
      </c>
      <c r="P522" s="569">
        <v>100</v>
      </c>
      <c r="Q522" s="628">
        <v>0.16500000000000001</v>
      </c>
      <c r="R522" s="580">
        <f t="shared" si="449"/>
        <v>4.1250000000000002E-2</v>
      </c>
      <c r="S522" s="627">
        <v>25</v>
      </c>
      <c r="T522" s="575">
        <f t="shared" si="434"/>
        <v>0.25</v>
      </c>
      <c r="U522" s="992">
        <v>80.7</v>
      </c>
      <c r="V522" s="626">
        <f t="shared" si="435"/>
        <v>80.7</v>
      </c>
      <c r="W522" s="594">
        <f t="shared" si="436"/>
        <v>322.8</v>
      </c>
      <c r="X522" s="594">
        <f t="shared" si="450"/>
        <v>100</v>
      </c>
      <c r="Y522" s="594">
        <f t="shared" si="417"/>
        <v>4.1250000000000002E-2</v>
      </c>
      <c r="Z522" s="594">
        <f t="shared" si="451"/>
        <v>100</v>
      </c>
      <c r="AA522" s="593">
        <v>0</v>
      </c>
      <c r="AB522" s="593">
        <v>0</v>
      </c>
      <c r="AC522" s="593">
        <v>0</v>
      </c>
      <c r="AD522" s="593">
        <v>0</v>
      </c>
      <c r="AE522" s="593">
        <v>0</v>
      </c>
      <c r="AF522" s="593">
        <v>0</v>
      </c>
      <c r="AG522" s="593">
        <v>0</v>
      </c>
      <c r="AH522" s="593">
        <v>0</v>
      </c>
      <c r="AI522" s="593">
        <v>0</v>
      </c>
      <c r="AJ522" s="593">
        <v>0</v>
      </c>
      <c r="AK522" s="593">
        <v>0</v>
      </c>
      <c r="AL522" s="593">
        <v>0</v>
      </c>
      <c r="AM522" s="593">
        <v>0</v>
      </c>
      <c r="AN522" s="593">
        <v>0</v>
      </c>
      <c r="AO522" s="593">
        <v>0</v>
      </c>
      <c r="AP522" s="593">
        <v>0</v>
      </c>
      <c r="AQ522" s="593">
        <v>0</v>
      </c>
      <c r="AR522" s="593">
        <v>181312000</v>
      </c>
      <c r="AS522" s="593" t="s">
        <v>2035</v>
      </c>
      <c r="AT522" s="570">
        <f t="shared" si="452"/>
        <v>4.1250000000000002E-2</v>
      </c>
      <c r="AU522" s="571">
        <v>25</v>
      </c>
      <c r="AV522" s="625">
        <f t="shared" si="437"/>
        <v>0.25</v>
      </c>
      <c r="AW522" s="1003">
        <v>10</v>
      </c>
      <c r="AX522" s="604">
        <f t="shared" si="438"/>
        <v>10</v>
      </c>
      <c r="AY522" s="604">
        <f t="shared" si="439"/>
        <v>40</v>
      </c>
      <c r="AZ522" s="604">
        <f t="shared" si="453"/>
        <v>40</v>
      </c>
      <c r="BA522" s="592">
        <f t="shared" si="454"/>
        <v>1.6500000000000001E-2</v>
      </c>
      <c r="BB522" s="592">
        <f t="shared" si="455"/>
        <v>40</v>
      </c>
      <c r="BC522" s="591">
        <v>0</v>
      </c>
      <c r="BD522" s="591">
        <v>0</v>
      </c>
      <c r="BE522" s="591">
        <v>0</v>
      </c>
      <c r="BF522" s="591">
        <v>0</v>
      </c>
      <c r="BG522" s="591">
        <v>0</v>
      </c>
      <c r="BH522" s="591">
        <v>0</v>
      </c>
      <c r="BI522" s="591">
        <v>0</v>
      </c>
      <c r="BJ522" s="591">
        <v>0</v>
      </c>
      <c r="BK522" s="624">
        <v>0</v>
      </c>
      <c r="BL522" s="589">
        <v>0</v>
      </c>
      <c r="BM522" s="589">
        <v>0</v>
      </c>
      <c r="BN522" s="589">
        <v>0</v>
      </c>
      <c r="BO522" s="589">
        <v>0</v>
      </c>
      <c r="BP522" s="589">
        <v>0</v>
      </c>
      <c r="BQ522" s="589">
        <v>0</v>
      </c>
      <c r="BR522" s="589">
        <v>0</v>
      </c>
      <c r="BS522" s="589">
        <v>0</v>
      </c>
      <c r="BT522" s="589">
        <v>0</v>
      </c>
      <c r="BU522" s="589">
        <v>0</v>
      </c>
      <c r="BV522" s="588">
        <f t="shared" si="456"/>
        <v>4.1250000000000002E-2</v>
      </c>
      <c r="BW522" s="588">
        <v>25</v>
      </c>
      <c r="BX522" s="623">
        <f t="shared" si="440"/>
        <v>0.25</v>
      </c>
      <c r="BY522" s="607">
        <v>0</v>
      </c>
      <c r="BZ522" s="629">
        <v>0</v>
      </c>
      <c r="CA522" s="1017">
        <v>0</v>
      </c>
      <c r="CB522" s="557">
        <f t="shared" si="441"/>
        <v>0</v>
      </c>
      <c r="CC522" s="557">
        <f t="shared" si="442"/>
        <v>0</v>
      </c>
      <c r="CD522" s="622">
        <f t="shared" si="457"/>
        <v>0</v>
      </c>
      <c r="CE522" s="621">
        <f t="shared" si="458"/>
        <v>0</v>
      </c>
      <c r="CF522" s="605">
        <f t="shared" si="459"/>
        <v>0</v>
      </c>
      <c r="CG522" s="621">
        <f t="shared" si="460"/>
        <v>0</v>
      </c>
      <c r="CH522" s="553">
        <f t="shared" si="461"/>
        <v>4.1250000000000002E-2</v>
      </c>
      <c r="CI522" s="552">
        <v>25</v>
      </c>
      <c r="CJ522" s="551">
        <f t="shared" si="443"/>
        <v>0.25</v>
      </c>
      <c r="CK522" s="871">
        <v>0</v>
      </c>
      <c r="CL522" s="533">
        <f t="shared" si="433"/>
        <v>25</v>
      </c>
      <c r="CM522" s="619">
        <f t="shared" si="444"/>
        <v>0</v>
      </c>
      <c r="CN522" s="619">
        <f t="shared" si="445"/>
        <v>0</v>
      </c>
      <c r="CO522" s="549">
        <f t="shared" si="462"/>
        <v>0</v>
      </c>
      <c r="CP522" s="619">
        <f t="shared" si="463"/>
        <v>0</v>
      </c>
      <c r="CQ522" s="619">
        <f t="shared" si="464"/>
        <v>0</v>
      </c>
      <c r="CR522" s="546">
        <v>0</v>
      </c>
      <c r="CS522" s="546">
        <v>0</v>
      </c>
      <c r="CT522" s="546">
        <v>0</v>
      </c>
      <c r="CU522" s="546">
        <v>0</v>
      </c>
      <c r="CV522" s="546">
        <v>0</v>
      </c>
      <c r="CW522" s="546">
        <v>0</v>
      </c>
      <c r="CX522" s="546">
        <v>0</v>
      </c>
      <c r="CY522" s="546">
        <v>0</v>
      </c>
      <c r="CZ522" s="618">
        <v>0</v>
      </c>
      <c r="DA522" s="618">
        <v>0</v>
      </c>
      <c r="DB522" s="618">
        <v>0</v>
      </c>
      <c r="DC522" s="618">
        <v>0</v>
      </c>
      <c r="DD522" s="618">
        <v>0</v>
      </c>
      <c r="DE522" s="618">
        <v>0</v>
      </c>
      <c r="DF522" s="618">
        <v>0</v>
      </c>
      <c r="DG522" s="618">
        <v>0</v>
      </c>
      <c r="DH522" s="618">
        <v>0</v>
      </c>
      <c r="DI522" s="618">
        <v>0</v>
      </c>
      <c r="DJ522" s="618">
        <v>0</v>
      </c>
      <c r="DK522" s="1034">
        <f t="shared" si="446"/>
        <v>90.7</v>
      </c>
      <c r="DL522" s="543">
        <f t="shared" si="465"/>
        <v>0.16500000000000001</v>
      </c>
      <c r="DM522" s="542">
        <f t="shared" si="466"/>
        <v>90.7</v>
      </c>
      <c r="DN522" s="594">
        <f t="shared" si="467"/>
        <v>90.7</v>
      </c>
      <c r="DO522" s="540">
        <f t="shared" si="468"/>
        <v>0.14965500000000001</v>
      </c>
      <c r="DP522" s="597">
        <f t="shared" si="448"/>
        <v>0.14965500000000001</v>
      </c>
      <c r="DQ522" s="538">
        <f t="shared" si="469"/>
        <v>0.14965500000000001</v>
      </c>
      <c r="DR522" s="617">
        <f t="shared" si="470"/>
        <v>1</v>
      </c>
      <c r="DS522" s="616">
        <f t="shared" si="471"/>
        <v>0</v>
      </c>
      <c r="DT522" s="259">
        <v>621</v>
      </c>
      <c r="DU522" s="260" t="s">
        <v>247</v>
      </c>
      <c r="DV522" s="259"/>
      <c r="DW522" s="260" t="s">
        <v>242</v>
      </c>
      <c r="DX522" s="259"/>
      <c r="DY522" s="259"/>
      <c r="DZ522" s="259"/>
      <c r="EA522" s="987"/>
      <c r="EB522" s="1041" t="s">
        <v>2823</v>
      </c>
      <c r="EC522" s="802">
        <v>0</v>
      </c>
      <c r="EE522" s="1047"/>
    </row>
    <row r="523" spans="4:135" s="534" customFormat="1" ht="63.75" hidden="1" x14ac:dyDescent="0.3">
      <c r="D523" s="783">
        <v>520</v>
      </c>
      <c r="E523" s="799">
        <v>592</v>
      </c>
      <c r="F523" s="739" t="s">
        <v>203</v>
      </c>
      <c r="G523" s="739" t="s">
        <v>30</v>
      </c>
      <c r="H523" s="739" t="s">
        <v>160</v>
      </c>
      <c r="I523" s="739" t="s">
        <v>1371</v>
      </c>
      <c r="J523" s="573" t="s">
        <v>1381</v>
      </c>
      <c r="K523" s="573" t="s">
        <v>1382</v>
      </c>
      <c r="L523" s="596" t="s">
        <v>2034</v>
      </c>
      <c r="M523" s="571" t="s">
        <v>2017</v>
      </c>
      <c r="N523" s="571">
        <v>0</v>
      </c>
      <c r="O523" s="570">
        <f t="shared" si="447"/>
        <v>1</v>
      </c>
      <c r="P523" s="569">
        <v>1</v>
      </c>
      <c r="Q523" s="628">
        <v>0.16500000000000001</v>
      </c>
      <c r="R523" s="580">
        <f t="shared" si="449"/>
        <v>4.9500000000000002E-2</v>
      </c>
      <c r="S523" s="627">
        <v>0.3</v>
      </c>
      <c r="T523" s="575">
        <f t="shared" si="434"/>
        <v>0.3</v>
      </c>
      <c r="U523" s="992">
        <v>0</v>
      </c>
      <c r="V523" s="626">
        <f t="shared" si="435"/>
        <v>0</v>
      </c>
      <c r="W523" s="594">
        <f t="shared" si="436"/>
        <v>0</v>
      </c>
      <c r="X523" s="594">
        <f t="shared" si="450"/>
        <v>0</v>
      </c>
      <c r="Y523" s="594">
        <f t="shared" si="417"/>
        <v>0</v>
      </c>
      <c r="Z523" s="594">
        <f t="shared" si="451"/>
        <v>0</v>
      </c>
      <c r="AA523" s="593">
        <v>0</v>
      </c>
      <c r="AB523" s="593">
        <v>0</v>
      </c>
      <c r="AC523" s="593">
        <v>0</v>
      </c>
      <c r="AD523" s="593">
        <v>0</v>
      </c>
      <c r="AE523" s="593">
        <v>0</v>
      </c>
      <c r="AF523" s="593">
        <v>0</v>
      </c>
      <c r="AG523" s="593">
        <v>0</v>
      </c>
      <c r="AH523" s="593">
        <v>0</v>
      </c>
      <c r="AI523" s="593">
        <v>0</v>
      </c>
      <c r="AJ523" s="593">
        <v>0</v>
      </c>
      <c r="AK523" s="593">
        <v>0</v>
      </c>
      <c r="AL523" s="593">
        <v>0</v>
      </c>
      <c r="AM523" s="593">
        <v>0</v>
      </c>
      <c r="AN523" s="593">
        <v>0</v>
      </c>
      <c r="AO523" s="593">
        <v>0</v>
      </c>
      <c r="AP523" s="593">
        <v>0</v>
      </c>
      <c r="AQ523" s="593">
        <v>0</v>
      </c>
      <c r="AR523" s="593">
        <v>0</v>
      </c>
      <c r="AS523" s="593">
        <v>0</v>
      </c>
      <c r="AT523" s="570">
        <f t="shared" si="452"/>
        <v>0.11549999999999999</v>
      </c>
      <c r="AU523" s="571">
        <v>0.7</v>
      </c>
      <c r="AV523" s="625">
        <f t="shared" si="437"/>
        <v>0.7</v>
      </c>
      <c r="AW523" s="1003">
        <v>0.1</v>
      </c>
      <c r="AX523" s="604">
        <f t="shared" si="438"/>
        <v>0.1</v>
      </c>
      <c r="AY523" s="604">
        <f t="shared" si="439"/>
        <v>14.285714285714286</v>
      </c>
      <c r="AZ523" s="604">
        <f t="shared" si="453"/>
        <v>14.285714285714286</v>
      </c>
      <c r="BA523" s="592">
        <f t="shared" si="454"/>
        <v>1.6500000000000001E-2</v>
      </c>
      <c r="BB523" s="592">
        <f t="shared" si="455"/>
        <v>14.285714285714286</v>
      </c>
      <c r="BC523" s="591">
        <v>0</v>
      </c>
      <c r="BD523" s="591">
        <v>0</v>
      </c>
      <c r="BE523" s="591">
        <v>0</v>
      </c>
      <c r="BF523" s="591">
        <v>0</v>
      </c>
      <c r="BG523" s="591">
        <v>0</v>
      </c>
      <c r="BH523" s="591">
        <v>0</v>
      </c>
      <c r="BI523" s="591">
        <v>0</v>
      </c>
      <c r="BJ523" s="591">
        <v>0</v>
      </c>
      <c r="BK523" s="624">
        <v>0</v>
      </c>
      <c r="BL523" s="589">
        <v>0</v>
      </c>
      <c r="BM523" s="589">
        <v>0</v>
      </c>
      <c r="BN523" s="589">
        <v>0</v>
      </c>
      <c r="BO523" s="589">
        <v>0</v>
      </c>
      <c r="BP523" s="589">
        <v>0</v>
      </c>
      <c r="BQ523" s="589">
        <v>0</v>
      </c>
      <c r="BR523" s="589">
        <v>0</v>
      </c>
      <c r="BS523" s="589">
        <v>0</v>
      </c>
      <c r="BT523" s="589">
        <v>0</v>
      </c>
      <c r="BU523" s="589">
        <v>0</v>
      </c>
      <c r="BV523" s="588">
        <f t="shared" si="456"/>
        <v>0</v>
      </c>
      <c r="BW523" s="588">
        <v>0</v>
      </c>
      <c r="BX523" s="623">
        <f t="shared" si="440"/>
        <v>0</v>
      </c>
      <c r="BY523" s="639">
        <v>0.2</v>
      </c>
      <c r="BZ523" s="638">
        <v>0.20000000298023224</v>
      </c>
      <c r="CA523" s="1018">
        <v>0.2</v>
      </c>
      <c r="CB523" s="557">
        <f t="shared" si="441"/>
        <v>0.2</v>
      </c>
      <c r="CC523" s="557">
        <f t="shared" si="442"/>
        <v>0</v>
      </c>
      <c r="CD523" s="622">
        <f t="shared" si="457"/>
        <v>0</v>
      </c>
      <c r="CE523" s="621">
        <f t="shared" si="458"/>
        <v>0</v>
      </c>
      <c r="CF523" s="605">
        <f t="shared" si="459"/>
        <v>100</v>
      </c>
      <c r="CG523" s="621">
        <f t="shared" si="460"/>
        <v>0</v>
      </c>
      <c r="CH523" s="553">
        <f t="shared" si="461"/>
        <v>0</v>
      </c>
      <c r="CI523" s="552">
        <v>0</v>
      </c>
      <c r="CJ523" s="551">
        <f t="shared" si="443"/>
        <v>0</v>
      </c>
      <c r="CK523" s="871">
        <v>0</v>
      </c>
      <c r="CL523" s="533">
        <f t="shared" si="433"/>
        <v>0</v>
      </c>
      <c r="CM523" s="619">
        <f t="shared" si="444"/>
        <v>0</v>
      </c>
      <c r="CN523" s="619">
        <f t="shared" si="445"/>
        <v>0</v>
      </c>
      <c r="CO523" s="549">
        <f t="shared" si="462"/>
        <v>0</v>
      </c>
      <c r="CP523" s="619">
        <f t="shared" si="463"/>
        <v>0</v>
      </c>
      <c r="CQ523" s="619">
        <f t="shared" si="464"/>
        <v>0</v>
      </c>
      <c r="CR523" s="546">
        <v>0</v>
      </c>
      <c r="CS523" s="546">
        <v>0</v>
      </c>
      <c r="CT523" s="546">
        <v>0</v>
      </c>
      <c r="CU523" s="546">
        <v>0</v>
      </c>
      <c r="CV523" s="546">
        <v>0</v>
      </c>
      <c r="CW523" s="546">
        <v>0</v>
      </c>
      <c r="CX523" s="546">
        <v>0</v>
      </c>
      <c r="CY523" s="546">
        <v>0</v>
      </c>
      <c r="CZ523" s="618">
        <v>0</v>
      </c>
      <c r="DA523" s="618">
        <v>0</v>
      </c>
      <c r="DB523" s="618">
        <v>0</v>
      </c>
      <c r="DC523" s="618">
        <v>0</v>
      </c>
      <c r="DD523" s="618">
        <v>0</v>
      </c>
      <c r="DE523" s="618">
        <v>0</v>
      </c>
      <c r="DF523" s="618">
        <v>0</v>
      </c>
      <c r="DG523" s="618">
        <v>0</v>
      </c>
      <c r="DH523" s="618">
        <v>0</v>
      </c>
      <c r="DI523" s="618">
        <v>0</v>
      </c>
      <c r="DJ523" s="618">
        <v>0</v>
      </c>
      <c r="DK523" s="1034">
        <f t="shared" si="446"/>
        <v>0.30000000000000004</v>
      </c>
      <c r="DL523" s="543">
        <f t="shared" si="465"/>
        <v>0.16499999999999998</v>
      </c>
      <c r="DM523" s="542">
        <f t="shared" si="466"/>
        <v>30.000000000000004</v>
      </c>
      <c r="DN523" s="594">
        <f t="shared" si="467"/>
        <v>30.000000000000004</v>
      </c>
      <c r="DO523" s="540">
        <f t="shared" si="468"/>
        <v>4.9500000000000009E-2</v>
      </c>
      <c r="DP523" s="597">
        <f t="shared" si="448"/>
        <v>4.9500000000000009E-2</v>
      </c>
      <c r="DQ523" s="538">
        <f t="shared" si="469"/>
        <v>4.9500000000000009E-2</v>
      </c>
      <c r="DR523" s="617">
        <f t="shared" si="470"/>
        <v>1</v>
      </c>
      <c r="DS523" s="616">
        <f t="shared" si="471"/>
        <v>1.3877787807814457E-17</v>
      </c>
      <c r="DT523" s="259">
        <v>621</v>
      </c>
      <c r="DU523" s="260" t="s">
        <v>247</v>
      </c>
      <c r="DV523" s="259"/>
      <c r="DW523" s="260" t="s">
        <v>242</v>
      </c>
      <c r="DX523" s="259"/>
      <c r="DY523" s="259"/>
      <c r="DZ523" s="259"/>
      <c r="EA523" s="987"/>
      <c r="EB523" s="1041" t="s">
        <v>2824</v>
      </c>
      <c r="EC523" s="802">
        <v>0</v>
      </c>
      <c r="EE523" s="1047"/>
    </row>
    <row r="524" spans="4:135" s="534" customFormat="1" ht="76.5" hidden="1" x14ac:dyDescent="0.3">
      <c r="D524" s="783">
        <v>521</v>
      </c>
      <c r="E524" s="799">
        <v>593</v>
      </c>
      <c r="F524" s="739" t="s">
        <v>203</v>
      </c>
      <c r="G524" s="739" t="s">
        <v>19</v>
      </c>
      <c r="H524" s="739" t="s">
        <v>161</v>
      </c>
      <c r="I524" s="739" t="s">
        <v>1383</v>
      </c>
      <c r="J524" s="573" t="s">
        <v>1384</v>
      </c>
      <c r="K524" s="573" t="s">
        <v>2033</v>
      </c>
      <c r="L524" s="596" t="s">
        <v>2030</v>
      </c>
      <c r="M524" s="571" t="s">
        <v>2032</v>
      </c>
      <c r="N524" s="571">
        <v>0</v>
      </c>
      <c r="O524" s="570">
        <f>+P524</f>
        <v>1</v>
      </c>
      <c r="P524" s="569">
        <v>1</v>
      </c>
      <c r="Q524" s="628">
        <v>0.16500000000000001</v>
      </c>
      <c r="R524" s="580">
        <f t="shared" si="449"/>
        <v>4.1250000000000002E-2</v>
      </c>
      <c r="S524" s="627">
        <v>1</v>
      </c>
      <c r="T524" s="575">
        <f t="shared" si="434"/>
        <v>0.25</v>
      </c>
      <c r="U524" s="992">
        <v>1</v>
      </c>
      <c r="V524" s="626">
        <f t="shared" si="435"/>
        <v>0.25</v>
      </c>
      <c r="W524" s="594">
        <f t="shared" si="436"/>
        <v>100</v>
      </c>
      <c r="X524" s="594">
        <f t="shared" si="450"/>
        <v>100</v>
      </c>
      <c r="Y524" s="594">
        <f t="shared" si="417"/>
        <v>4.1250000000000002E-2</v>
      </c>
      <c r="Z524" s="594">
        <f t="shared" si="451"/>
        <v>100</v>
      </c>
      <c r="AA524" s="593">
        <v>159000000</v>
      </c>
      <c r="AB524" s="593">
        <v>159000000</v>
      </c>
      <c r="AC524" s="593">
        <v>0</v>
      </c>
      <c r="AD524" s="593">
        <v>0</v>
      </c>
      <c r="AE524" s="593">
        <v>0</v>
      </c>
      <c r="AF524" s="593">
        <v>0</v>
      </c>
      <c r="AG524" s="593">
        <v>0</v>
      </c>
      <c r="AH524" s="593">
        <v>0</v>
      </c>
      <c r="AI524" s="593">
        <v>84429000</v>
      </c>
      <c r="AJ524" s="593">
        <v>84429000</v>
      </c>
      <c r="AK524" s="593">
        <v>0</v>
      </c>
      <c r="AL524" s="593">
        <v>0</v>
      </c>
      <c r="AM524" s="593">
        <v>0</v>
      </c>
      <c r="AN524" s="593">
        <v>0</v>
      </c>
      <c r="AO524" s="593">
        <v>0</v>
      </c>
      <c r="AP524" s="593">
        <v>0</v>
      </c>
      <c r="AQ524" s="593">
        <v>0</v>
      </c>
      <c r="AR524" s="593">
        <v>0</v>
      </c>
      <c r="AS524" s="593">
        <v>0</v>
      </c>
      <c r="AT524" s="570">
        <f t="shared" si="452"/>
        <v>4.1250000000000002E-2</v>
      </c>
      <c r="AU524" s="571">
        <v>1</v>
      </c>
      <c r="AV524" s="625">
        <f t="shared" si="437"/>
        <v>0.25</v>
      </c>
      <c r="AW524" s="1003">
        <v>1</v>
      </c>
      <c r="AX524" s="604">
        <f t="shared" si="438"/>
        <v>0.25</v>
      </c>
      <c r="AY524" s="604">
        <f t="shared" si="439"/>
        <v>100</v>
      </c>
      <c r="AZ524" s="604">
        <f t="shared" si="453"/>
        <v>100</v>
      </c>
      <c r="BA524" s="592">
        <f t="shared" si="454"/>
        <v>4.1250000000000002E-2</v>
      </c>
      <c r="BB524" s="592">
        <f t="shared" si="455"/>
        <v>100</v>
      </c>
      <c r="BC524" s="591">
        <v>85000000</v>
      </c>
      <c r="BD524" s="591">
        <v>0</v>
      </c>
      <c r="BE524" s="591">
        <v>85000000</v>
      </c>
      <c r="BF524" s="591">
        <v>0</v>
      </c>
      <c r="BG524" s="591">
        <v>0</v>
      </c>
      <c r="BH524" s="591">
        <v>0</v>
      </c>
      <c r="BI524" s="591">
        <v>0</v>
      </c>
      <c r="BJ524" s="591">
        <v>0</v>
      </c>
      <c r="BK524" s="624">
        <v>15000000</v>
      </c>
      <c r="BL524" s="589">
        <v>15000000</v>
      </c>
      <c r="BM524" s="589">
        <v>0</v>
      </c>
      <c r="BN524" s="589">
        <v>0</v>
      </c>
      <c r="BO524" s="589">
        <v>0</v>
      </c>
      <c r="BP524" s="589">
        <v>0</v>
      </c>
      <c r="BQ524" s="589">
        <v>0</v>
      </c>
      <c r="BR524" s="589">
        <v>0</v>
      </c>
      <c r="BS524" s="589">
        <v>0</v>
      </c>
      <c r="BT524" s="589">
        <v>0</v>
      </c>
      <c r="BU524" s="589">
        <v>0</v>
      </c>
      <c r="BV524" s="588">
        <f t="shared" si="456"/>
        <v>4.1250000000000002E-2</v>
      </c>
      <c r="BW524" s="588">
        <v>1</v>
      </c>
      <c r="BX524" s="623">
        <f t="shared" si="440"/>
        <v>0.25</v>
      </c>
      <c r="BY524" s="607">
        <v>0.25</v>
      </c>
      <c r="BZ524" s="606">
        <v>0.64999997615814209</v>
      </c>
      <c r="CA524" s="1021">
        <v>1</v>
      </c>
      <c r="CB524" s="557">
        <f t="shared" si="441"/>
        <v>0.25</v>
      </c>
      <c r="CC524" s="557">
        <f t="shared" si="442"/>
        <v>100</v>
      </c>
      <c r="CD524" s="622">
        <f t="shared" si="457"/>
        <v>100</v>
      </c>
      <c r="CE524" s="621">
        <f t="shared" si="458"/>
        <v>4.1250000000000002E-2</v>
      </c>
      <c r="CF524" s="605">
        <f t="shared" si="459"/>
        <v>100</v>
      </c>
      <c r="CG524" s="621">
        <f t="shared" si="460"/>
        <v>4.1250000000000002E-2</v>
      </c>
      <c r="CH524" s="553">
        <f t="shared" si="461"/>
        <v>4.1250000000000002E-2</v>
      </c>
      <c r="CI524" s="552">
        <v>1</v>
      </c>
      <c r="CJ524" s="551">
        <f t="shared" si="443"/>
        <v>0.25</v>
      </c>
      <c r="CK524" s="874">
        <v>0.20000000298023224</v>
      </c>
      <c r="CL524" s="533">
        <f t="shared" si="433"/>
        <v>0.79999999701976776</v>
      </c>
      <c r="CM524" s="619">
        <f t="shared" si="444"/>
        <v>5.000000074505806E-2</v>
      </c>
      <c r="CN524" s="619">
        <f t="shared" si="445"/>
        <v>20.000000298023224</v>
      </c>
      <c r="CO524" s="619">
        <f t="shared" si="462"/>
        <v>20.000000298023224</v>
      </c>
      <c r="CP524" s="619">
        <f t="shared" si="463"/>
        <v>8.2500001229345796E-3</v>
      </c>
      <c r="CQ524" s="619">
        <f t="shared" si="464"/>
        <v>8.2500001229345796E-3</v>
      </c>
      <c r="CR524" s="546">
        <v>195000000</v>
      </c>
      <c r="CS524" s="546">
        <v>195000000</v>
      </c>
      <c r="CT524" s="546">
        <v>0</v>
      </c>
      <c r="CU524" s="546">
        <v>0</v>
      </c>
      <c r="CV524" s="546">
        <v>0</v>
      </c>
      <c r="CW524" s="546">
        <v>0</v>
      </c>
      <c r="CX524" s="546">
        <v>0</v>
      </c>
      <c r="CY524" s="546">
        <v>0</v>
      </c>
      <c r="CZ524" s="618">
        <v>0</v>
      </c>
      <c r="DA524" s="618">
        <v>0</v>
      </c>
      <c r="DB524" s="618">
        <v>0</v>
      </c>
      <c r="DC524" s="618">
        <v>0</v>
      </c>
      <c r="DD524" s="618">
        <v>0</v>
      </c>
      <c r="DE524" s="618">
        <v>0</v>
      </c>
      <c r="DF524" s="618">
        <v>0</v>
      </c>
      <c r="DG524" s="618">
        <v>0</v>
      </c>
      <c r="DH524" s="618">
        <v>0</v>
      </c>
      <c r="DI524" s="618">
        <v>0</v>
      </c>
      <c r="DJ524" s="618">
        <v>0</v>
      </c>
      <c r="DK524" s="1034">
        <f t="shared" si="446"/>
        <v>0.80000000074505806</v>
      </c>
      <c r="DL524" s="543">
        <f t="shared" si="465"/>
        <v>0.16500000000000001</v>
      </c>
      <c r="DM524" s="542">
        <f t="shared" si="466"/>
        <v>80.000000074505806</v>
      </c>
      <c r="DN524" s="594">
        <f t="shared" si="467"/>
        <v>80.000000074505806</v>
      </c>
      <c r="DO524" s="540">
        <f t="shared" si="468"/>
        <v>0.13200000012293459</v>
      </c>
      <c r="DP524" s="597">
        <f>+IF(M524="M",DO524,0)</f>
        <v>0.13200000012293459</v>
      </c>
      <c r="DQ524" s="538">
        <f t="shared" si="469"/>
        <v>0.13200000012293459</v>
      </c>
      <c r="DR524" s="617">
        <f t="shared" si="470"/>
        <v>1</v>
      </c>
      <c r="DS524" s="616">
        <f t="shared" si="471"/>
        <v>0</v>
      </c>
      <c r="DT524" s="259">
        <v>622</v>
      </c>
      <c r="DU524" s="260" t="s">
        <v>246</v>
      </c>
      <c r="DV524" s="259"/>
      <c r="DW524" s="260" t="s">
        <v>242</v>
      </c>
      <c r="DX524" s="259"/>
      <c r="DY524" s="259"/>
      <c r="DZ524" s="259"/>
      <c r="EA524" s="987"/>
      <c r="EB524" s="1041" t="s">
        <v>2825</v>
      </c>
      <c r="EC524" s="802">
        <v>195000000</v>
      </c>
      <c r="EE524" s="1047"/>
    </row>
    <row r="525" spans="4:135" s="534" customFormat="1" ht="102" hidden="1" x14ac:dyDescent="0.3">
      <c r="D525" s="783">
        <v>522</v>
      </c>
      <c r="E525" s="799">
        <v>594</v>
      </c>
      <c r="F525" s="739" t="s">
        <v>203</v>
      </c>
      <c r="G525" s="739" t="s">
        <v>19</v>
      </c>
      <c r="H525" s="739" t="s">
        <v>161</v>
      </c>
      <c r="I525" s="739" t="s">
        <v>1383</v>
      </c>
      <c r="J525" s="573" t="s">
        <v>1385</v>
      </c>
      <c r="K525" s="573" t="s">
        <v>1386</v>
      </c>
      <c r="L525" s="596" t="s">
        <v>2024</v>
      </c>
      <c r="M525" s="571" t="s">
        <v>2017</v>
      </c>
      <c r="N525" s="571">
        <v>1</v>
      </c>
      <c r="O525" s="570">
        <f t="shared" ref="O525:O541" si="472">+N525+P525</f>
        <v>4</v>
      </c>
      <c r="P525" s="569">
        <f>4-N525</f>
        <v>3</v>
      </c>
      <c r="Q525" s="628">
        <v>0.16500000000000001</v>
      </c>
      <c r="R525" s="580">
        <f t="shared" si="449"/>
        <v>0.11</v>
      </c>
      <c r="S525" s="627">
        <v>2</v>
      </c>
      <c r="T525" s="575">
        <f t="shared" si="434"/>
        <v>0.66666666666666663</v>
      </c>
      <c r="U525" s="992">
        <v>1</v>
      </c>
      <c r="V525" s="626">
        <f t="shared" si="435"/>
        <v>1</v>
      </c>
      <c r="W525" s="594">
        <f t="shared" si="436"/>
        <v>50</v>
      </c>
      <c r="X525" s="594">
        <f t="shared" si="450"/>
        <v>50</v>
      </c>
      <c r="Y525" s="594">
        <f t="shared" si="417"/>
        <v>5.5E-2</v>
      </c>
      <c r="Z525" s="594">
        <f t="shared" si="451"/>
        <v>50</v>
      </c>
      <c r="AA525" s="593">
        <v>40000000</v>
      </c>
      <c r="AB525" s="593">
        <v>40000000</v>
      </c>
      <c r="AC525" s="593">
        <v>0</v>
      </c>
      <c r="AD525" s="593">
        <v>0</v>
      </c>
      <c r="AE525" s="593">
        <v>0</v>
      </c>
      <c r="AF525" s="593">
        <v>0</v>
      </c>
      <c r="AG525" s="593">
        <v>0</v>
      </c>
      <c r="AH525" s="593">
        <v>0</v>
      </c>
      <c r="AI525" s="593">
        <v>40000000</v>
      </c>
      <c r="AJ525" s="593">
        <v>40000000</v>
      </c>
      <c r="AK525" s="593">
        <v>0</v>
      </c>
      <c r="AL525" s="593">
        <v>0</v>
      </c>
      <c r="AM525" s="593">
        <v>0</v>
      </c>
      <c r="AN525" s="593">
        <v>0</v>
      </c>
      <c r="AO525" s="593">
        <v>0</v>
      </c>
      <c r="AP525" s="593">
        <v>0</v>
      </c>
      <c r="AQ525" s="593">
        <v>0</v>
      </c>
      <c r="AR525" s="593">
        <v>0</v>
      </c>
      <c r="AS525" s="593">
        <v>0</v>
      </c>
      <c r="AT525" s="570">
        <f t="shared" si="452"/>
        <v>5.5E-2</v>
      </c>
      <c r="AU525" s="571">
        <v>1</v>
      </c>
      <c r="AV525" s="625">
        <f t="shared" si="437"/>
        <v>0.33333333333333331</v>
      </c>
      <c r="AW525" s="1003">
        <v>4</v>
      </c>
      <c r="AX525" s="604">
        <f t="shared" si="438"/>
        <v>4</v>
      </c>
      <c r="AY525" s="604">
        <f t="shared" si="439"/>
        <v>400</v>
      </c>
      <c r="AZ525" s="604">
        <f t="shared" si="453"/>
        <v>100</v>
      </c>
      <c r="BA525" s="592">
        <f t="shared" si="454"/>
        <v>5.5E-2</v>
      </c>
      <c r="BB525" s="592">
        <f t="shared" si="455"/>
        <v>100</v>
      </c>
      <c r="BC525" s="591">
        <v>14000000</v>
      </c>
      <c r="BD525" s="591">
        <v>0</v>
      </c>
      <c r="BE525" s="591">
        <v>14000000</v>
      </c>
      <c r="BF525" s="591">
        <v>0</v>
      </c>
      <c r="BG525" s="591">
        <v>0</v>
      </c>
      <c r="BH525" s="591">
        <v>0</v>
      </c>
      <c r="BI525" s="591">
        <v>0</v>
      </c>
      <c r="BJ525" s="591">
        <v>0</v>
      </c>
      <c r="BK525" s="624">
        <v>167517156</v>
      </c>
      <c r="BL525" s="589">
        <v>167517156</v>
      </c>
      <c r="BM525" s="589">
        <v>0</v>
      </c>
      <c r="BN525" s="589">
        <v>0</v>
      </c>
      <c r="BO525" s="589">
        <v>0</v>
      </c>
      <c r="BP525" s="589">
        <v>0</v>
      </c>
      <c r="BQ525" s="589">
        <v>0</v>
      </c>
      <c r="BR525" s="589">
        <v>0</v>
      </c>
      <c r="BS525" s="589">
        <v>0</v>
      </c>
      <c r="BT525" s="589">
        <v>175673600</v>
      </c>
      <c r="BU525" s="589" t="s">
        <v>1799</v>
      </c>
      <c r="BV525" s="588">
        <f t="shared" si="456"/>
        <v>0</v>
      </c>
      <c r="BW525" s="588">
        <v>0</v>
      </c>
      <c r="BX525" s="623">
        <f t="shared" si="440"/>
        <v>0</v>
      </c>
      <c r="BY525" s="607">
        <v>0</v>
      </c>
      <c r="BZ525" s="606">
        <v>0</v>
      </c>
      <c r="CA525" s="1021">
        <v>1</v>
      </c>
      <c r="CB525" s="557">
        <f t="shared" si="441"/>
        <v>1</v>
      </c>
      <c r="CC525" s="557">
        <f t="shared" si="442"/>
        <v>0</v>
      </c>
      <c r="CD525" s="622">
        <f t="shared" si="457"/>
        <v>0</v>
      </c>
      <c r="CE525" s="621">
        <f t="shared" si="458"/>
        <v>0</v>
      </c>
      <c r="CF525" s="605">
        <f t="shared" si="459"/>
        <v>0</v>
      </c>
      <c r="CG525" s="621">
        <f t="shared" si="460"/>
        <v>0</v>
      </c>
      <c r="CH525" s="553">
        <f t="shared" si="461"/>
        <v>0</v>
      </c>
      <c r="CI525" s="552">
        <v>0</v>
      </c>
      <c r="CJ525" s="551">
        <f t="shared" si="443"/>
        <v>0</v>
      </c>
      <c r="CK525" s="874">
        <v>1</v>
      </c>
      <c r="CL525" s="533">
        <f t="shared" si="433"/>
        <v>-1</v>
      </c>
      <c r="CM525" s="619">
        <f t="shared" si="444"/>
        <v>1</v>
      </c>
      <c r="CN525" s="619">
        <f t="shared" si="445"/>
        <v>0</v>
      </c>
      <c r="CO525" s="549">
        <f t="shared" si="462"/>
        <v>0</v>
      </c>
      <c r="CP525" s="619">
        <f t="shared" si="463"/>
        <v>0</v>
      </c>
      <c r="CQ525" s="619">
        <f t="shared" si="464"/>
        <v>0</v>
      </c>
      <c r="CR525" s="546">
        <v>33000000</v>
      </c>
      <c r="CS525" s="546">
        <v>33000000</v>
      </c>
      <c r="CT525" s="546">
        <v>0</v>
      </c>
      <c r="CU525" s="546">
        <v>0</v>
      </c>
      <c r="CV525" s="546">
        <v>0</v>
      </c>
      <c r="CW525" s="546">
        <v>0</v>
      </c>
      <c r="CX525" s="546">
        <v>0</v>
      </c>
      <c r="CY525" s="546">
        <v>0</v>
      </c>
      <c r="CZ525" s="618">
        <v>0</v>
      </c>
      <c r="DA525" s="618">
        <v>0</v>
      </c>
      <c r="DB525" s="618">
        <v>0</v>
      </c>
      <c r="DC525" s="618">
        <v>0</v>
      </c>
      <c r="DD525" s="618">
        <v>0</v>
      </c>
      <c r="DE525" s="618">
        <v>0</v>
      </c>
      <c r="DF525" s="618">
        <v>0</v>
      </c>
      <c r="DG525" s="618">
        <v>0</v>
      </c>
      <c r="DH525" s="618">
        <v>0</v>
      </c>
      <c r="DI525" s="618">
        <v>0</v>
      </c>
      <c r="DJ525" s="618">
        <v>0</v>
      </c>
      <c r="DK525" s="1034">
        <f t="shared" si="446"/>
        <v>7</v>
      </c>
      <c r="DL525" s="543">
        <f t="shared" si="465"/>
        <v>0.16500000000000001</v>
      </c>
      <c r="DM525" s="542">
        <f t="shared" si="466"/>
        <v>233.33333333333334</v>
      </c>
      <c r="DN525" s="594">
        <f t="shared" si="467"/>
        <v>100</v>
      </c>
      <c r="DO525" s="540">
        <f t="shared" si="468"/>
        <v>0.16500000000000001</v>
      </c>
      <c r="DP525" s="597">
        <f t="shared" ref="DP525:DP541" si="473">+IF(((DN525*Q525)/100)&lt;Q525, ((DN525*Q525)/100),Q525)</f>
        <v>0.16500000000000001</v>
      </c>
      <c r="DQ525" s="538">
        <f t="shared" si="469"/>
        <v>0.16500000000000001</v>
      </c>
      <c r="DR525" s="617">
        <f t="shared" si="470"/>
        <v>1</v>
      </c>
      <c r="DS525" s="616">
        <f t="shared" si="471"/>
        <v>6.9388939039072284E-18</v>
      </c>
      <c r="DT525" s="259">
        <v>622</v>
      </c>
      <c r="DU525" s="260" t="s">
        <v>246</v>
      </c>
      <c r="DV525" s="259"/>
      <c r="DW525" s="260" t="s">
        <v>242</v>
      </c>
      <c r="DX525" s="259"/>
      <c r="DY525" s="259"/>
      <c r="DZ525" s="259"/>
      <c r="EA525" s="987"/>
      <c r="EB525" s="1041" t="s">
        <v>2826</v>
      </c>
      <c r="EC525" s="802">
        <v>33000000</v>
      </c>
      <c r="EE525" s="1047"/>
    </row>
    <row r="526" spans="4:135" s="534" customFormat="1" ht="63.75" hidden="1" x14ac:dyDescent="0.3">
      <c r="D526" s="783">
        <v>523</v>
      </c>
      <c r="E526" s="799">
        <v>595</v>
      </c>
      <c r="F526" s="574" t="s">
        <v>203</v>
      </c>
      <c r="G526" s="574" t="s">
        <v>30</v>
      </c>
      <c r="H526" s="574" t="s">
        <v>161</v>
      </c>
      <c r="I526" s="574" t="s">
        <v>1383</v>
      </c>
      <c r="J526" s="573" t="s">
        <v>1478</v>
      </c>
      <c r="K526" s="573" t="s">
        <v>1387</v>
      </c>
      <c r="L526" s="596" t="s">
        <v>2031</v>
      </c>
      <c r="M526" s="571" t="s">
        <v>2017</v>
      </c>
      <c r="N526" s="571">
        <v>0</v>
      </c>
      <c r="O526" s="570">
        <f t="shared" si="472"/>
        <v>1</v>
      </c>
      <c r="P526" s="569">
        <v>1</v>
      </c>
      <c r="Q526" s="631">
        <v>0.16500000000000001</v>
      </c>
      <c r="R526" s="580">
        <f t="shared" si="449"/>
        <v>0</v>
      </c>
      <c r="S526" s="627">
        <v>0</v>
      </c>
      <c r="T526" s="575">
        <f t="shared" si="434"/>
        <v>0</v>
      </c>
      <c r="U526" s="992">
        <v>0</v>
      </c>
      <c r="V526" s="626">
        <f t="shared" si="435"/>
        <v>0</v>
      </c>
      <c r="W526" s="594">
        <f t="shared" si="436"/>
        <v>0</v>
      </c>
      <c r="X526" s="594">
        <f t="shared" si="450"/>
        <v>0</v>
      </c>
      <c r="Y526" s="594">
        <f t="shared" si="417"/>
        <v>0</v>
      </c>
      <c r="Z526" s="594">
        <f t="shared" si="451"/>
        <v>0</v>
      </c>
      <c r="AA526" s="593">
        <v>62000000</v>
      </c>
      <c r="AB526" s="593">
        <v>62000000</v>
      </c>
      <c r="AC526" s="593">
        <v>0</v>
      </c>
      <c r="AD526" s="593">
        <v>0</v>
      </c>
      <c r="AE526" s="593">
        <v>0</v>
      </c>
      <c r="AF526" s="593">
        <v>0</v>
      </c>
      <c r="AG526" s="593">
        <v>0</v>
      </c>
      <c r="AH526" s="593">
        <v>0</v>
      </c>
      <c r="AI526" s="593">
        <v>0</v>
      </c>
      <c r="AJ526" s="593">
        <v>0</v>
      </c>
      <c r="AK526" s="593">
        <v>0</v>
      </c>
      <c r="AL526" s="593">
        <v>0</v>
      </c>
      <c r="AM526" s="593">
        <v>0</v>
      </c>
      <c r="AN526" s="593">
        <v>0</v>
      </c>
      <c r="AO526" s="593">
        <v>0</v>
      </c>
      <c r="AP526" s="593">
        <v>0</v>
      </c>
      <c r="AQ526" s="593">
        <v>0</v>
      </c>
      <c r="AR526" s="593">
        <v>0</v>
      </c>
      <c r="AS526" s="593">
        <v>0</v>
      </c>
      <c r="AT526" s="630">
        <f t="shared" si="452"/>
        <v>0</v>
      </c>
      <c r="AU526" s="571">
        <v>0</v>
      </c>
      <c r="AV526" s="625">
        <f t="shared" si="437"/>
        <v>0</v>
      </c>
      <c r="AW526" s="1003">
        <v>0</v>
      </c>
      <c r="AX526" s="604">
        <f t="shared" si="438"/>
        <v>0</v>
      </c>
      <c r="AY526" s="604">
        <f t="shared" si="439"/>
        <v>0</v>
      </c>
      <c r="AZ526" s="604">
        <f t="shared" si="453"/>
        <v>0</v>
      </c>
      <c r="BA526" s="592">
        <f t="shared" si="454"/>
        <v>0</v>
      </c>
      <c r="BB526" s="592">
        <f t="shared" si="455"/>
        <v>0</v>
      </c>
      <c r="BC526" s="591">
        <v>39000000</v>
      </c>
      <c r="BD526" s="591">
        <v>0</v>
      </c>
      <c r="BE526" s="591">
        <v>39000000</v>
      </c>
      <c r="BF526" s="591">
        <v>0</v>
      </c>
      <c r="BG526" s="591">
        <v>0</v>
      </c>
      <c r="BH526" s="591">
        <v>0</v>
      </c>
      <c r="BI526" s="591">
        <v>0</v>
      </c>
      <c r="BJ526" s="591">
        <v>0</v>
      </c>
      <c r="BK526" s="624">
        <v>0</v>
      </c>
      <c r="BL526" s="589">
        <v>0</v>
      </c>
      <c r="BM526" s="589">
        <v>0</v>
      </c>
      <c r="BN526" s="589">
        <v>0</v>
      </c>
      <c r="BO526" s="589">
        <v>0</v>
      </c>
      <c r="BP526" s="589">
        <v>0</v>
      </c>
      <c r="BQ526" s="589">
        <v>0</v>
      </c>
      <c r="BR526" s="589">
        <v>0</v>
      </c>
      <c r="BS526" s="589">
        <v>0</v>
      </c>
      <c r="BT526" s="589">
        <v>0</v>
      </c>
      <c r="BU526" s="589">
        <v>0</v>
      </c>
      <c r="BV526" s="588">
        <f t="shared" si="456"/>
        <v>6.6000000000000003E-2</v>
      </c>
      <c r="BW526" s="588">
        <v>0.4</v>
      </c>
      <c r="BX526" s="623">
        <f t="shared" si="440"/>
        <v>0.4</v>
      </c>
      <c r="BY526" s="639">
        <v>0</v>
      </c>
      <c r="BZ526" s="638">
        <v>0</v>
      </c>
      <c r="CA526" s="1018">
        <v>0.4</v>
      </c>
      <c r="CB526" s="557">
        <f t="shared" si="441"/>
        <v>0.4</v>
      </c>
      <c r="CC526" s="557">
        <f t="shared" si="442"/>
        <v>100</v>
      </c>
      <c r="CD526" s="622">
        <f t="shared" si="457"/>
        <v>100</v>
      </c>
      <c r="CE526" s="621">
        <f t="shared" si="458"/>
        <v>6.6000000000000003E-2</v>
      </c>
      <c r="CF526" s="605">
        <f t="shared" si="459"/>
        <v>100</v>
      </c>
      <c r="CG526" s="621">
        <f t="shared" si="460"/>
        <v>6.6000000000000003E-2</v>
      </c>
      <c r="CH526" s="553">
        <f t="shared" si="461"/>
        <v>9.9000000000000005E-2</v>
      </c>
      <c r="CI526" s="552">
        <v>0.6</v>
      </c>
      <c r="CJ526" s="551">
        <f t="shared" si="443"/>
        <v>0.6</v>
      </c>
      <c r="CK526" s="875">
        <v>0</v>
      </c>
      <c r="CL526" s="533">
        <f t="shared" si="433"/>
        <v>0.6</v>
      </c>
      <c r="CM526" s="619">
        <f t="shared" si="444"/>
        <v>0</v>
      </c>
      <c r="CN526" s="619">
        <f t="shared" si="445"/>
        <v>0</v>
      </c>
      <c r="CO526" s="549">
        <f t="shared" si="462"/>
        <v>0</v>
      </c>
      <c r="CP526" s="619">
        <f t="shared" si="463"/>
        <v>0</v>
      </c>
      <c r="CQ526" s="619">
        <f t="shared" si="464"/>
        <v>0</v>
      </c>
      <c r="CR526" s="546">
        <v>90000000</v>
      </c>
      <c r="CS526" s="546">
        <v>90000000</v>
      </c>
      <c r="CT526" s="546">
        <v>0</v>
      </c>
      <c r="CU526" s="546">
        <v>0</v>
      </c>
      <c r="CV526" s="546">
        <v>0</v>
      </c>
      <c r="CW526" s="546">
        <v>0</v>
      </c>
      <c r="CX526" s="546">
        <v>0</v>
      </c>
      <c r="CY526" s="546">
        <v>0</v>
      </c>
      <c r="CZ526" s="618">
        <v>0</v>
      </c>
      <c r="DA526" s="618">
        <v>0</v>
      </c>
      <c r="DB526" s="618">
        <v>0</v>
      </c>
      <c r="DC526" s="618">
        <v>0</v>
      </c>
      <c r="DD526" s="618">
        <v>0</v>
      </c>
      <c r="DE526" s="618">
        <v>0</v>
      </c>
      <c r="DF526" s="618">
        <v>0</v>
      </c>
      <c r="DG526" s="618">
        <v>0</v>
      </c>
      <c r="DH526" s="618">
        <v>0</v>
      </c>
      <c r="DI526" s="618">
        <v>0</v>
      </c>
      <c r="DJ526" s="618">
        <v>0</v>
      </c>
      <c r="DK526" s="1034">
        <f t="shared" si="446"/>
        <v>0.4</v>
      </c>
      <c r="DL526" s="543">
        <f t="shared" si="465"/>
        <v>0.16500000000000001</v>
      </c>
      <c r="DM526" s="542">
        <f t="shared" si="466"/>
        <v>40</v>
      </c>
      <c r="DN526" s="594">
        <f t="shared" si="467"/>
        <v>40</v>
      </c>
      <c r="DO526" s="540">
        <f t="shared" si="468"/>
        <v>6.6000000000000003E-2</v>
      </c>
      <c r="DP526" s="597">
        <f t="shared" si="473"/>
        <v>6.6000000000000003E-2</v>
      </c>
      <c r="DQ526" s="538">
        <f t="shared" si="469"/>
        <v>6.6000000000000003E-2</v>
      </c>
      <c r="DR526" s="617">
        <f t="shared" si="470"/>
        <v>1</v>
      </c>
      <c r="DS526" s="616">
        <f t="shared" si="471"/>
        <v>0</v>
      </c>
      <c r="DT526" s="259">
        <v>622</v>
      </c>
      <c r="DU526" s="260" t="s">
        <v>246</v>
      </c>
      <c r="DV526" s="259"/>
      <c r="DW526" s="260" t="s">
        <v>242</v>
      </c>
      <c r="DX526" s="259"/>
      <c r="DY526" s="259"/>
      <c r="DZ526" s="259"/>
      <c r="EA526" s="987"/>
      <c r="EB526" s="1041" t="s">
        <v>2827</v>
      </c>
      <c r="EC526" s="802">
        <v>90000000</v>
      </c>
      <c r="EE526" s="1047"/>
    </row>
    <row r="527" spans="4:135" s="534" customFormat="1" ht="77.25" hidden="1" thickBot="1" x14ac:dyDescent="0.35">
      <c r="D527" s="783">
        <v>524</v>
      </c>
      <c r="E527" s="799">
        <v>597</v>
      </c>
      <c r="F527" s="739" t="s">
        <v>203</v>
      </c>
      <c r="G527" s="739" t="s">
        <v>10</v>
      </c>
      <c r="H527" s="739" t="s">
        <v>161</v>
      </c>
      <c r="I527" s="739" t="s">
        <v>1383</v>
      </c>
      <c r="J527" s="573" t="s">
        <v>1388</v>
      </c>
      <c r="K527" s="573" t="s">
        <v>1389</v>
      </c>
      <c r="L527" s="596" t="s">
        <v>2030</v>
      </c>
      <c r="M527" s="571" t="s">
        <v>2017</v>
      </c>
      <c r="N527" s="571">
        <v>0</v>
      </c>
      <c r="O527" s="570">
        <f t="shared" si="472"/>
        <v>1</v>
      </c>
      <c r="P527" s="569">
        <v>1</v>
      </c>
      <c r="Q527" s="628">
        <v>0.16500000000000001</v>
      </c>
      <c r="R527" s="580">
        <f t="shared" si="449"/>
        <v>2.6400000000000003E-2</v>
      </c>
      <c r="S527" s="627">
        <v>0.16</v>
      </c>
      <c r="T527" s="575">
        <f t="shared" si="434"/>
        <v>0.16</v>
      </c>
      <c r="U527" s="992">
        <v>0.15</v>
      </c>
      <c r="V527" s="626">
        <f t="shared" si="435"/>
        <v>0.15</v>
      </c>
      <c r="W527" s="594">
        <f t="shared" si="436"/>
        <v>93.75</v>
      </c>
      <c r="X527" s="594">
        <f t="shared" si="450"/>
        <v>93.75</v>
      </c>
      <c r="Y527" s="594">
        <f t="shared" si="417"/>
        <v>2.4750000000000005E-2</v>
      </c>
      <c r="Z527" s="594">
        <f t="shared" si="451"/>
        <v>93.75</v>
      </c>
      <c r="AA527" s="593">
        <v>0</v>
      </c>
      <c r="AB527" s="593">
        <v>0</v>
      </c>
      <c r="AC527" s="593">
        <v>0</v>
      </c>
      <c r="AD527" s="593">
        <v>0</v>
      </c>
      <c r="AE527" s="593">
        <v>0</v>
      </c>
      <c r="AF527" s="593">
        <v>0</v>
      </c>
      <c r="AG527" s="593">
        <v>0</v>
      </c>
      <c r="AH527" s="593">
        <v>0</v>
      </c>
      <c r="AI527" s="593">
        <v>0</v>
      </c>
      <c r="AJ527" s="593">
        <v>0</v>
      </c>
      <c r="AK527" s="593">
        <v>0</v>
      </c>
      <c r="AL527" s="593">
        <v>0</v>
      </c>
      <c r="AM527" s="593">
        <v>0</v>
      </c>
      <c r="AN527" s="593">
        <v>0</v>
      </c>
      <c r="AO527" s="593">
        <v>0</v>
      </c>
      <c r="AP527" s="593">
        <v>0</v>
      </c>
      <c r="AQ527" s="593">
        <v>0</v>
      </c>
      <c r="AR527" s="593">
        <v>0</v>
      </c>
      <c r="AS527" s="593">
        <v>0</v>
      </c>
      <c r="AT527" s="570">
        <f t="shared" si="452"/>
        <v>4.9500000000000002E-2</v>
      </c>
      <c r="AU527" s="571">
        <v>0.3</v>
      </c>
      <c r="AV527" s="625">
        <f t="shared" si="437"/>
        <v>0.3</v>
      </c>
      <c r="AW527" s="1003">
        <v>0.3</v>
      </c>
      <c r="AX527" s="604">
        <f t="shared" si="438"/>
        <v>0.3</v>
      </c>
      <c r="AY527" s="604">
        <f t="shared" si="439"/>
        <v>100</v>
      </c>
      <c r="AZ527" s="604">
        <f t="shared" si="453"/>
        <v>100</v>
      </c>
      <c r="BA527" s="592">
        <f t="shared" si="454"/>
        <v>4.9500000000000002E-2</v>
      </c>
      <c r="BB527" s="592">
        <f t="shared" si="455"/>
        <v>100</v>
      </c>
      <c r="BC527" s="591">
        <v>0</v>
      </c>
      <c r="BD527" s="591">
        <v>0</v>
      </c>
      <c r="BE527" s="591">
        <v>0</v>
      </c>
      <c r="BF527" s="591">
        <v>0</v>
      </c>
      <c r="BG527" s="591">
        <v>0</v>
      </c>
      <c r="BH527" s="591">
        <v>0</v>
      </c>
      <c r="BI527" s="591">
        <v>0</v>
      </c>
      <c r="BJ527" s="591">
        <v>0</v>
      </c>
      <c r="BK527" s="624">
        <v>0</v>
      </c>
      <c r="BL527" s="589">
        <v>0</v>
      </c>
      <c r="BM527" s="589">
        <v>0</v>
      </c>
      <c r="BN527" s="589">
        <v>0</v>
      </c>
      <c r="BO527" s="589">
        <v>0</v>
      </c>
      <c r="BP527" s="589">
        <v>0</v>
      </c>
      <c r="BQ527" s="589">
        <v>0</v>
      </c>
      <c r="BR527" s="589">
        <v>0</v>
      </c>
      <c r="BS527" s="589">
        <v>0</v>
      </c>
      <c r="BT527" s="589">
        <v>0</v>
      </c>
      <c r="BU527" s="589">
        <v>0</v>
      </c>
      <c r="BV527" s="588">
        <f t="shared" si="456"/>
        <v>4.9500000000000002E-2</v>
      </c>
      <c r="BW527" s="588">
        <v>0.3</v>
      </c>
      <c r="BX527" s="623">
        <f t="shared" si="440"/>
        <v>0.3</v>
      </c>
      <c r="BY527" s="636">
        <v>0.10000000149011612</v>
      </c>
      <c r="BZ527" s="635">
        <v>0.20000000298023224</v>
      </c>
      <c r="CA527" s="1017">
        <v>0.30000001192092896</v>
      </c>
      <c r="CB527" s="557">
        <f t="shared" si="441"/>
        <v>0.30000001192092896</v>
      </c>
      <c r="CC527" s="557">
        <f t="shared" si="442"/>
        <v>100.00000397364299</v>
      </c>
      <c r="CD527" s="622">
        <f t="shared" si="457"/>
        <v>100</v>
      </c>
      <c r="CE527" s="621">
        <f t="shared" si="458"/>
        <v>4.9500000000000002E-2</v>
      </c>
      <c r="CF527" s="605">
        <f t="shared" si="459"/>
        <v>100</v>
      </c>
      <c r="CG527" s="621">
        <f t="shared" si="460"/>
        <v>4.9500001966953283E-2</v>
      </c>
      <c r="CH527" s="553">
        <f t="shared" si="461"/>
        <v>3.9600000000000003E-2</v>
      </c>
      <c r="CI527" s="634">
        <v>0.24</v>
      </c>
      <c r="CJ527" s="551">
        <f t="shared" si="443"/>
        <v>0.24</v>
      </c>
      <c r="CK527" s="874">
        <v>0.1</v>
      </c>
      <c r="CL527" s="533">
        <f t="shared" si="433"/>
        <v>0.13999999999999999</v>
      </c>
      <c r="CM527" s="619">
        <f t="shared" si="444"/>
        <v>0.1</v>
      </c>
      <c r="CN527" s="619">
        <f t="shared" si="445"/>
        <v>41.666666666666671</v>
      </c>
      <c r="CO527" s="549">
        <f t="shared" si="462"/>
        <v>41.666666666666671</v>
      </c>
      <c r="CP527" s="619">
        <f t="shared" si="463"/>
        <v>1.6500000000000004E-2</v>
      </c>
      <c r="CQ527" s="619">
        <f t="shared" si="464"/>
        <v>1.6500000000000004E-2</v>
      </c>
      <c r="CR527" s="546">
        <v>0</v>
      </c>
      <c r="CS527" s="546">
        <v>0</v>
      </c>
      <c r="CT527" s="546">
        <v>0</v>
      </c>
      <c r="CU527" s="546">
        <v>0</v>
      </c>
      <c r="CV527" s="546">
        <v>0</v>
      </c>
      <c r="CW527" s="546">
        <v>0</v>
      </c>
      <c r="CX527" s="546">
        <v>0</v>
      </c>
      <c r="CY527" s="546">
        <v>0</v>
      </c>
      <c r="CZ527" s="618">
        <v>0</v>
      </c>
      <c r="DA527" s="618">
        <v>0</v>
      </c>
      <c r="DB527" s="618">
        <v>0</v>
      </c>
      <c r="DC527" s="618">
        <v>0</v>
      </c>
      <c r="DD527" s="618">
        <v>0</v>
      </c>
      <c r="DE527" s="618">
        <v>0</v>
      </c>
      <c r="DF527" s="618">
        <v>0</v>
      </c>
      <c r="DG527" s="618">
        <v>0</v>
      </c>
      <c r="DH527" s="618">
        <v>0</v>
      </c>
      <c r="DI527" s="618">
        <v>0</v>
      </c>
      <c r="DJ527" s="618">
        <v>0</v>
      </c>
      <c r="DK527" s="1034">
        <f t="shared" si="446"/>
        <v>0.85000001192092889</v>
      </c>
      <c r="DL527" s="543">
        <f t="shared" si="465"/>
        <v>0.16500000000000001</v>
      </c>
      <c r="DM527" s="542">
        <f t="shared" si="466"/>
        <v>85.000001192092896</v>
      </c>
      <c r="DN527" s="594">
        <f t="shared" si="467"/>
        <v>85.000001192092896</v>
      </c>
      <c r="DO527" s="540">
        <f t="shared" si="468"/>
        <v>0.14025000196695328</v>
      </c>
      <c r="DP527" s="597">
        <f t="shared" si="473"/>
        <v>0.14025000196695328</v>
      </c>
      <c r="DQ527" s="538">
        <f t="shared" si="469"/>
        <v>0.14025000196695328</v>
      </c>
      <c r="DR527" s="617">
        <f t="shared" si="470"/>
        <v>1</v>
      </c>
      <c r="DS527" s="616">
        <f t="shared" si="471"/>
        <v>0</v>
      </c>
      <c r="DT527" s="259">
        <v>622</v>
      </c>
      <c r="DU527" s="260" t="s">
        <v>246</v>
      </c>
      <c r="DV527" s="259"/>
      <c r="DW527" s="260" t="s">
        <v>242</v>
      </c>
      <c r="DX527" s="259"/>
      <c r="DY527" s="259"/>
      <c r="DZ527" s="259"/>
      <c r="EA527" s="987"/>
      <c r="EB527" s="1041" t="s">
        <v>2828</v>
      </c>
      <c r="EC527" s="802">
        <v>0</v>
      </c>
      <c r="EE527" s="1047"/>
    </row>
    <row r="528" spans="4:135" s="534" customFormat="1" ht="51" hidden="1" x14ac:dyDescent="0.3">
      <c r="D528" s="783">
        <v>525</v>
      </c>
      <c r="E528" s="799">
        <v>599</v>
      </c>
      <c r="F528" s="739" t="s">
        <v>203</v>
      </c>
      <c r="G528" s="739" t="s">
        <v>19</v>
      </c>
      <c r="H528" s="739" t="s">
        <v>161</v>
      </c>
      <c r="I528" s="739" t="s">
        <v>1383</v>
      </c>
      <c r="J528" s="573" t="s">
        <v>1390</v>
      </c>
      <c r="K528" s="573" t="s">
        <v>1391</v>
      </c>
      <c r="L528" s="596" t="s">
        <v>2029</v>
      </c>
      <c r="M528" s="571" t="s">
        <v>2017</v>
      </c>
      <c r="N528" s="571">
        <v>0</v>
      </c>
      <c r="O528" s="570">
        <f t="shared" si="472"/>
        <v>2</v>
      </c>
      <c r="P528" s="569">
        <v>2</v>
      </c>
      <c r="Q528" s="628">
        <v>0.16500000000000001</v>
      </c>
      <c r="R528" s="580">
        <f t="shared" si="449"/>
        <v>8.2500000000000004E-2</v>
      </c>
      <c r="S528" s="627">
        <v>1</v>
      </c>
      <c r="T528" s="575">
        <f t="shared" si="434"/>
        <v>0.5</v>
      </c>
      <c r="U528" s="992">
        <v>0.5</v>
      </c>
      <c r="V528" s="626">
        <f t="shared" si="435"/>
        <v>0.5</v>
      </c>
      <c r="W528" s="594">
        <f t="shared" si="436"/>
        <v>50</v>
      </c>
      <c r="X528" s="594">
        <f t="shared" si="450"/>
        <v>50</v>
      </c>
      <c r="Y528" s="594">
        <f t="shared" si="417"/>
        <v>4.1250000000000002E-2</v>
      </c>
      <c r="Z528" s="594">
        <f t="shared" si="451"/>
        <v>50</v>
      </c>
      <c r="AA528" s="593">
        <v>0</v>
      </c>
      <c r="AB528" s="593">
        <v>0</v>
      </c>
      <c r="AC528" s="593">
        <v>0</v>
      </c>
      <c r="AD528" s="593">
        <v>0</v>
      </c>
      <c r="AE528" s="593">
        <v>0</v>
      </c>
      <c r="AF528" s="593">
        <v>0</v>
      </c>
      <c r="AG528" s="593">
        <v>0</v>
      </c>
      <c r="AH528" s="593">
        <v>0</v>
      </c>
      <c r="AI528" s="593">
        <v>0</v>
      </c>
      <c r="AJ528" s="593">
        <v>0</v>
      </c>
      <c r="AK528" s="593">
        <v>0</v>
      </c>
      <c r="AL528" s="593">
        <v>0</v>
      </c>
      <c r="AM528" s="593">
        <v>0</v>
      </c>
      <c r="AN528" s="593">
        <v>0</v>
      </c>
      <c r="AO528" s="593">
        <v>0</v>
      </c>
      <c r="AP528" s="593">
        <v>0</v>
      </c>
      <c r="AQ528" s="593">
        <v>0</v>
      </c>
      <c r="AR528" s="593">
        <v>0</v>
      </c>
      <c r="AS528" s="593">
        <v>0</v>
      </c>
      <c r="AT528" s="570">
        <f t="shared" si="452"/>
        <v>8.2500000000000004E-2</v>
      </c>
      <c r="AU528" s="571">
        <v>1</v>
      </c>
      <c r="AV528" s="625">
        <f t="shared" si="437"/>
        <v>0.5</v>
      </c>
      <c r="AW528" s="1003">
        <v>1</v>
      </c>
      <c r="AX528" s="604">
        <f t="shared" si="438"/>
        <v>1</v>
      </c>
      <c r="AY528" s="604">
        <f t="shared" si="439"/>
        <v>100</v>
      </c>
      <c r="AZ528" s="604">
        <f t="shared" si="453"/>
        <v>100</v>
      </c>
      <c r="BA528" s="592">
        <f t="shared" si="454"/>
        <v>8.2500000000000004E-2</v>
      </c>
      <c r="BB528" s="592">
        <f t="shared" si="455"/>
        <v>100</v>
      </c>
      <c r="BC528" s="591">
        <v>0</v>
      </c>
      <c r="BD528" s="591">
        <v>0</v>
      </c>
      <c r="BE528" s="591">
        <v>0</v>
      </c>
      <c r="BF528" s="591">
        <v>0</v>
      </c>
      <c r="BG528" s="591">
        <v>0</v>
      </c>
      <c r="BH528" s="591">
        <v>0</v>
      </c>
      <c r="BI528" s="591">
        <v>0</v>
      </c>
      <c r="BJ528" s="591">
        <v>0</v>
      </c>
      <c r="BK528" s="624">
        <v>0</v>
      </c>
      <c r="BL528" s="589">
        <v>0</v>
      </c>
      <c r="BM528" s="589">
        <v>0</v>
      </c>
      <c r="BN528" s="589">
        <v>0</v>
      </c>
      <c r="BO528" s="589">
        <v>0</v>
      </c>
      <c r="BP528" s="589">
        <v>0</v>
      </c>
      <c r="BQ528" s="589">
        <v>0</v>
      </c>
      <c r="BR528" s="589">
        <v>0</v>
      </c>
      <c r="BS528" s="589">
        <v>0</v>
      </c>
      <c r="BT528" s="589">
        <v>0</v>
      </c>
      <c r="BU528" s="589">
        <v>0</v>
      </c>
      <c r="BV528" s="588">
        <f t="shared" si="456"/>
        <v>0</v>
      </c>
      <c r="BW528" s="588">
        <v>0</v>
      </c>
      <c r="BX528" s="623">
        <f t="shared" si="440"/>
        <v>0</v>
      </c>
      <c r="BY528" s="633">
        <v>0</v>
      </c>
      <c r="BZ528" s="632">
        <v>0</v>
      </c>
      <c r="CA528" s="1022">
        <v>0</v>
      </c>
      <c r="CB528" s="557">
        <f t="shared" si="441"/>
        <v>0</v>
      </c>
      <c r="CC528" s="557">
        <f t="shared" si="442"/>
        <v>0</v>
      </c>
      <c r="CD528" s="622">
        <f t="shared" si="457"/>
        <v>0</v>
      </c>
      <c r="CE528" s="621">
        <f t="shared" si="458"/>
        <v>0</v>
      </c>
      <c r="CF528" s="605">
        <f t="shared" si="459"/>
        <v>0</v>
      </c>
      <c r="CG528" s="621">
        <f t="shared" si="460"/>
        <v>0</v>
      </c>
      <c r="CH528" s="553">
        <f t="shared" si="461"/>
        <v>0</v>
      </c>
      <c r="CI528" s="552">
        <v>0</v>
      </c>
      <c r="CJ528" s="551">
        <f t="shared" si="443"/>
        <v>0</v>
      </c>
      <c r="CK528" s="874">
        <v>0.10000000149011612</v>
      </c>
      <c r="CL528" s="533">
        <f t="shared" si="433"/>
        <v>-0.10000000149011612</v>
      </c>
      <c r="CM528" s="619">
        <f t="shared" si="444"/>
        <v>0.10000000149011612</v>
      </c>
      <c r="CN528" s="619">
        <f t="shared" si="445"/>
        <v>0</v>
      </c>
      <c r="CO528" s="549">
        <f t="shared" si="462"/>
        <v>0</v>
      </c>
      <c r="CP528" s="619">
        <f t="shared" si="463"/>
        <v>0</v>
      </c>
      <c r="CQ528" s="619">
        <f t="shared" si="464"/>
        <v>0</v>
      </c>
      <c r="CR528" s="546">
        <v>0</v>
      </c>
      <c r="CS528" s="546">
        <v>0</v>
      </c>
      <c r="CT528" s="546">
        <v>0</v>
      </c>
      <c r="CU528" s="546">
        <v>0</v>
      </c>
      <c r="CV528" s="546">
        <v>0</v>
      </c>
      <c r="CW528" s="546">
        <v>0</v>
      </c>
      <c r="CX528" s="546">
        <v>0</v>
      </c>
      <c r="CY528" s="546">
        <v>0</v>
      </c>
      <c r="CZ528" s="618">
        <v>0</v>
      </c>
      <c r="DA528" s="618">
        <v>0</v>
      </c>
      <c r="DB528" s="618">
        <v>0</v>
      </c>
      <c r="DC528" s="618">
        <v>0</v>
      </c>
      <c r="DD528" s="618">
        <v>0</v>
      </c>
      <c r="DE528" s="618">
        <v>0</v>
      </c>
      <c r="DF528" s="618">
        <v>0</v>
      </c>
      <c r="DG528" s="618">
        <v>0</v>
      </c>
      <c r="DH528" s="618">
        <v>0</v>
      </c>
      <c r="DI528" s="618">
        <v>0</v>
      </c>
      <c r="DJ528" s="618">
        <v>0</v>
      </c>
      <c r="DK528" s="1034">
        <f t="shared" si="446"/>
        <v>1.6000000014901161</v>
      </c>
      <c r="DL528" s="543">
        <f t="shared" si="465"/>
        <v>0.16500000000000001</v>
      </c>
      <c r="DM528" s="542">
        <f t="shared" si="466"/>
        <v>80.000000074505806</v>
      </c>
      <c r="DN528" s="594">
        <f t="shared" si="467"/>
        <v>80.000000074505806</v>
      </c>
      <c r="DO528" s="540">
        <f t="shared" si="468"/>
        <v>0.13200000012293459</v>
      </c>
      <c r="DP528" s="597">
        <f t="shared" si="473"/>
        <v>0.13200000012293459</v>
      </c>
      <c r="DQ528" s="538">
        <f t="shared" si="469"/>
        <v>0.13200000012293459</v>
      </c>
      <c r="DR528" s="617">
        <f t="shared" si="470"/>
        <v>1</v>
      </c>
      <c r="DS528" s="616">
        <f t="shared" si="471"/>
        <v>0</v>
      </c>
      <c r="DT528" s="259">
        <v>622</v>
      </c>
      <c r="DU528" s="260" t="s">
        <v>246</v>
      </c>
      <c r="DV528" s="259"/>
      <c r="DW528" s="260" t="s">
        <v>242</v>
      </c>
      <c r="DX528" s="259"/>
      <c r="DY528" s="259"/>
      <c r="DZ528" s="259"/>
      <c r="EA528" s="987"/>
      <c r="EB528" s="1041" t="s">
        <v>2829</v>
      </c>
      <c r="EC528" s="802">
        <v>0</v>
      </c>
      <c r="EE528" s="1047"/>
    </row>
    <row r="529" spans="4:135" s="534" customFormat="1" ht="76.5" hidden="1" x14ac:dyDescent="0.3">
      <c r="D529" s="783">
        <v>526</v>
      </c>
      <c r="E529" s="799">
        <v>600</v>
      </c>
      <c r="F529" s="574" t="s">
        <v>203</v>
      </c>
      <c r="G529" s="574" t="s">
        <v>30</v>
      </c>
      <c r="H529" s="574" t="s">
        <v>163</v>
      </c>
      <c r="I529" s="574" t="s">
        <v>1417</v>
      </c>
      <c r="J529" s="573" t="s">
        <v>1479</v>
      </c>
      <c r="K529" s="573" t="s">
        <v>1392</v>
      </c>
      <c r="L529" s="596" t="s">
        <v>1582</v>
      </c>
      <c r="M529" s="571" t="s">
        <v>2017</v>
      </c>
      <c r="N529" s="571">
        <v>0</v>
      </c>
      <c r="O529" s="570">
        <f t="shared" si="472"/>
        <v>100</v>
      </c>
      <c r="P529" s="569">
        <f>100-N529</f>
        <v>100</v>
      </c>
      <c r="Q529" s="631">
        <v>0.16500000000000001</v>
      </c>
      <c r="R529" s="580">
        <f t="shared" si="449"/>
        <v>0</v>
      </c>
      <c r="S529" s="627">
        <v>0</v>
      </c>
      <c r="T529" s="575">
        <f t="shared" si="434"/>
        <v>0</v>
      </c>
      <c r="U529" s="992">
        <v>0</v>
      </c>
      <c r="V529" s="626">
        <f t="shared" si="435"/>
        <v>0</v>
      </c>
      <c r="W529" s="594">
        <f t="shared" si="436"/>
        <v>0</v>
      </c>
      <c r="X529" s="594">
        <f t="shared" si="450"/>
        <v>0</v>
      </c>
      <c r="Y529" s="594">
        <f t="shared" si="417"/>
        <v>0</v>
      </c>
      <c r="Z529" s="594">
        <f t="shared" si="451"/>
        <v>0</v>
      </c>
      <c r="AA529" s="593">
        <v>40000000</v>
      </c>
      <c r="AB529" s="593">
        <v>40000000</v>
      </c>
      <c r="AC529" s="593">
        <v>0</v>
      </c>
      <c r="AD529" s="593">
        <v>0</v>
      </c>
      <c r="AE529" s="593">
        <v>0</v>
      </c>
      <c r="AF529" s="593">
        <v>0</v>
      </c>
      <c r="AG529" s="593">
        <v>0</v>
      </c>
      <c r="AH529" s="593">
        <v>0</v>
      </c>
      <c r="AI529" s="593">
        <v>40000000</v>
      </c>
      <c r="AJ529" s="593">
        <v>40000000</v>
      </c>
      <c r="AK529" s="593">
        <v>0</v>
      </c>
      <c r="AL529" s="593">
        <v>0</v>
      </c>
      <c r="AM529" s="593">
        <v>0</v>
      </c>
      <c r="AN529" s="593">
        <v>0</v>
      </c>
      <c r="AO529" s="593">
        <v>0</v>
      </c>
      <c r="AP529" s="593">
        <v>0</v>
      </c>
      <c r="AQ529" s="593">
        <v>0</v>
      </c>
      <c r="AR529" s="593">
        <v>0</v>
      </c>
      <c r="AS529" s="593">
        <v>0</v>
      </c>
      <c r="AT529" s="630">
        <f t="shared" si="452"/>
        <v>0</v>
      </c>
      <c r="AU529" s="571">
        <v>0</v>
      </c>
      <c r="AV529" s="625">
        <f t="shared" si="437"/>
        <v>0</v>
      </c>
      <c r="AW529" s="1003">
        <v>0</v>
      </c>
      <c r="AX529" s="604">
        <f t="shared" si="438"/>
        <v>0</v>
      </c>
      <c r="AY529" s="604">
        <f t="shared" si="439"/>
        <v>0</v>
      </c>
      <c r="AZ529" s="604">
        <f t="shared" si="453"/>
        <v>0</v>
      </c>
      <c r="BA529" s="592">
        <f t="shared" si="454"/>
        <v>0</v>
      </c>
      <c r="BB529" s="592">
        <f t="shared" si="455"/>
        <v>0</v>
      </c>
      <c r="BC529" s="591">
        <v>0</v>
      </c>
      <c r="BD529" s="591">
        <v>0</v>
      </c>
      <c r="BE529" s="591">
        <v>0</v>
      </c>
      <c r="BF529" s="591">
        <v>0</v>
      </c>
      <c r="BG529" s="591">
        <v>0</v>
      </c>
      <c r="BH529" s="591">
        <v>0</v>
      </c>
      <c r="BI529" s="591">
        <v>0</v>
      </c>
      <c r="BJ529" s="591">
        <v>0</v>
      </c>
      <c r="BK529" s="624">
        <v>34000000</v>
      </c>
      <c r="BL529" s="589">
        <v>34000000</v>
      </c>
      <c r="BM529" s="589">
        <v>0</v>
      </c>
      <c r="BN529" s="589">
        <v>0</v>
      </c>
      <c r="BO529" s="589">
        <v>0</v>
      </c>
      <c r="BP529" s="589">
        <v>0</v>
      </c>
      <c r="BQ529" s="589">
        <v>0</v>
      </c>
      <c r="BR529" s="589">
        <v>0</v>
      </c>
      <c r="BS529" s="589">
        <v>0</v>
      </c>
      <c r="BT529" s="589">
        <v>0</v>
      </c>
      <c r="BU529" s="589">
        <v>0</v>
      </c>
      <c r="BV529" s="588">
        <f t="shared" si="456"/>
        <v>1.6500000000000001E-2</v>
      </c>
      <c r="BW529" s="588">
        <v>10</v>
      </c>
      <c r="BX529" s="623">
        <f t="shared" si="440"/>
        <v>0.1</v>
      </c>
      <c r="BY529" s="607">
        <v>18</v>
      </c>
      <c r="BZ529" s="629">
        <v>10</v>
      </c>
      <c r="CA529" s="1017">
        <v>10</v>
      </c>
      <c r="CB529" s="557">
        <f t="shared" si="441"/>
        <v>10</v>
      </c>
      <c r="CC529" s="557">
        <f t="shared" si="442"/>
        <v>100</v>
      </c>
      <c r="CD529" s="622">
        <f t="shared" si="457"/>
        <v>100</v>
      </c>
      <c r="CE529" s="621">
        <f t="shared" si="458"/>
        <v>1.6500000000000001E-2</v>
      </c>
      <c r="CF529" s="605">
        <f t="shared" si="459"/>
        <v>100</v>
      </c>
      <c r="CG529" s="621">
        <f t="shared" si="460"/>
        <v>1.6500000000000001E-2</v>
      </c>
      <c r="CH529" s="553">
        <f t="shared" si="461"/>
        <v>0.14850000000000002</v>
      </c>
      <c r="CI529" s="552">
        <v>90</v>
      </c>
      <c r="CJ529" s="551">
        <f t="shared" si="443"/>
        <v>0.9</v>
      </c>
      <c r="CK529" s="871">
        <v>40</v>
      </c>
      <c r="CL529" s="533">
        <f t="shared" si="433"/>
        <v>50</v>
      </c>
      <c r="CM529" s="619">
        <f t="shared" si="444"/>
        <v>40</v>
      </c>
      <c r="CN529" s="619">
        <f t="shared" si="445"/>
        <v>44.444444444444443</v>
      </c>
      <c r="CO529" s="549">
        <f t="shared" si="462"/>
        <v>44.444444444444443</v>
      </c>
      <c r="CP529" s="619">
        <f t="shared" si="463"/>
        <v>6.6000000000000003E-2</v>
      </c>
      <c r="CQ529" s="619">
        <f t="shared" si="464"/>
        <v>6.6000000000000003E-2</v>
      </c>
      <c r="CR529" s="546">
        <v>0</v>
      </c>
      <c r="CS529" s="546">
        <v>0</v>
      </c>
      <c r="CT529" s="546">
        <v>0</v>
      </c>
      <c r="CU529" s="546">
        <v>0</v>
      </c>
      <c r="CV529" s="546">
        <v>0</v>
      </c>
      <c r="CW529" s="546">
        <v>0</v>
      </c>
      <c r="CX529" s="546">
        <v>0</v>
      </c>
      <c r="CY529" s="546">
        <v>0</v>
      </c>
      <c r="CZ529" s="618">
        <v>0</v>
      </c>
      <c r="DA529" s="618">
        <v>0</v>
      </c>
      <c r="DB529" s="618">
        <v>0</v>
      </c>
      <c r="DC529" s="618">
        <v>0</v>
      </c>
      <c r="DD529" s="618">
        <v>0</v>
      </c>
      <c r="DE529" s="618">
        <v>0</v>
      </c>
      <c r="DF529" s="618">
        <v>0</v>
      </c>
      <c r="DG529" s="618">
        <v>0</v>
      </c>
      <c r="DH529" s="618">
        <v>0</v>
      </c>
      <c r="DI529" s="618">
        <v>0</v>
      </c>
      <c r="DJ529" s="618">
        <v>0</v>
      </c>
      <c r="DK529" s="1034">
        <f t="shared" si="446"/>
        <v>50</v>
      </c>
      <c r="DL529" s="543">
        <f t="shared" si="465"/>
        <v>0.16500000000000004</v>
      </c>
      <c r="DM529" s="542">
        <f t="shared" si="466"/>
        <v>50</v>
      </c>
      <c r="DN529" s="594">
        <f t="shared" si="467"/>
        <v>50</v>
      </c>
      <c r="DO529" s="540">
        <f t="shared" si="468"/>
        <v>8.2500000000000004E-2</v>
      </c>
      <c r="DP529" s="597">
        <f t="shared" si="473"/>
        <v>8.2500000000000004E-2</v>
      </c>
      <c r="DQ529" s="538">
        <f t="shared" si="469"/>
        <v>8.2500000000000004E-2</v>
      </c>
      <c r="DR529" s="617">
        <f t="shared" si="470"/>
        <v>1</v>
      </c>
      <c r="DS529" s="616">
        <f t="shared" si="471"/>
        <v>0</v>
      </c>
      <c r="DT529" s="259">
        <v>623</v>
      </c>
      <c r="DU529" s="260" t="s">
        <v>245</v>
      </c>
      <c r="DV529" s="259"/>
      <c r="DW529" s="260" t="s">
        <v>242</v>
      </c>
      <c r="DX529" s="259"/>
      <c r="DY529" s="259"/>
      <c r="DZ529" s="259"/>
      <c r="EA529" s="987"/>
      <c r="EB529" s="1041" t="s">
        <v>2830</v>
      </c>
      <c r="EC529" s="802">
        <v>0</v>
      </c>
      <c r="EE529" s="1047"/>
    </row>
    <row r="530" spans="4:135" s="534" customFormat="1" ht="51" hidden="1" x14ac:dyDescent="0.3">
      <c r="D530" s="783">
        <v>527</v>
      </c>
      <c r="E530" s="799">
        <v>601</v>
      </c>
      <c r="F530" s="739" t="s">
        <v>203</v>
      </c>
      <c r="G530" s="739" t="s">
        <v>19</v>
      </c>
      <c r="H530" s="739" t="s">
        <v>163</v>
      </c>
      <c r="I530" s="676" t="s">
        <v>1417</v>
      </c>
      <c r="J530" s="573" t="s">
        <v>1393</v>
      </c>
      <c r="K530" s="573" t="s">
        <v>1394</v>
      </c>
      <c r="L530" s="596" t="s">
        <v>1707</v>
      </c>
      <c r="M530" s="571" t="s">
        <v>2017</v>
      </c>
      <c r="N530" s="571">
        <v>10</v>
      </c>
      <c r="O530" s="570">
        <f t="shared" si="472"/>
        <v>110</v>
      </c>
      <c r="P530" s="569">
        <v>100</v>
      </c>
      <c r="Q530" s="628">
        <v>0.16500000000000001</v>
      </c>
      <c r="R530" s="580">
        <f t="shared" si="449"/>
        <v>3.1350000000000003E-2</v>
      </c>
      <c r="S530" s="627">
        <v>19</v>
      </c>
      <c r="T530" s="575">
        <f t="shared" si="434"/>
        <v>0.19</v>
      </c>
      <c r="U530" s="992">
        <v>19</v>
      </c>
      <c r="V530" s="626">
        <f t="shared" si="435"/>
        <v>19</v>
      </c>
      <c r="W530" s="594">
        <f t="shared" si="436"/>
        <v>100</v>
      </c>
      <c r="X530" s="594">
        <f t="shared" si="450"/>
        <v>100</v>
      </c>
      <c r="Y530" s="594">
        <f t="shared" ref="Y530:Y541" si="474">+(X530*R530)/100</f>
        <v>3.1350000000000003E-2</v>
      </c>
      <c r="Z530" s="594">
        <f t="shared" si="451"/>
        <v>100</v>
      </c>
      <c r="AA530" s="593">
        <v>425000000</v>
      </c>
      <c r="AB530" s="593">
        <v>425000000</v>
      </c>
      <c r="AC530" s="593">
        <v>0</v>
      </c>
      <c r="AD530" s="593">
        <v>0</v>
      </c>
      <c r="AE530" s="593">
        <v>0</v>
      </c>
      <c r="AF530" s="593">
        <v>0</v>
      </c>
      <c r="AG530" s="593">
        <v>0</v>
      </c>
      <c r="AH530" s="593">
        <v>0</v>
      </c>
      <c r="AI530" s="593">
        <v>337484000</v>
      </c>
      <c r="AJ530" s="593">
        <v>337484000</v>
      </c>
      <c r="AK530" s="593">
        <v>0</v>
      </c>
      <c r="AL530" s="593">
        <v>0</v>
      </c>
      <c r="AM530" s="593">
        <v>0</v>
      </c>
      <c r="AN530" s="593">
        <v>0</v>
      </c>
      <c r="AO530" s="593">
        <v>0</v>
      </c>
      <c r="AP530" s="593">
        <v>0</v>
      </c>
      <c r="AQ530" s="593">
        <v>0</v>
      </c>
      <c r="AR530" s="593">
        <v>0</v>
      </c>
      <c r="AS530" s="593">
        <v>0</v>
      </c>
      <c r="AT530" s="570">
        <f t="shared" si="452"/>
        <v>3.465E-2</v>
      </c>
      <c r="AU530" s="571">
        <v>21</v>
      </c>
      <c r="AV530" s="625">
        <f t="shared" si="437"/>
        <v>0.21</v>
      </c>
      <c r="AW530" s="1003">
        <v>21</v>
      </c>
      <c r="AX530" s="604">
        <f t="shared" si="438"/>
        <v>21</v>
      </c>
      <c r="AY530" s="604">
        <f t="shared" si="439"/>
        <v>100</v>
      </c>
      <c r="AZ530" s="604">
        <f t="shared" si="453"/>
        <v>100</v>
      </c>
      <c r="BA530" s="592">
        <f t="shared" si="454"/>
        <v>3.465E-2</v>
      </c>
      <c r="BB530" s="592">
        <f t="shared" si="455"/>
        <v>100</v>
      </c>
      <c r="BC530" s="591">
        <v>0</v>
      </c>
      <c r="BD530" s="591">
        <v>0</v>
      </c>
      <c r="BE530" s="591">
        <v>0</v>
      </c>
      <c r="BF530" s="591">
        <v>0</v>
      </c>
      <c r="BG530" s="591">
        <v>0</v>
      </c>
      <c r="BH530" s="591">
        <v>0</v>
      </c>
      <c r="BI530" s="591">
        <v>0</v>
      </c>
      <c r="BJ530" s="591">
        <v>0</v>
      </c>
      <c r="BK530" s="624">
        <v>136000000</v>
      </c>
      <c r="BL530" s="589">
        <v>136000000</v>
      </c>
      <c r="BM530" s="589">
        <v>0</v>
      </c>
      <c r="BN530" s="589">
        <v>0</v>
      </c>
      <c r="BO530" s="589">
        <v>0</v>
      </c>
      <c r="BP530" s="589">
        <v>0</v>
      </c>
      <c r="BQ530" s="589">
        <v>0</v>
      </c>
      <c r="BR530" s="589">
        <v>0</v>
      </c>
      <c r="BS530" s="589">
        <v>0</v>
      </c>
      <c r="BT530" s="589">
        <v>0</v>
      </c>
      <c r="BU530" s="589">
        <v>0</v>
      </c>
      <c r="BV530" s="588">
        <f t="shared" si="456"/>
        <v>4.9500000000000002E-2</v>
      </c>
      <c r="BW530" s="588">
        <v>30</v>
      </c>
      <c r="BX530" s="623">
        <f t="shared" si="440"/>
        <v>0.3</v>
      </c>
      <c r="BY530" s="607">
        <v>65</v>
      </c>
      <c r="BZ530" s="606">
        <v>20</v>
      </c>
      <c r="CA530" s="1021">
        <v>65</v>
      </c>
      <c r="CB530" s="557">
        <f t="shared" si="441"/>
        <v>65</v>
      </c>
      <c r="CC530" s="557">
        <f t="shared" si="442"/>
        <v>216.66666666666666</v>
      </c>
      <c r="CD530" s="622">
        <f t="shared" si="457"/>
        <v>100</v>
      </c>
      <c r="CE530" s="621">
        <f t="shared" si="458"/>
        <v>4.9500000000000002E-2</v>
      </c>
      <c r="CF530" s="605">
        <f t="shared" si="459"/>
        <v>100</v>
      </c>
      <c r="CG530" s="621">
        <f t="shared" si="460"/>
        <v>0.10725</v>
      </c>
      <c r="CH530" s="553">
        <f t="shared" si="461"/>
        <v>4.9500000000000002E-2</v>
      </c>
      <c r="CI530" s="552">
        <v>30</v>
      </c>
      <c r="CJ530" s="551">
        <f t="shared" si="443"/>
        <v>0.3</v>
      </c>
      <c r="CK530" s="871">
        <v>0</v>
      </c>
      <c r="CL530" s="533">
        <f t="shared" si="433"/>
        <v>30</v>
      </c>
      <c r="CM530" s="619">
        <f t="shared" si="444"/>
        <v>0</v>
      </c>
      <c r="CN530" s="619">
        <f t="shared" si="445"/>
        <v>0</v>
      </c>
      <c r="CO530" s="549">
        <f t="shared" si="462"/>
        <v>0</v>
      </c>
      <c r="CP530" s="619">
        <f t="shared" si="463"/>
        <v>0</v>
      </c>
      <c r="CQ530" s="619">
        <f t="shared" si="464"/>
        <v>0</v>
      </c>
      <c r="CR530" s="546">
        <v>0</v>
      </c>
      <c r="CS530" s="546">
        <v>0</v>
      </c>
      <c r="CT530" s="546">
        <v>0</v>
      </c>
      <c r="CU530" s="546">
        <v>0</v>
      </c>
      <c r="CV530" s="546">
        <v>0</v>
      </c>
      <c r="CW530" s="546">
        <v>0</v>
      </c>
      <c r="CX530" s="546">
        <v>0</v>
      </c>
      <c r="CY530" s="546">
        <v>0</v>
      </c>
      <c r="CZ530" s="618">
        <v>0</v>
      </c>
      <c r="DA530" s="618">
        <v>0</v>
      </c>
      <c r="DB530" s="618">
        <v>0</v>
      </c>
      <c r="DC530" s="618">
        <v>0</v>
      </c>
      <c r="DD530" s="618">
        <v>0</v>
      </c>
      <c r="DE530" s="618">
        <v>0</v>
      </c>
      <c r="DF530" s="618">
        <v>0</v>
      </c>
      <c r="DG530" s="618">
        <v>0</v>
      </c>
      <c r="DH530" s="618">
        <v>0</v>
      </c>
      <c r="DI530" s="618">
        <v>0</v>
      </c>
      <c r="DJ530" s="618">
        <v>0</v>
      </c>
      <c r="DK530" s="1034">
        <f t="shared" si="446"/>
        <v>105</v>
      </c>
      <c r="DL530" s="543">
        <f t="shared" si="465"/>
        <v>0.16500000000000001</v>
      </c>
      <c r="DM530" s="542">
        <f t="shared" si="466"/>
        <v>105</v>
      </c>
      <c r="DN530" s="594">
        <f t="shared" si="467"/>
        <v>100</v>
      </c>
      <c r="DO530" s="540">
        <f t="shared" si="468"/>
        <v>0.16500000000000001</v>
      </c>
      <c r="DP530" s="597">
        <f t="shared" si="473"/>
        <v>0.16500000000000001</v>
      </c>
      <c r="DQ530" s="538">
        <f t="shared" si="469"/>
        <v>0.16500000000000001</v>
      </c>
      <c r="DR530" s="617">
        <f t="shared" si="470"/>
        <v>1</v>
      </c>
      <c r="DS530" s="616">
        <f t="shared" si="471"/>
        <v>0</v>
      </c>
      <c r="DT530" s="259">
        <v>623</v>
      </c>
      <c r="DU530" s="260" t="s">
        <v>245</v>
      </c>
      <c r="DV530" s="259"/>
      <c r="DW530" s="260" t="s">
        <v>242</v>
      </c>
      <c r="DX530" s="259"/>
      <c r="DY530" s="259"/>
      <c r="DZ530" s="259"/>
      <c r="EA530" s="987"/>
      <c r="EB530" s="1041" t="s">
        <v>2831</v>
      </c>
      <c r="EC530" s="802">
        <v>0</v>
      </c>
      <c r="EE530" s="1047"/>
    </row>
    <row r="531" spans="4:135" s="534" customFormat="1" ht="51" hidden="1" x14ac:dyDescent="0.3">
      <c r="D531" s="783">
        <v>528</v>
      </c>
      <c r="E531" s="799">
        <v>602</v>
      </c>
      <c r="F531" s="739" t="s">
        <v>203</v>
      </c>
      <c r="G531" s="739" t="s">
        <v>19</v>
      </c>
      <c r="H531" s="739" t="s">
        <v>163</v>
      </c>
      <c r="I531" s="676" t="s">
        <v>1417</v>
      </c>
      <c r="J531" s="573" t="s">
        <v>1395</v>
      </c>
      <c r="K531" s="573" t="s">
        <v>1396</v>
      </c>
      <c r="L531" s="596" t="s">
        <v>2028</v>
      </c>
      <c r="M531" s="571" t="s">
        <v>2017</v>
      </c>
      <c r="N531" s="571">
        <v>0</v>
      </c>
      <c r="O531" s="570">
        <f t="shared" si="472"/>
        <v>8</v>
      </c>
      <c r="P531" s="569">
        <v>8</v>
      </c>
      <c r="Q531" s="628">
        <v>0.16500000000000001</v>
      </c>
      <c r="R531" s="580">
        <f t="shared" si="449"/>
        <v>2.0625000000000001E-2</v>
      </c>
      <c r="S531" s="627">
        <v>1</v>
      </c>
      <c r="T531" s="575">
        <f t="shared" si="434"/>
        <v>0.125</v>
      </c>
      <c r="U531" s="992">
        <v>1</v>
      </c>
      <c r="V531" s="626">
        <f t="shared" si="435"/>
        <v>1</v>
      </c>
      <c r="W531" s="594">
        <f t="shared" si="436"/>
        <v>100</v>
      </c>
      <c r="X531" s="594">
        <f t="shared" si="450"/>
        <v>100</v>
      </c>
      <c r="Y531" s="594">
        <f t="shared" si="474"/>
        <v>2.0625000000000001E-2</v>
      </c>
      <c r="Z531" s="594">
        <f t="shared" si="451"/>
        <v>100</v>
      </c>
      <c r="AA531" s="593">
        <v>0</v>
      </c>
      <c r="AB531" s="593">
        <v>0</v>
      </c>
      <c r="AC531" s="593">
        <v>0</v>
      </c>
      <c r="AD531" s="593">
        <v>0</v>
      </c>
      <c r="AE531" s="593">
        <v>0</v>
      </c>
      <c r="AF531" s="593">
        <v>0</v>
      </c>
      <c r="AG531" s="593">
        <v>0</v>
      </c>
      <c r="AH531" s="593">
        <v>0</v>
      </c>
      <c r="AI531" s="593">
        <v>0</v>
      </c>
      <c r="AJ531" s="593">
        <v>0</v>
      </c>
      <c r="AK531" s="593">
        <v>0</v>
      </c>
      <c r="AL531" s="593">
        <v>0</v>
      </c>
      <c r="AM531" s="593">
        <v>0</v>
      </c>
      <c r="AN531" s="593">
        <v>0</v>
      </c>
      <c r="AO531" s="593">
        <v>0</v>
      </c>
      <c r="AP531" s="593">
        <v>0</v>
      </c>
      <c r="AQ531" s="593">
        <v>0</v>
      </c>
      <c r="AR531" s="593">
        <v>0</v>
      </c>
      <c r="AS531" s="593">
        <v>0</v>
      </c>
      <c r="AT531" s="570">
        <f t="shared" si="452"/>
        <v>4.1250000000000002E-2</v>
      </c>
      <c r="AU531" s="571">
        <v>2</v>
      </c>
      <c r="AV531" s="625">
        <f t="shared" si="437"/>
        <v>0.25</v>
      </c>
      <c r="AW531" s="1003">
        <v>2</v>
      </c>
      <c r="AX531" s="604">
        <f t="shared" si="438"/>
        <v>2</v>
      </c>
      <c r="AY531" s="604">
        <f t="shared" si="439"/>
        <v>100</v>
      </c>
      <c r="AZ531" s="604">
        <f t="shared" si="453"/>
        <v>100</v>
      </c>
      <c r="BA531" s="592">
        <f t="shared" si="454"/>
        <v>4.1250000000000002E-2</v>
      </c>
      <c r="BB531" s="592">
        <f t="shared" si="455"/>
        <v>100</v>
      </c>
      <c r="BC531" s="591">
        <v>0</v>
      </c>
      <c r="BD531" s="591">
        <v>0</v>
      </c>
      <c r="BE531" s="591">
        <v>0</v>
      </c>
      <c r="BF531" s="591">
        <v>0</v>
      </c>
      <c r="BG531" s="591">
        <v>0</v>
      </c>
      <c r="BH531" s="591">
        <v>0</v>
      </c>
      <c r="BI531" s="591">
        <v>0</v>
      </c>
      <c r="BJ531" s="591">
        <v>0</v>
      </c>
      <c r="BK531" s="624">
        <v>0</v>
      </c>
      <c r="BL531" s="589">
        <v>0</v>
      </c>
      <c r="BM531" s="589">
        <v>0</v>
      </c>
      <c r="BN531" s="589">
        <v>0</v>
      </c>
      <c r="BO531" s="589">
        <v>0</v>
      </c>
      <c r="BP531" s="589">
        <v>0</v>
      </c>
      <c r="BQ531" s="589">
        <v>0</v>
      </c>
      <c r="BR531" s="589">
        <v>0</v>
      </c>
      <c r="BS531" s="589">
        <v>0</v>
      </c>
      <c r="BT531" s="589">
        <v>0</v>
      </c>
      <c r="BU531" s="589">
        <v>0</v>
      </c>
      <c r="BV531" s="588">
        <f t="shared" si="456"/>
        <v>6.1874999999999999E-2</v>
      </c>
      <c r="BW531" s="588">
        <v>3</v>
      </c>
      <c r="BX531" s="623">
        <f t="shared" si="440"/>
        <v>0.375</v>
      </c>
      <c r="BY531" s="607">
        <v>0</v>
      </c>
      <c r="BZ531" s="606">
        <v>1</v>
      </c>
      <c r="CA531" s="1021">
        <v>2</v>
      </c>
      <c r="CB531" s="557">
        <f t="shared" si="441"/>
        <v>2</v>
      </c>
      <c r="CC531" s="557">
        <f t="shared" si="442"/>
        <v>66.666666666666671</v>
      </c>
      <c r="CD531" s="622">
        <f t="shared" si="457"/>
        <v>66.666666666666671</v>
      </c>
      <c r="CE531" s="621">
        <f t="shared" si="458"/>
        <v>4.1250000000000002E-2</v>
      </c>
      <c r="CF531" s="605">
        <f t="shared" si="459"/>
        <v>66.666666666666671</v>
      </c>
      <c r="CG531" s="621">
        <f t="shared" si="460"/>
        <v>4.1250000000000002E-2</v>
      </c>
      <c r="CH531" s="553">
        <f t="shared" si="461"/>
        <v>4.1250000000000002E-2</v>
      </c>
      <c r="CI531" s="552">
        <v>2</v>
      </c>
      <c r="CJ531" s="551">
        <f t="shared" si="443"/>
        <v>0.25</v>
      </c>
      <c r="CK531" s="871">
        <v>0</v>
      </c>
      <c r="CL531" s="533">
        <f t="shared" si="433"/>
        <v>2</v>
      </c>
      <c r="CM531" s="619">
        <f t="shared" si="444"/>
        <v>0</v>
      </c>
      <c r="CN531" s="619">
        <f t="shared" si="445"/>
        <v>0</v>
      </c>
      <c r="CO531" s="549">
        <f t="shared" si="462"/>
        <v>0</v>
      </c>
      <c r="CP531" s="619">
        <f t="shared" si="463"/>
        <v>0</v>
      </c>
      <c r="CQ531" s="619">
        <f t="shared" si="464"/>
        <v>0</v>
      </c>
      <c r="CR531" s="546">
        <v>0</v>
      </c>
      <c r="CS531" s="546">
        <v>0</v>
      </c>
      <c r="CT531" s="546">
        <v>0</v>
      </c>
      <c r="CU531" s="546">
        <v>0</v>
      </c>
      <c r="CV531" s="546">
        <v>0</v>
      </c>
      <c r="CW531" s="546">
        <v>0</v>
      </c>
      <c r="CX531" s="546">
        <v>0</v>
      </c>
      <c r="CY531" s="546">
        <v>0</v>
      </c>
      <c r="CZ531" s="618">
        <v>0</v>
      </c>
      <c r="DA531" s="618">
        <v>0</v>
      </c>
      <c r="DB531" s="618">
        <v>0</v>
      </c>
      <c r="DC531" s="618">
        <v>0</v>
      </c>
      <c r="DD531" s="618">
        <v>0</v>
      </c>
      <c r="DE531" s="618">
        <v>0</v>
      </c>
      <c r="DF531" s="618">
        <v>0</v>
      </c>
      <c r="DG531" s="618">
        <v>0</v>
      </c>
      <c r="DH531" s="618">
        <v>0</v>
      </c>
      <c r="DI531" s="618">
        <v>0</v>
      </c>
      <c r="DJ531" s="618">
        <v>0</v>
      </c>
      <c r="DK531" s="1034">
        <f t="shared" si="446"/>
        <v>5</v>
      </c>
      <c r="DL531" s="543">
        <f t="shared" si="465"/>
        <v>0.16500000000000001</v>
      </c>
      <c r="DM531" s="542">
        <f t="shared" si="466"/>
        <v>62.5</v>
      </c>
      <c r="DN531" s="594">
        <f t="shared" si="467"/>
        <v>62.5</v>
      </c>
      <c r="DO531" s="540">
        <f t="shared" si="468"/>
        <v>0.10312499999999999</v>
      </c>
      <c r="DP531" s="597">
        <f t="shared" si="473"/>
        <v>0.10312499999999999</v>
      </c>
      <c r="DQ531" s="538">
        <f t="shared" si="469"/>
        <v>0.10312499999999999</v>
      </c>
      <c r="DR531" s="617">
        <f t="shared" si="470"/>
        <v>1</v>
      </c>
      <c r="DS531" s="616">
        <f t="shared" si="471"/>
        <v>0</v>
      </c>
      <c r="DT531" s="259">
        <v>623</v>
      </c>
      <c r="DU531" s="260" t="s">
        <v>245</v>
      </c>
      <c r="DV531" s="259"/>
      <c r="DW531" s="260" t="s">
        <v>242</v>
      </c>
      <c r="DX531" s="259"/>
      <c r="DY531" s="259"/>
      <c r="DZ531" s="259"/>
      <c r="EA531" s="987"/>
      <c r="EB531" s="1041" t="s">
        <v>2832</v>
      </c>
      <c r="EC531" s="802">
        <v>0</v>
      </c>
      <c r="EE531" s="1047"/>
    </row>
    <row r="532" spans="4:135" s="534" customFormat="1" ht="89.25" hidden="1" x14ac:dyDescent="0.3">
      <c r="D532" s="783">
        <v>529</v>
      </c>
      <c r="E532" s="799">
        <v>603</v>
      </c>
      <c r="F532" s="739" t="s">
        <v>203</v>
      </c>
      <c r="G532" s="739" t="s">
        <v>19</v>
      </c>
      <c r="H532" s="739" t="s">
        <v>163</v>
      </c>
      <c r="I532" s="676" t="s">
        <v>1417</v>
      </c>
      <c r="J532" s="573" t="s">
        <v>1397</v>
      </c>
      <c r="K532" s="573" t="s">
        <v>1398</v>
      </c>
      <c r="L532" s="596" t="s">
        <v>2027</v>
      </c>
      <c r="M532" s="571" t="s">
        <v>2017</v>
      </c>
      <c r="N532" s="571">
        <v>0</v>
      </c>
      <c r="O532" s="570">
        <f t="shared" si="472"/>
        <v>14</v>
      </c>
      <c r="P532" s="569">
        <v>14</v>
      </c>
      <c r="Q532" s="628">
        <v>0.16500000000000001</v>
      </c>
      <c r="R532" s="580">
        <f t="shared" si="449"/>
        <v>2.357142857142857E-2</v>
      </c>
      <c r="S532" s="627">
        <v>2</v>
      </c>
      <c r="T532" s="575">
        <f t="shared" si="434"/>
        <v>0.14285714285714285</v>
      </c>
      <c r="U532" s="992">
        <v>2</v>
      </c>
      <c r="V532" s="626">
        <f t="shared" si="435"/>
        <v>2</v>
      </c>
      <c r="W532" s="594">
        <f t="shared" si="436"/>
        <v>100</v>
      </c>
      <c r="X532" s="594">
        <f t="shared" si="450"/>
        <v>100</v>
      </c>
      <c r="Y532" s="594">
        <f t="shared" si="474"/>
        <v>2.3571428571428566E-2</v>
      </c>
      <c r="Z532" s="594">
        <f t="shared" si="451"/>
        <v>100</v>
      </c>
      <c r="AA532" s="593">
        <v>10000000</v>
      </c>
      <c r="AB532" s="593">
        <v>10000000</v>
      </c>
      <c r="AC532" s="593">
        <v>0</v>
      </c>
      <c r="AD532" s="593">
        <v>0</v>
      </c>
      <c r="AE532" s="593">
        <v>0</v>
      </c>
      <c r="AF532" s="593">
        <v>0</v>
      </c>
      <c r="AG532" s="593">
        <v>0</v>
      </c>
      <c r="AH532" s="593">
        <v>0</v>
      </c>
      <c r="AI532" s="593">
        <v>57768000</v>
      </c>
      <c r="AJ532" s="593">
        <v>57768000</v>
      </c>
      <c r="AK532" s="593">
        <v>0</v>
      </c>
      <c r="AL532" s="593">
        <v>0</v>
      </c>
      <c r="AM532" s="593">
        <v>0</v>
      </c>
      <c r="AN532" s="593">
        <v>0</v>
      </c>
      <c r="AO532" s="593">
        <v>0</v>
      </c>
      <c r="AP532" s="593">
        <v>0</v>
      </c>
      <c r="AQ532" s="593">
        <v>0</v>
      </c>
      <c r="AR532" s="593">
        <v>0</v>
      </c>
      <c r="AS532" s="593">
        <v>0</v>
      </c>
      <c r="AT532" s="570">
        <f t="shared" si="452"/>
        <v>4.7142857142857139E-2</v>
      </c>
      <c r="AU532" s="571">
        <v>4</v>
      </c>
      <c r="AV532" s="625">
        <f t="shared" si="437"/>
        <v>0.2857142857142857</v>
      </c>
      <c r="AW532" s="1003">
        <v>4</v>
      </c>
      <c r="AX532" s="604">
        <f t="shared" si="438"/>
        <v>4</v>
      </c>
      <c r="AY532" s="604">
        <f t="shared" si="439"/>
        <v>100</v>
      </c>
      <c r="AZ532" s="604">
        <f t="shared" si="453"/>
        <v>100</v>
      </c>
      <c r="BA532" s="592">
        <f t="shared" si="454"/>
        <v>4.7142857142857132E-2</v>
      </c>
      <c r="BB532" s="592">
        <f t="shared" si="455"/>
        <v>100</v>
      </c>
      <c r="BC532" s="591">
        <v>13000000</v>
      </c>
      <c r="BD532" s="591">
        <v>0</v>
      </c>
      <c r="BE532" s="591">
        <v>13000000</v>
      </c>
      <c r="BF532" s="591">
        <v>0</v>
      </c>
      <c r="BG532" s="591">
        <v>0</v>
      </c>
      <c r="BH532" s="591">
        <v>0</v>
      </c>
      <c r="BI532" s="591">
        <v>0</v>
      </c>
      <c r="BJ532" s="591">
        <v>0</v>
      </c>
      <c r="BK532" s="624">
        <v>50000000</v>
      </c>
      <c r="BL532" s="589">
        <v>50000000</v>
      </c>
      <c r="BM532" s="589">
        <v>0</v>
      </c>
      <c r="BN532" s="589">
        <v>0</v>
      </c>
      <c r="BO532" s="589">
        <v>0</v>
      </c>
      <c r="BP532" s="589">
        <v>0</v>
      </c>
      <c r="BQ532" s="589">
        <v>0</v>
      </c>
      <c r="BR532" s="589">
        <v>0</v>
      </c>
      <c r="BS532" s="589">
        <v>0</v>
      </c>
      <c r="BT532" s="589">
        <v>0</v>
      </c>
      <c r="BU532" s="589">
        <v>0</v>
      </c>
      <c r="BV532" s="588">
        <f t="shared" si="456"/>
        <v>4.7142857142857139E-2</v>
      </c>
      <c r="BW532" s="588">
        <v>4</v>
      </c>
      <c r="BX532" s="623">
        <f t="shared" si="440"/>
        <v>0.2857142857142857</v>
      </c>
      <c r="BY532" s="607">
        <v>4</v>
      </c>
      <c r="BZ532" s="606">
        <v>4</v>
      </c>
      <c r="CA532" s="1021">
        <v>4</v>
      </c>
      <c r="CB532" s="557">
        <f t="shared" si="441"/>
        <v>4</v>
      </c>
      <c r="CC532" s="557">
        <f t="shared" si="442"/>
        <v>100</v>
      </c>
      <c r="CD532" s="622">
        <f t="shared" si="457"/>
        <v>100</v>
      </c>
      <c r="CE532" s="621">
        <f t="shared" si="458"/>
        <v>4.7142857142857132E-2</v>
      </c>
      <c r="CF532" s="605">
        <f t="shared" si="459"/>
        <v>100</v>
      </c>
      <c r="CG532" s="621">
        <f t="shared" si="460"/>
        <v>4.7142857142857132E-2</v>
      </c>
      <c r="CH532" s="553">
        <f t="shared" si="461"/>
        <v>4.7142857142857139E-2</v>
      </c>
      <c r="CI532" s="552">
        <v>4</v>
      </c>
      <c r="CJ532" s="551">
        <f t="shared" si="443"/>
        <v>0.2857142857142857</v>
      </c>
      <c r="CK532" s="874">
        <v>1</v>
      </c>
      <c r="CL532" s="533">
        <f t="shared" si="433"/>
        <v>3</v>
      </c>
      <c r="CM532" s="619">
        <v>0</v>
      </c>
      <c r="CN532" s="619">
        <f t="shared" si="445"/>
        <v>25</v>
      </c>
      <c r="CO532" s="549">
        <f t="shared" si="462"/>
        <v>25</v>
      </c>
      <c r="CP532" s="619">
        <f t="shared" si="463"/>
        <v>1.1785714285714283E-2</v>
      </c>
      <c r="CQ532" s="619">
        <f t="shared" si="464"/>
        <v>1.1785714285714283E-2</v>
      </c>
      <c r="CR532" s="546">
        <v>15000000</v>
      </c>
      <c r="CS532" s="546">
        <v>15000000</v>
      </c>
      <c r="CT532" s="546">
        <v>0</v>
      </c>
      <c r="CU532" s="546">
        <v>0</v>
      </c>
      <c r="CV532" s="546">
        <v>0</v>
      </c>
      <c r="CW532" s="546">
        <v>0</v>
      </c>
      <c r="CX532" s="546">
        <v>0</v>
      </c>
      <c r="CY532" s="546">
        <v>0</v>
      </c>
      <c r="CZ532" s="618">
        <v>0</v>
      </c>
      <c r="DA532" s="618">
        <v>0</v>
      </c>
      <c r="DB532" s="618">
        <v>0</v>
      </c>
      <c r="DC532" s="618">
        <v>0</v>
      </c>
      <c r="DD532" s="618">
        <v>0</v>
      </c>
      <c r="DE532" s="618">
        <v>0</v>
      </c>
      <c r="DF532" s="618">
        <v>0</v>
      </c>
      <c r="DG532" s="618">
        <v>0</v>
      </c>
      <c r="DH532" s="618">
        <v>0</v>
      </c>
      <c r="DI532" s="618">
        <v>0</v>
      </c>
      <c r="DJ532" s="618">
        <v>0</v>
      </c>
      <c r="DK532" s="1034">
        <f t="shared" si="446"/>
        <v>11</v>
      </c>
      <c r="DL532" s="543">
        <f t="shared" si="465"/>
        <v>0.16499999999999998</v>
      </c>
      <c r="DM532" s="542">
        <f t="shared" si="466"/>
        <v>78.571428571428569</v>
      </c>
      <c r="DN532" s="594">
        <f t="shared" si="467"/>
        <v>78.571428571428569</v>
      </c>
      <c r="DO532" s="540">
        <f t="shared" si="468"/>
        <v>0.12964285714285714</v>
      </c>
      <c r="DP532" s="597">
        <f t="shared" si="473"/>
        <v>0.12964285714285714</v>
      </c>
      <c r="DQ532" s="538">
        <f t="shared" si="469"/>
        <v>0.12964285714285714</v>
      </c>
      <c r="DR532" s="617">
        <f t="shared" si="470"/>
        <v>0.99999999999999989</v>
      </c>
      <c r="DS532" s="616">
        <f t="shared" si="471"/>
        <v>0</v>
      </c>
      <c r="DT532" s="259">
        <v>623</v>
      </c>
      <c r="DU532" s="260" t="s">
        <v>245</v>
      </c>
      <c r="DV532" s="259"/>
      <c r="DW532" s="260" t="s">
        <v>242</v>
      </c>
      <c r="DX532" s="259"/>
      <c r="DY532" s="259"/>
      <c r="DZ532" s="259"/>
      <c r="EA532" s="987"/>
      <c r="EB532" s="1041" t="s">
        <v>2833</v>
      </c>
      <c r="EC532" s="802">
        <v>15000000</v>
      </c>
      <c r="EE532" s="1047"/>
    </row>
    <row r="533" spans="4:135" s="534" customFormat="1" ht="102" hidden="1" x14ac:dyDescent="0.3">
      <c r="D533" s="783">
        <v>530</v>
      </c>
      <c r="E533" s="799">
        <v>604</v>
      </c>
      <c r="F533" s="739" t="s">
        <v>203</v>
      </c>
      <c r="G533" s="739" t="s">
        <v>19</v>
      </c>
      <c r="H533" s="739" t="s">
        <v>163</v>
      </c>
      <c r="I533" s="676" t="s">
        <v>1417</v>
      </c>
      <c r="J533" s="573" t="s">
        <v>1399</v>
      </c>
      <c r="K533" s="573" t="s">
        <v>1400</v>
      </c>
      <c r="L533" s="596" t="s">
        <v>2026</v>
      </c>
      <c r="M533" s="571" t="s">
        <v>2017</v>
      </c>
      <c r="N533" s="571">
        <v>4</v>
      </c>
      <c r="O533" s="570">
        <f t="shared" si="472"/>
        <v>11</v>
      </c>
      <c r="P533" s="569">
        <v>7</v>
      </c>
      <c r="Q533" s="628">
        <v>0.16500000000000001</v>
      </c>
      <c r="R533" s="580">
        <f t="shared" si="449"/>
        <v>2.357142857142857E-2</v>
      </c>
      <c r="S533" s="627">
        <v>1</v>
      </c>
      <c r="T533" s="575">
        <f t="shared" si="434"/>
        <v>0.14285714285714285</v>
      </c>
      <c r="U533" s="992">
        <v>0</v>
      </c>
      <c r="V533" s="626">
        <f t="shared" si="435"/>
        <v>0</v>
      </c>
      <c r="W533" s="594">
        <f t="shared" si="436"/>
        <v>0</v>
      </c>
      <c r="X533" s="594">
        <f t="shared" si="450"/>
        <v>0</v>
      </c>
      <c r="Y533" s="594">
        <f t="shared" si="474"/>
        <v>0</v>
      </c>
      <c r="Z533" s="594">
        <f t="shared" si="451"/>
        <v>0</v>
      </c>
      <c r="AA533" s="593">
        <v>0</v>
      </c>
      <c r="AB533" s="593">
        <v>0</v>
      </c>
      <c r="AC533" s="593">
        <v>0</v>
      </c>
      <c r="AD533" s="593">
        <v>0</v>
      </c>
      <c r="AE533" s="593">
        <v>0</v>
      </c>
      <c r="AF533" s="593">
        <v>0</v>
      </c>
      <c r="AG533" s="593">
        <v>0</v>
      </c>
      <c r="AH533" s="593">
        <v>0</v>
      </c>
      <c r="AI533" s="593">
        <v>0</v>
      </c>
      <c r="AJ533" s="593">
        <v>0</v>
      </c>
      <c r="AK533" s="593">
        <v>0</v>
      </c>
      <c r="AL533" s="593">
        <v>0</v>
      </c>
      <c r="AM533" s="593">
        <v>0</v>
      </c>
      <c r="AN533" s="593">
        <v>0</v>
      </c>
      <c r="AO533" s="593">
        <v>0</v>
      </c>
      <c r="AP533" s="593">
        <v>0</v>
      </c>
      <c r="AQ533" s="593">
        <v>0</v>
      </c>
      <c r="AR533" s="593">
        <v>0</v>
      </c>
      <c r="AS533" s="593">
        <v>0</v>
      </c>
      <c r="AT533" s="570">
        <f t="shared" si="452"/>
        <v>4.7142857142857139E-2</v>
      </c>
      <c r="AU533" s="571">
        <v>2</v>
      </c>
      <c r="AV533" s="625">
        <f t="shared" si="437"/>
        <v>0.2857142857142857</v>
      </c>
      <c r="AW533" s="1003">
        <v>6</v>
      </c>
      <c r="AX533" s="604">
        <f t="shared" si="438"/>
        <v>6</v>
      </c>
      <c r="AY533" s="604">
        <f t="shared" si="439"/>
        <v>300</v>
      </c>
      <c r="AZ533" s="604">
        <f t="shared" si="453"/>
        <v>100</v>
      </c>
      <c r="BA533" s="592">
        <f t="shared" si="454"/>
        <v>4.7142857142857132E-2</v>
      </c>
      <c r="BB533" s="592">
        <f t="shared" si="455"/>
        <v>100</v>
      </c>
      <c r="BC533" s="591">
        <v>29000000</v>
      </c>
      <c r="BD533" s="591">
        <v>0</v>
      </c>
      <c r="BE533" s="591">
        <v>29000000</v>
      </c>
      <c r="BF533" s="591">
        <v>0</v>
      </c>
      <c r="BG533" s="591">
        <v>0</v>
      </c>
      <c r="BH533" s="591">
        <v>0</v>
      </c>
      <c r="BI533" s="591">
        <v>0</v>
      </c>
      <c r="BJ533" s="591">
        <v>0</v>
      </c>
      <c r="BK533" s="624">
        <v>67720000</v>
      </c>
      <c r="BL533" s="589">
        <v>67720000</v>
      </c>
      <c r="BM533" s="589">
        <v>0</v>
      </c>
      <c r="BN533" s="589">
        <v>0</v>
      </c>
      <c r="BO533" s="589">
        <v>0</v>
      </c>
      <c r="BP533" s="589">
        <v>0</v>
      </c>
      <c r="BQ533" s="589">
        <v>0</v>
      </c>
      <c r="BR533" s="589">
        <v>0</v>
      </c>
      <c r="BS533" s="589">
        <v>0</v>
      </c>
      <c r="BT533" s="589">
        <v>0</v>
      </c>
      <c r="BU533" s="589">
        <v>0</v>
      </c>
      <c r="BV533" s="588">
        <f t="shared" si="456"/>
        <v>4.7142857142857139E-2</v>
      </c>
      <c r="BW533" s="588">
        <v>2</v>
      </c>
      <c r="BX533" s="623">
        <f t="shared" si="440"/>
        <v>0.2857142857142857</v>
      </c>
      <c r="BY533" s="607">
        <v>5</v>
      </c>
      <c r="BZ533" s="606">
        <v>5</v>
      </c>
      <c r="CA533" s="1021">
        <v>5</v>
      </c>
      <c r="CB533" s="557">
        <f t="shared" si="441"/>
        <v>5</v>
      </c>
      <c r="CC533" s="557">
        <f t="shared" si="442"/>
        <v>250</v>
      </c>
      <c r="CD533" s="622">
        <f t="shared" si="457"/>
        <v>100</v>
      </c>
      <c r="CE533" s="621">
        <f t="shared" si="458"/>
        <v>4.7142857142857132E-2</v>
      </c>
      <c r="CF533" s="605">
        <f t="shared" si="459"/>
        <v>100</v>
      </c>
      <c r="CG533" s="621">
        <f t="shared" si="460"/>
        <v>0.11785714285714284</v>
      </c>
      <c r="CH533" s="553">
        <f t="shared" si="461"/>
        <v>4.7142857142857139E-2</v>
      </c>
      <c r="CI533" s="552">
        <v>2</v>
      </c>
      <c r="CJ533" s="551">
        <f t="shared" si="443"/>
        <v>0.2857142857142857</v>
      </c>
      <c r="CK533" s="874">
        <v>3</v>
      </c>
      <c r="CL533" s="533">
        <f t="shared" si="433"/>
        <v>-1</v>
      </c>
      <c r="CM533" s="619">
        <v>0</v>
      </c>
      <c r="CN533" s="619">
        <f t="shared" si="445"/>
        <v>150</v>
      </c>
      <c r="CO533" s="549">
        <f t="shared" si="462"/>
        <v>100</v>
      </c>
      <c r="CP533" s="619">
        <f t="shared" si="463"/>
        <v>4.7142857142857132E-2</v>
      </c>
      <c r="CQ533" s="619">
        <f t="shared" si="464"/>
        <v>7.0714285714285716E-2</v>
      </c>
      <c r="CR533" s="546">
        <v>31000000</v>
      </c>
      <c r="CS533" s="546">
        <v>31000000</v>
      </c>
      <c r="CT533" s="546">
        <v>0</v>
      </c>
      <c r="CU533" s="546">
        <v>0</v>
      </c>
      <c r="CV533" s="546">
        <v>0</v>
      </c>
      <c r="CW533" s="546">
        <v>0</v>
      </c>
      <c r="CX533" s="546">
        <v>0</v>
      </c>
      <c r="CY533" s="546">
        <v>0</v>
      </c>
      <c r="CZ533" s="618">
        <v>0</v>
      </c>
      <c r="DA533" s="618">
        <v>0</v>
      </c>
      <c r="DB533" s="618">
        <v>0</v>
      </c>
      <c r="DC533" s="618">
        <v>0</v>
      </c>
      <c r="DD533" s="618">
        <v>0</v>
      </c>
      <c r="DE533" s="618">
        <v>0</v>
      </c>
      <c r="DF533" s="618">
        <v>0</v>
      </c>
      <c r="DG533" s="618">
        <v>0</v>
      </c>
      <c r="DH533" s="618">
        <v>0</v>
      </c>
      <c r="DI533" s="618">
        <v>0</v>
      </c>
      <c r="DJ533" s="618">
        <v>0</v>
      </c>
      <c r="DK533" s="1034">
        <f t="shared" si="446"/>
        <v>14</v>
      </c>
      <c r="DL533" s="543">
        <f t="shared" si="465"/>
        <v>0.16499999999999998</v>
      </c>
      <c r="DM533" s="542">
        <f t="shared" si="466"/>
        <v>200</v>
      </c>
      <c r="DN533" s="594">
        <f t="shared" si="467"/>
        <v>100</v>
      </c>
      <c r="DO533" s="540">
        <f t="shared" si="468"/>
        <v>0.16500000000000001</v>
      </c>
      <c r="DP533" s="597">
        <f t="shared" si="473"/>
        <v>0.16500000000000001</v>
      </c>
      <c r="DQ533" s="538">
        <f t="shared" si="469"/>
        <v>0.16500000000000001</v>
      </c>
      <c r="DR533" s="617">
        <f t="shared" si="470"/>
        <v>0.99999999999999989</v>
      </c>
      <c r="DS533" s="616">
        <f t="shared" si="471"/>
        <v>0</v>
      </c>
      <c r="DT533" s="259">
        <v>623</v>
      </c>
      <c r="DU533" s="260" t="s">
        <v>245</v>
      </c>
      <c r="DV533" s="259"/>
      <c r="DW533" s="260" t="s">
        <v>242</v>
      </c>
      <c r="DX533" s="259"/>
      <c r="DY533" s="259"/>
      <c r="DZ533" s="259"/>
      <c r="EA533" s="987"/>
      <c r="EB533" s="1041" t="s">
        <v>2834</v>
      </c>
      <c r="EC533" s="802">
        <v>29000000</v>
      </c>
      <c r="EE533" s="1047"/>
    </row>
    <row r="534" spans="4:135" s="534" customFormat="1" ht="108" hidden="1" x14ac:dyDescent="0.3">
      <c r="D534" s="783">
        <v>531</v>
      </c>
      <c r="E534" s="799">
        <v>605</v>
      </c>
      <c r="F534" s="739" t="s">
        <v>203</v>
      </c>
      <c r="G534" s="739" t="s">
        <v>19</v>
      </c>
      <c r="H534" s="739" t="s">
        <v>163</v>
      </c>
      <c r="I534" s="676" t="s">
        <v>1417</v>
      </c>
      <c r="J534" s="573" t="s">
        <v>1401</v>
      </c>
      <c r="K534" s="573" t="s">
        <v>1402</v>
      </c>
      <c r="L534" s="596" t="s">
        <v>2025</v>
      </c>
      <c r="M534" s="571" t="s">
        <v>2017</v>
      </c>
      <c r="N534" s="571">
        <v>1</v>
      </c>
      <c r="O534" s="570">
        <f t="shared" si="472"/>
        <v>5</v>
      </c>
      <c r="P534" s="569">
        <v>4</v>
      </c>
      <c r="Q534" s="628">
        <v>0.16500000000000001</v>
      </c>
      <c r="R534" s="580">
        <f t="shared" si="449"/>
        <v>4.1250000000000002E-2</v>
      </c>
      <c r="S534" s="627">
        <v>1</v>
      </c>
      <c r="T534" s="575">
        <f t="shared" si="434"/>
        <v>0.25</v>
      </c>
      <c r="U534" s="992">
        <v>0</v>
      </c>
      <c r="V534" s="626">
        <f t="shared" si="435"/>
        <v>0</v>
      </c>
      <c r="W534" s="594">
        <f t="shared" si="436"/>
        <v>0</v>
      </c>
      <c r="X534" s="594">
        <f t="shared" si="450"/>
        <v>0</v>
      </c>
      <c r="Y534" s="594">
        <f t="shared" si="474"/>
        <v>0</v>
      </c>
      <c r="Z534" s="594">
        <f t="shared" si="451"/>
        <v>0</v>
      </c>
      <c r="AA534" s="593">
        <v>0</v>
      </c>
      <c r="AB534" s="593">
        <v>0</v>
      </c>
      <c r="AC534" s="593">
        <v>0</v>
      </c>
      <c r="AD534" s="593">
        <v>0</v>
      </c>
      <c r="AE534" s="593">
        <v>0</v>
      </c>
      <c r="AF534" s="593">
        <v>0</v>
      </c>
      <c r="AG534" s="593">
        <v>0</v>
      </c>
      <c r="AH534" s="593">
        <v>0</v>
      </c>
      <c r="AI534" s="593">
        <v>0</v>
      </c>
      <c r="AJ534" s="593">
        <v>0</v>
      </c>
      <c r="AK534" s="593">
        <v>0</v>
      </c>
      <c r="AL534" s="593">
        <v>0</v>
      </c>
      <c r="AM534" s="593">
        <v>0</v>
      </c>
      <c r="AN534" s="593">
        <v>0</v>
      </c>
      <c r="AO534" s="593">
        <v>0</v>
      </c>
      <c r="AP534" s="593">
        <v>0</v>
      </c>
      <c r="AQ534" s="593">
        <v>0</v>
      </c>
      <c r="AR534" s="593">
        <v>0</v>
      </c>
      <c r="AS534" s="593">
        <v>0</v>
      </c>
      <c r="AT534" s="570">
        <f t="shared" si="452"/>
        <v>4.1250000000000002E-2</v>
      </c>
      <c r="AU534" s="571">
        <v>1</v>
      </c>
      <c r="AV534" s="625">
        <f t="shared" si="437"/>
        <v>0.25</v>
      </c>
      <c r="AW534" s="1003">
        <v>0</v>
      </c>
      <c r="AX534" s="604">
        <f t="shared" si="438"/>
        <v>0</v>
      </c>
      <c r="AY534" s="604">
        <f t="shared" si="439"/>
        <v>0</v>
      </c>
      <c r="AZ534" s="604">
        <f t="shared" si="453"/>
        <v>0</v>
      </c>
      <c r="BA534" s="592">
        <f t="shared" si="454"/>
        <v>0</v>
      </c>
      <c r="BB534" s="592">
        <f t="shared" si="455"/>
        <v>0</v>
      </c>
      <c r="BC534" s="591">
        <v>15000000</v>
      </c>
      <c r="BD534" s="591">
        <v>0</v>
      </c>
      <c r="BE534" s="591">
        <v>15000000</v>
      </c>
      <c r="BF534" s="591">
        <v>0</v>
      </c>
      <c r="BG534" s="591">
        <v>0</v>
      </c>
      <c r="BH534" s="591">
        <v>0</v>
      </c>
      <c r="BI534" s="591">
        <v>0</v>
      </c>
      <c r="BJ534" s="591">
        <v>0</v>
      </c>
      <c r="BK534" s="624">
        <v>10800000</v>
      </c>
      <c r="BL534" s="589">
        <v>10800000</v>
      </c>
      <c r="BM534" s="589">
        <v>0</v>
      </c>
      <c r="BN534" s="589">
        <v>0</v>
      </c>
      <c r="BO534" s="589">
        <v>0</v>
      </c>
      <c r="BP534" s="589">
        <v>0</v>
      </c>
      <c r="BQ534" s="589">
        <v>0</v>
      </c>
      <c r="BR534" s="589">
        <v>0</v>
      </c>
      <c r="BS534" s="589">
        <v>0</v>
      </c>
      <c r="BT534" s="589">
        <v>0</v>
      </c>
      <c r="BU534" s="589">
        <v>0</v>
      </c>
      <c r="BV534" s="588">
        <f t="shared" si="456"/>
        <v>4.1250000000000002E-2</v>
      </c>
      <c r="BW534" s="588">
        <v>1</v>
      </c>
      <c r="BX534" s="623">
        <f t="shared" si="440"/>
        <v>0.25</v>
      </c>
      <c r="BY534" s="607">
        <v>5.000000074505806E-2</v>
      </c>
      <c r="BZ534" s="606">
        <v>0.8</v>
      </c>
      <c r="CA534" s="1032">
        <v>0.95</v>
      </c>
      <c r="CB534" s="557">
        <f t="shared" si="441"/>
        <v>0.95</v>
      </c>
      <c r="CC534" s="557">
        <f t="shared" si="442"/>
        <v>95</v>
      </c>
      <c r="CD534" s="622">
        <f t="shared" si="457"/>
        <v>95</v>
      </c>
      <c r="CE534" s="621">
        <f t="shared" si="458"/>
        <v>3.91875E-2</v>
      </c>
      <c r="CF534" s="605">
        <f t="shared" si="459"/>
        <v>95</v>
      </c>
      <c r="CG534" s="621">
        <f t="shared" si="460"/>
        <v>3.91875E-2</v>
      </c>
      <c r="CH534" s="553">
        <f t="shared" si="461"/>
        <v>4.1250000000000002E-2</v>
      </c>
      <c r="CI534" s="552">
        <v>1</v>
      </c>
      <c r="CJ534" s="551">
        <f t="shared" si="443"/>
        <v>0.25</v>
      </c>
      <c r="CK534" s="874">
        <v>3.05</v>
      </c>
      <c r="CL534" s="533">
        <f t="shared" si="433"/>
        <v>-2.0499999999999998</v>
      </c>
      <c r="CM534" s="619">
        <v>0</v>
      </c>
      <c r="CN534" s="619">
        <f t="shared" si="445"/>
        <v>305</v>
      </c>
      <c r="CO534" s="549">
        <f t="shared" si="462"/>
        <v>100</v>
      </c>
      <c r="CP534" s="619">
        <f t="shared" si="463"/>
        <v>4.1250000000000002E-2</v>
      </c>
      <c r="CQ534" s="619">
        <f t="shared" si="464"/>
        <v>0.12581249999999999</v>
      </c>
      <c r="CR534" s="546">
        <v>15000000</v>
      </c>
      <c r="CS534" s="546">
        <v>15000000</v>
      </c>
      <c r="CT534" s="546">
        <v>0</v>
      </c>
      <c r="CU534" s="546">
        <v>0</v>
      </c>
      <c r="CV534" s="546">
        <v>0</v>
      </c>
      <c r="CW534" s="546">
        <v>0</v>
      </c>
      <c r="CX534" s="546">
        <v>0</v>
      </c>
      <c r="CY534" s="546">
        <v>0</v>
      </c>
      <c r="CZ534" s="618">
        <v>0</v>
      </c>
      <c r="DA534" s="618">
        <v>0</v>
      </c>
      <c r="DB534" s="618">
        <v>0</v>
      </c>
      <c r="DC534" s="618">
        <v>0</v>
      </c>
      <c r="DD534" s="618">
        <v>0</v>
      </c>
      <c r="DE534" s="618">
        <v>0</v>
      </c>
      <c r="DF534" s="618">
        <v>0</v>
      </c>
      <c r="DG534" s="618">
        <v>0</v>
      </c>
      <c r="DH534" s="618">
        <v>0</v>
      </c>
      <c r="DI534" s="618">
        <v>0</v>
      </c>
      <c r="DJ534" s="618">
        <v>0</v>
      </c>
      <c r="DK534" s="1034">
        <f t="shared" si="446"/>
        <v>4</v>
      </c>
      <c r="DL534" s="543">
        <f t="shared" si="465"/>
        <v>0.16500000000000001</v>
      </c>
      <c r="DM534" s="542">
        <f t="shared" si="466"/>
        <v>100</v>
      </c>
      <c r="DN534" s="594">
        <f t="shared" si="467"/>
        <v>100</v>
      </c>
      <c r="DO534" s="540">
        <f t="shared" si="468"/>
        <v>0.16500000000000001</v>
      </c>
      <c r="DP534" s="597">
        <f t="shared" si="473"/>
        <v>0.16500000000000001</v>
      </c>
      <c r="DQ534" s="538">
        <f t="shared" si="469"/>
        <v>0.16500000000000001</v>
      </c>
      <c r="DR534" s="617">
        <f t="shared" si="470"/>
        <v>1</v>
      </c>
      <c r="DS534" s="616">
        <f t="shared" si="471"/>
        <v>0</v>
      </c>
      <c r="DT534" s="259">
        <v>619</v>
      </c>
      <c r="DU534" s="260" t="s">
        <v>431</v>
      </c>
      <c r="DV534" s="259">
        <v>622</v>
      </c>
      <c r="DW534" s="260" t="s">
        <v>246</v>
      </c>
      <c r="DX534" s="259">
        <v>623</v>
      </c>
      <c r="DY534" s="259"/>
      <c r="DZ534" s="259"/>
      <c r="EA534" s="987"/>
      <c r="EB534" s="1041" t="s">
        <v>2835</v>
      </c>
      <c r="EC534" s="802">
        <v>15000000</v>
      </c>
      <c r="EE534" s="1047"/>
    </row>
    <row r="535" spans="4:135" s="534" customFormat="1" ht="51" hidden="1" x14ac:dyDescent="0.3">
      <c r="D535" s="783">
        <v>532</v>
      </c>
      <c r="E535" s="799">
        <v>606</v>
      </c>
      <c r="F535" s="739" t="s">
        <v>203</v>
      </c>
      <c r="G535" s="739" t="s">
        <v>19</v>
      </c>
      <c r="H535" s="739" t="s">
        <v>163</v>
      </c>
      <c r="I535" s="676" t="s">
        <v>1417</v>
      </c>
      <c r="J535" s="573" t="s">
        <v>1403</v>
      </c>
      <c r="K535" s="573" t="s">
        <v>1404</v>
      </c>
      <c r="L535" s="596" t="s">
        <v>2024</v>
      </c>
      <c r="M535" s="571" t="s">
        <v>2017</v>
      </c>
      <c r="N535" s="571">
        <v>0</v>
      </c>
      <c r="O535" s="570">
        <f t="shared" si="472"/>
        <v>8</v>
      </c>
      <c r="P535" s="569">
        <v>8</v>
      </c>
      <c r="Q535" s="628">
        <v>0.16500000000000001</v>
      </c>
      <c r="R535" s="580">
        <f t="shared" si="449"/>
        <v>2.0625000000000001E-2</v>
      </c>
      <c r="S535" s="627">
        <v>1</v>
      </c>
      <c r="T535" s="575">
        <f t="shared" si="434"/>
        <v>0.125</v>
      </c>
      <c r="U535" s="992">
        <v>1</v>
      </c>
      <c r="V535" s="626">
        <f t="shared" si="435"/>
        <v>1</v>
      </c>
      <c r="W535" s="594">
        <f t="shared" si="436"/>
        <v>100</v>
      </c>
      <c r="X535" s="594">
        <f t="shared" si="450"/>
        <v>100</v>
      </c>
      <c r="Y535" s="594">
        <f t="shared" si="474"/>
        <v>2.0625000000000001E-2</v>
      </c>
      <c r="Z535" s="594">
        <f t="shared" si="451"/>
        <v>100</v>
      </c>
      <c r="AA535" s="593">
        <v>0</v>
      </c>
      <c r="AB535" s="593">
        <v>0</v>
      </c>
      <c r="AC535" s="593">
        <v>0</v>
      </c>
      <c r="AD535" s="593">
        <v>0</v>
      </c>
      <c r="AE535" s="593">
        <v>0</v>
      </c>
      <c r="AF535" s="593">
        <v>0</v>
      </c>
      <c r="AG535" s="593">
        <v>0</v>
      </c>
      <c r="AH535" s="593">
        <v>0</v>
      </c>
      <c r="AI535" s="593">
        <v>39715000</v>
      </c>
      <c r="AJ535" s="593">
        <v>39715000</v>
      </c>
      <c r="AK535" s="593">
        <v>0</v>
      </c>
      <c r="AL535" s="593">
        <v>0</v>
      </c>
      <c r="AM535" s="593">
        <v>0</v>
      </c>
      <c r="AN535" s="593">
        <v>0</v>
      </c>
      <c r="AO535" s="593">
        <v>0</v>
      </c>
      <c r="AP535" s="593">
        <v>0</v>
      </c>
      <c r="AQ535" s="593">
        <v>0</v>
      </c>
      <c r="AR535" s="593">
        <v>0</v>
      </c>
      <c r="AS535" s="593">
        <v>0</v>
      </c>
      <c r="AT535" s="570">
        <f t="shared" si="452"/>
        <v>4.1250000000000002E-2</v>
      </c>
      <c r="AU535" s="571">
        <v>2</v>
      </c>
      <c r="AV535" s="625">
        <f t="shared" si="437"/>
        <v>0.25</v>
      </c>
      <c r="AW535" s="1003">
        <v>2</v>
      </c>
      <c r="AX535" s="604">
        <f t="shared" si="438"/>
        <v>2</v>
      </c>
      <c r="AY535" s="604">
        <f t="shared" si="439"/>
        <v>100</v>
      </c>
      <c r="AZ535" s="604">
        <f t="shared" si="453"/>
        <v>100</v>
      </c>
      <c r="BA535" s="592">
        <f t="shared" si="454"/>
        <v>4.1250000000000002E-2</v>
      </c>
      <c r="BB535" s="592">
        <f t="shared" si="455"/>
        <v>100</v>
      </c>
      <c r="BC535" s="591">
        <v>30000000</v>
      </c>
      <c r="BD535" s="591">
        <v>0</v>
      </c>
      <c r="BE535" s="591">
        <v>30000000</v>
      </c>
      <c r="BF535" s="591">
        <v>0</v>
      </c>
      <c r="BG535" s="591">
        <v>0</v>
      </c>
      <c r="BH535" s="591">
        <v>0</v>
      </c>
      <c r="BI535" s="591">
        <v>0</v>
      </c>
      <c r="BJ535" s="591">
        <v>0</v>
      </c>
      <c r="BK535" s="624">
        <v>0</v>
      </c>
      <c r="BL535" s="589">
        <v>0</v>
      </c>
      <c r="BM535" s="589">
        <v>0</v>
      </c>
      <c r="BN535" s="589">
        <v>0</v>
      </c>
      <c r="BO535" s="589">
        <v>0</v>
      </c>
      <c r="BP535" s="589">
        <v>0</v>
      </c>
      <c r="BQ535" s="589">
        <v>0</v>
      </c>
      <c r="BR535" s="589">
        <v>0</v>
      </c>
      <c r="BS535" s="589">
        <v>0</v>
      </c>
      <c r="BT535" s="589">
        <v>0</v>
      </c>
      <c r="BU535" s="589">
        <v>0</v>
      </c>
      <c r="BV535" s="588">
        <f t="shared" si="456"/>
        <v>6.1874999999999999E-2</v>
      </c>
      <c r="BW535" s="588">
        <v>3</v>
      </c>
      <c r="BX535" s="623">
        <f t="shared" si="440"/>
        <v>0.375</v>
      </c>
      <c r="BY535" s="607">
        <v>0</v>
      </c>
      <c r="BZ535" s="606">
        <v>0</v>
      </c>
      <c r="CA535" s="1021">
        <v>3</v>
      </c>
      <c r="CB535" s="557">
        <f t="shared" si="441"/>
        <v>3</v>
      </c>
      <c r="CC535" s="557">
        <f t="shared" si="442"/>
        <v>100</v>
      </c>
      <c r="CD535" s="622">
        <f t="shared" si="457"/>
        <v>100</v>
      </c>
      <c r="CE535" s="621">
        <f t="shared" si="458"/>
        <v>6.1874999999999999E-2</v>
      </c>
      <c r="CF535" s="605">
        <f t="shared" si="459"/>
        <v>100</v>
      </c>
      <c r="CG535" s="620">
        <f t="shared" si="460"/>
        <v>6.1874999999999999E-2</v>
      </c>
      <c r="CH535" s="553">
        <f t="shared" si="461"/>
        <v>4.1250000000000002E-2</v>
      </c>
      <c r="CI535" s="552">
        <v>2</v>
      </c>
      <c r="CJ535" s="551">
        <f t="shared" si="443"/>
        <v>0.25</v>
      </c>
      <c r="CK535" s="874">
        <v>0</v>
      </c>
      <c r="CL535" s="533">
        <f t="shared" si="433"/>
        <v>2</v>
      </c>
      <c r="CM535" s="619">
        <f t="shared" ref="CM535:CM541" si="475">+IF(M535="I",(+CK535),IF(M535="M",(+CK535)/4,))</f>
        <v>0</v>
      </c>
      <c r="CN535" s="619">
        <f t="shared" si="445"/>
        <v>0</v>
      </c>
      <c r="CO535" s="549">
        <f t="shared" si="462"/>
        <v>0</v>
      </c>
      <c r="CP535" s="619">
        <f t="shared" si="463"/>
        <v>0</v>
      </c>
      <c r="CQ535" s="619">
        <f t="shared" si="464"/>
        <v>0</v>
      </c>
      <c r="CR535" s="546">
        <v>30000000</v>
      </c>
      <c r="CS535" s="546">
        <v>30000000</v>
      </c>
      <c r="CT535" s="546">
        <v>0</v>
      </c>
      <c r="CU535" s="546">
        <v>0</v>
      </c>
      <c r="CV535" s="546">
        <v>0</v>
      </c>
      <c r="CW535" s="546">
        <v>0</v>
      </c>
      <c r="CX535" s="546">
        <v>0</v>
      </c>
      <c r="CY535" s="546">
        <v>0</v>
      </c>
      <c r="CZ535" s="618">
        <v>0</v>
      </c>
      <c r="DA535" s="618">
        <v>0</v>
      </c>
      <c r="DB535" s="618">
        <v>0</v>
      </c>
      <c r="DC535" s="618">
        <v>0</v>
      </c>
      <c r="DD535" s="618">
        <v>0</v>
      </c>
      <c r="DE535" s="618">
        <v>0</v>
      </c>
      <c r="DF535" s="618">
        <v>0</v>
      </c>
      <c r="DG535" s="618">
        <v>0</v>
      </c>
      <c r="DH535" s="618">
        <v>0</v>
      </c>
      <c r="DI535" s="618">
        <v>0</v>
      </c>
      <c r="DJ535" s="618">
        <v>0</v>
      </c>
      <c r="DK535" s="1034">
        <f t="shared" si="446"/>
        <v>6</v>
      </c>
      <c r="DL535" s="543">
        <f t="shared" si="465"/>
        <v>0.16500000000000001</v>
      </c>
      <c r="DM535" s="542">
        <f t="shared" si="466"/>
        <v>75</v>
      </c>
      <c r="DN535" s="594">
        <f t="shared" si="467"/>
        <v>75</v>
      </c>
      <c r="DO535" s="540">
        <f t="shared" si="468"/>
        <v>0.12375</v>
      </c>
      <c r="DP535" s="597">
        <f t="shared" si="473"/>
        <v>0.12375</v>
      </c>
      <c r="DQ535" s="538">
        <f t="shared" si="469"/>
        <v>0.12375</v>
      </c>
      <c r="DR535" s="617">
        <f t="shared" si="470"/>
        <v>1</v>
      </c>
      <c r="DS535" s="616">
        <f t="shared" si="471"/>
        <v>0</v>
      </c>
      <c r="DT535" s="259">
        <v>623</v>
      </c>
      <c r="DU535" s="260" t="s">
        <v>245</v>
      </c>
      <c r="DV535" s="259"/>
      <c r="DW535" s="260" t="s">
        <v>242</v>
      </c>
      <c r="DX535" s="259"/>
      <c r="DY535" s="259"/>
      <c r="DZ535" s="259"/>
      <c r="EA535" s="987"/>
      <c r="EB535" s="1041" t="s">
        <v>2836</v>
      </c>
      <c r="EC535" s="802">
        <v>30000000</v>
      </c>
      <c r="EE535" s="1047"/>
    </row>
    <row r="536" spans="4:135" s="535" customFormat="1" ht="51" hidden="1" x14ac:dyDescent="0.3">
      <c r="D536" s="783">
        <v>533</v>
      </c>
      <c r="E536" s="800">
        <v>607</v>
      </c>
      <c r="F536" s="791" t="s">
        <v>203</v>
      </c>
      <c r="G536" s="791" t="s">
        <v>19</v>
      </c>
      <c r="H536" s="791" t="s">
        <v>163</v>
      </c>
      <c r="I536" s="792" t="s">
        <v>1417</v>
      </c>
      <c r="J536" s="573" t="s">
        <v>1405</v>
      </c>
      <c r="K536" s="573" t="s">
        <v>1406</v>
      </c>
      <c r="L536" s="596" t="s">
        <v>2023</v>
      </c>
      <c r="M536" s="566" t="s">
        <v>2017</v>
      </c>
      <c r="N536" s="571">
        <v>0</v>
      </c>
      <c r="O536" s="570">
        <f t="shared" si="472"/>
        <v>4</v>
      </c>
      <c r="P536" s="569">
        <v>4</v>
      </c>
      <c r="Q536" s="615">
        <v>0.16500000000000001</v>
      </c>
      <c r="R536" s="567">
        <f t="shared" si="449"/>
        <v>0</v>
      </c>
      <c r="S536" s="579">
        <v>0</v>
      </c>
      <c r="T536" s="565">
        <f t="shared" si="434"/>
        <v>0</v>
      </c>
      <c r="U536" s="991">
        <v>0</v>
      </c>
      <c r="V536" s="614">
        <f t="shared" si="435"/>
        <v>0</v>
      </c>
      <c r="W536" s="541">
        <f t="shared" si="436"/>
        <v>0</v>
      </c>
      <c r="X536" s="541">
        <f t="shared" si="450"/>
        <v>0</v>
      </c>
      <c r="Y536" s="541">
        <f t="shared" si="474"/>
        <v>0</v>
      </c>
      <c r="Z536" s="594">
        <f t="shared" si="451"/>
        <v>0</v>
      </c>
      <c r="AA536" s="613">
        <v>0</v>
      </c>
      <c r="AB536" s="613">
        <v>0</v>
      </c>
      <c r="AC536" s="613">
        <v>0</v>
      </c>
      <c r="AD536" s="613">
        <v>0</v>
      </c>
      <c r="AE536" s="613">
        <v>0</v>
      </c>
      <c r="AF536" s="613">
        <v>0</v>
      </c>
      <c r="AG536" s="613">
        <v>0</v>
      </c>
      <c r="AH536" s="613">
        <v>0</v>
      </c>
      <c r="AI536" s="613">
        <v>0</v>
      </c>
      <c r="AJ536" s="613">
        <v>0</v>
      </c>
      <c r="AK536" s="613">
        <v>0</v>
      </c>
      <c r="AL536" s="613">
        <v>0</v>
      </c>
      <c r="AM536" s="613">
        <v>0</v>
      </c>
      <c r="AN536" s="613">
        <v>0</v>
      </c>
      <c r="AO536" s="613">
        <v>0</v>
      </c>
      <c r="AP536" s="613">
        <v>0</v>
      </c>
      <c r="AQ536" s="613">
        <v>0</v>
      </c>
      <c r="AR536" s="613">
        <v>0</v>
      </c>
      <c r="AS536" s="613">
        <v>0</v>
      </c>
      <c r="AT536" s="577">
        <f t="shared" si="452"/>
        <v>4.1250000000000002E-2</v>
      </c>
      <c r="AU536" s="566">
        <v>1</v>
      </c>
      <c r="AV536" s="562">
        <f t="shared" si="437"/>
        <v>0.25</v>
      </c>
      <c r="AW536" s="1004">
        <v>0</v>
      </c>
      <c r="AX536" s="612">
        <f t="shared" si="438"/>
        <v>0</v>
      </c>
      <c r="AY536" s="612">
        <f t="shared" si="439"/>
        <v>0</v>
      </c>
      <c r="AZ536" s="612">
        <f t="shared" si="453"/>
        <v>0</v>
      </c>
      <c r="BA536" s="611">
        <f t="shared" si="454"/>
        <v>0</v>
      </c>
      <c r="BB536" s="592">
        <f t="shared" si="455"/>
        <v>0</v>
      </c>
      <c r="BC536" s="610">
        <v>20000000</v>
      </c>
      <c r="BD536" s="610">
        <v>0</v>
      </c>
      <c r="BE536" s="610">
        <v>20000000</v>
      </c>
      <c r="BF536" s="610">
        <v>0</v>
      </c>
      <c r="BG536" s="610">
        <v>0</v>
      </c>
      <c r="BH536" s="610">
        <v>0</v>
      </c>
      <c r="BI536" s="610">
        <v>0</v>
      </c>
      <c r="BJ536" s="610">
        <v>0</v>
      </c>
      <c r="BK536" s="609">
        <v>0</v>
      </c>
      <c r="BL536" s="608">
        <v>0</v>
      </c>
      <c r="BM536" s="608">
        <v>0</v>
      </c>
      <c r="BN536" s="608">
        <v>0</v>
      </c>
      <c r="BO536" s="608">
        <v>0</v>
      </c>
      <c r="BP536" s="608">
        <v>0</v>
      </c>
      <c r="BQ536" s="608">
        <v>0</v>
      </c>
      <c r="BR536" s="608">
        <v>0</v>
      </c>
      <c r="BS536" s="608">
        <v>0</v>
      </c>
      <c r="BT536" s="608">
        <v>0</v>
      </c>
      <c r="BU536" s="608">
        <v>0</v>
      </c>
      <c r="BV536" s="560">
        <f t="shared" si="456"/>
        <v>4.1250000000000002E-2</v>
      </c>
      <c r="BW536" s="560">
        <v>1</v>
      </c>
      <c r="BX536" s="559">
        <f t="shared" si="440"/>
        <v>0.25</v>
      </c>
      <c r="BY536" s="607">
        <v>5.000000074505806E-2</v>
      </c>
      <c r="BZ536" s="606">
        <v>0.05</v>
      </c>
      <c r="CA536" s="1021">
        <v>0.30000001192092896</v>
      </c>
      <c r="CB536" s="557">
        <f t="shared" si="441"/>
        <v>0.30000001192092896</v>
      </c>
      <c r="CC536" s="557">
        <f t="shared" si="442"/>
        <v>30.000001192092896</v>
      </c>
      <c r="CD536" s="556">
        <f t="shared" si="457"/>
        <v>30.000001192092896</v>
      </c>
      <c r="CE536" s="554">
        <f t="shared" si="458"/>
        <v>1.2375000491738319E-2</v>
      </c>
      <c r="CF536" s="605">
        <f t="shared" si="459"/>
        <v>30.000001192092896</v>
      </c>
      <c r="CG536" s="604">
        <f>+IF(((CC536*BV536)/100)&lt;BV536, ((CC536*BV536)/100),BV536)</f>
        <v>1.2375000491738319E-2</v>
      </c>
      <c r="CH536" s="603">
        <f t="shared" si="461"/>
        <v>8.2500000000000004E-2</v>
      </c>
      <c r="CI536" s="602">
        <v>2</v>
      </c>
      <c r="CJ536" s="601">
        <f t="shared" si="443"/>
        <v>0.5</v>
      </c>
      <c r="CK536" s="874">
        <v>1</v>
      </c>
      <c r="CL536" s="533">
        <f t="shared" si="433"/>
        <v>1</v>
      </c>
      <c r="CM536" s="600">
        <f t="shared" si="475"/>
        <v>1</v>
      </c>
      <c r="CN536" s="600">
        <f t="shared" si="445"/>
        <v>50</v>
      </c>
      <c r="CO536" s="549">
        <f t="shared" si="462"/>
        <v>50</v>
      </c>
      <c r="CP536" s="600">
        <f t="shared" si="463"/>
        <v>4.1250000000000002E-2</v>
      </c>
      <c r="CQ536" s="600">
        <f t="shared" si="464"/>
        <v>4.1250000000000002E-2</v>
      </c>
      <c r="CR536" s="599">
        <v>20000000</v>
      </c>
      <c r="CS536" s="599">
        <v>20000000</v>
      </c>
      <c r="CT536" s="599">
        <v>0</v>
      </c>
      <c r="CU536" s="599">
        <v>0</v>
      </c>
      <c r="CV536" s="599">
        <v>0</v>
      </c>
      <c r="CW536" s="599">
        <v>0</v>
      </c>
      <c r="CX536" s="599">
        <v>0</v>
      </c>
      <c r="CY536" s="599">
        <v>0</v>
      </c>
      <c r="CZ536" s="598">
        <v>0</v>
      </c>
      <c r="DA536" s="598">
        <v>0</v>
      </c>
      <c r="DB536" s="598">
        <v>0</v>
      </c>
      <c r="DC536" s="598">
        <v>0</v>
      </c>
      <c r="DD536" s="598">
        <v>0</v>
      </c>
      <c r="DE536" s="598">
        <v>0</v>
      </c>
      <c r="DF536" s="598">
        <v>0</v>
      </c>
      <c r="DG536" s="598">
        <v>0</v>
      </c>
      <c r="DH536" s="598">
        <v>0</v>
      </c>
      <c r="DI536" s="598">
        <v>0</v>
      </c>
      <c r="DJ536" s="598">
        <v>0</v>
      </c>
      <c r="DK536" s="1034">
        <f t="shared" si="446"/>
        <v>1.300000011920929</v>
      </c>
      <c r="DL536" s="543">
        <f t="shared" si="465"/>
        <v>0.16500000000000001</v>
      </c>
      <c r="DM536" s="542">
        <f t="shared" si="466"/>
        <v>32.500000298023224</v>
      </c>
      <c r="DN536" s="541">
        <f t="shared" si="467"/>
        <v>32.500000298023224</v>
      </c>
      <c r="DO536" s="540">
        <f t="shared" si="468"/>
        <v>5.3625000491738323E-2</v>
      </c>
      <c r="DP536" s="597">
        <f t="shared" si="473"/>
        <v>5.3625000491738323E-2</v>
      </c>
      <c r="DQ536" s="538">
        <f t="shared" si="469"/>
        <v>5.3625000491738323E-2</v>
      </c>
      <c r="DR536" s="537">
        <f t="shared" si="470"/>
        <v>1</v>
      </c>
      <c r="DS536" s="536">
        <f t="shared" si="471"/>
        <v>0</v>
      </c>
      <c r="DT536" s="259">
        <v>623</v>
      </c>
      <c r="DU536" s="260" t="s">
        <v>245</v>
      </c>
      <c r="DV536" s="259"/>
      <c r="DW536" s="260" t="s">
        <v>242</v>
      </c>
      <c r="DX536" s="259"/>
      <c r="DY536" s="259"/>
      <c r="DZ536" s="259"/>
      <c r="EA536" s="987"/>
      <c r="EB536" s="1041" t="s">
        <v>242</v>
      </c>
      <c r="EC536" s="802">
        <v>20000000</v>
      </c>
      <c r="EE536" s="1047"/>
    </row>
    <row r="537" spans="4:135" s="535" customFormat="1" ht="51" hidden="1" x14ac:dyDescent="0.3">
      <c r="D537" s="783">
        <v>534</v>
      </c>
      <c r="E537" s="799">
        <v>608</v>
      </c>
      <c r="F537" s="739" t="s">
        <v>203</v>
      </c>
      <c r="G537" s="739" t="s">
        <v>19</v>
      </c>
      <c r="H537" s="739" t="s">
        <v>163</v>
      </c>
      <c r="I537" s="676" t="s">
        <v>1417</v>
      </c>
      <c r="J537" s="573" t="s">
        <v>1407</v>
      </c>
      <c r="K537" s="573" t="s">
        <v>1408</v>
      </c>
      <c r="L537" s="596" t="s">
        <v>2022</v>
      </c>
      <c r="M537" s="571" t="s">
        <v>2017</v>
      </c>
      <c r="N537" s="571">
        <v>0</v>
      </c>
      <c r="O537" s="570">
        <f t="shared" si="472"/>
        <v>8</v>
      </c>
      <c r="P537" s="569">
        <v>8</v>
      </c>
      <c r="Q537" s="595">
        <v>0.16500000000000001</v>
      </c>
      <c r="R537" s="580">
        <f t="shared" si="449"/>
        <v>2.0625000000000001E-2</v>
      </c>
      <c r="S537" s="579">
        <v>1</v>
      </c>
      <c r="T537" s="565">
        <f t="shared" ref="T537:T541" si="476">IF($M537="M",0.25,(IF($P537&gt;0,S537/$P537," ")))</f>
        <v>0.125</v>
      </c>
      <c r="U537" s="995">
        <v>1</v>
      </c>
      <c r="V537" s="569">
        <f t="shared" ref="V537:V541" si="477">+IF(M537="I",(+U537),IF(M537="M",(+U537)/4,))</f>
        <v>1</v>
      </c>
      <c r="W537" s="594">
        <f t="shared" si="436"/>
        <v>100</v>
      </c>
      <c r="X537" s="594">
        <f t="shared" si="450"/>
        <v>100</v>
      </c>
      <c r="Y537" s="594">
        <f t="shared" si="474"/>
        <v>2.0625000000000001E-2</v>
      </c>
      <c r="Z537" s="594">
        <f t="shared" si="451"/>
        <v>100</v>
      </c>
      <c r="AA537" s="593">
        <v>0</v>
      </c>
      <c r="AB537" s="593">
        <v>0</v>
      </c>
      <c r="AC537" s="593">
        <v>0</v>
      </c>
      <c r="AD537" s="593">
        <v>0</v>
      </c>
      <c r="AE537" s="593">
        <v>0</v>
      </c>
      <c r="AF537" s="593">
        <v>0</v>
      </c>
      <c r="AG537" s="593">
        <v>0</v>
      </c>
      <c r="AH537" s="593">
        <v>0</v>
      </c>
      <c r="AI537" s="593">
        <v>0</v>
      </c>
      <c r="AJ537" s="593">
        <v>0</v>
      </c>
      <c r="AK537" s="593">
        <v>0</v>
      </c>
      <c r="AL537" s="593">
        <v>0</v>
      </c>
      <c r="AM537" s="593">
        <v>0</v>
      </c>
      <c r="AN537" s="593">
        <v>0</v>
      </c>
      <c r="AO537" s="593">
        <v>0</v>
      </c>
      <c r="AP537" s="593">
        <v>0</v>
      </c>
      <c r="AQ537" s="593">
        <v>0</v>
      </c>
      <c r="AR537" s="593">
        <v>0</v>
      </c>
      <c r="AS537" s="593">
        <v>0</v>
      </c>
      <c r="AT537" s="577">
        <f t="shared" si="452"/>
        <v>6.1874999999999999E-2</v>
      </c>
      <c r="AU537" s="571">
        <v>3</v>
      </c>
      <c r="AV537" s="562">
        <f t="shared" ref="AV537:AV541" si="478">IF($M537="M",0.25,(IF($P537&gt;0,AU537/$P537," ")))</f>
        <v>0.375</v>
      </c>
      <c r="AW537" s="1003">
        <v>5</v>
      </c>
      <c r="AX537" s="592">
        <f t="shared" ref="AX537:AX541" si="479">+IF(M537="I",(+AW537),IF(M537="M",(+AW537)/4,))</f>
        <v>5</v>
      </c>
      <c r="AY537" s="592">
        <f t="shared" si="439"/>
        <v>166.66666666666666</v>
      </c>
      <c r="AZ537" s="592">
        <f t="shared" si="453"/>
        <v>100</v>
      </c>
      <c r="BA537" s="592">
        <f t="shared" si="454"/>
        <v>6.1874999999999999E-2</v>
      </c>
      <c r="BB537" s="592">
        <f t="shared" si="455"/>
        <v>100</v>
      </c>
      <c r="BC537" s="591">
        <v>12000000</v>
      </c>
      <c r="BD537" s="591">
        <v>0</v>
      </c>
      <c r="BE537" s="591">
        <v>12000000</v>
      </c>
      <c r="BF537" s="591">
        <v>0</v>
      </c>
      <c r="BG537" s="591">
        <v>0</v>
      </c>
      <c r="BH537" s="591">
        <v>0</v>
      </c>
      <c r="BI537" s="591">
        <v>0</v>
      </c>
      <c r="BJ537" s="591">
        <v>0</v>
      </c>
      <c r="BK537" s="590">
        <v>20000000</v>
      </c>
      <c r="BL537" s="589">
        <v>20000000</v>
      </c>
      <c r="BM537" s="589">
        <v>0</v>
      </c>
      <c r="BN537" s="589">
        <v>0</v>
      </c>
      <c r="BO537" s="589">
        <v>0</v>
      </c>
      <c r="BP537" s="589">
        <v>0</v>
      </c>
      <c r="BQ537" s="589">
        <v>0</v>
      </c>
      <c r="BR537" s="589">
        <v>0</v>
      </c>
      <c r="BS537" s="589">
        <v>0</v>
      </c>
      <c r="BT537" s="589">
        <v>0</v>
      </c>
      <c r="BU537" s="589">
        <v>0</v>
      </c>
      <c r="BV537" s="560">
        <f t="shared" si="456"/>
        <v>6.1874999999999999E-2</v>
      </c>
      <c r="BW537" s="588">
        <v>3</v>
      </c>
      <c r="BX537" s="559">
        <f t="shared" ref="BX537:BX541" si="480">IF($M537="M",0.25,(IF($P537&gt;0,BW537/$P537," ")))</f>
        <v>0.375</v>
      </c>
      <c r="BY537" s="587">
        <v>1</v>
      </c>
      <c r="BZ537" s="586">
        <v>1</v>
      </c>
      <c r="CA537" s="1021">
        <v>1</v>
      </c>
      <c r="CB537" s="557">
        <f t="shared" ref="CB537:CB541" si="481">+IF(M537="I",(+CA537),IF(M537="M",(+CA537)/4,))</f>
        <v>1</v>
      </c>
      <c r="CC537" s="557">
        <f t="shared" si="442"/>
        <v>33.333333333333336</v>
      </c>
      <c r="CD537" s="556">
        <f t="shared" si="457"/>
        <v>33.333333333333336</v>
      </c>
      <c r="CE537" s="554">
        <f t="shared" si="458"/>
        <v>2.0625000000000001E-2</v>
      </c>
      <c r="CF537" s="555">
        <f t="shared" si="459"/>
        <v>33.333333333333336</v>
      </c>
      <c r="CG537" s="554">
        <f>(CC537*BV537)/100</f>
        <v>2.0625000000000001E-2</v>
      </c>
      <c r="CH537" s="553">
        <f t="shared" si="461"/>
        <v>2.0625000000000001E-2</v>
      </c>
      <c r="CI537" s="552">
        <v>1</v>
      </c>
      <c r="CJ537" s="551">
        <f t="shared" ref="CJ537:CJ541" si="482">IF($M537="M",0.25,(IF($P537&gt;0,CI537/$P537," ")))</f>
        <v>0.125</v>
      </c>
      <c r="CK537" s="871">
        <v>0</v>
      </c>
      <c r="CL537" s="533">
        <f t="shared" si="433"/>
        <v>1</v>
      </c>
      <c r="CM537" s="550">
        <f t="shared" si="475"/>
        <v>0</v>
      </c>
      <c r="CN537" s="550">
        <f t="shared" si="445"/>
        <v>0</v>
      </c>
      <c r="CO537" s="549">
        <f t="shared" si="462"/>
        <v>0</v>
      </c>
      <c r="CP537" s="550">
        <f t="shared" si="463"/>
        <v>0</v>
      </c>
      <c r="CQ537" s="550">
        <f t="shared" si="464"/>
        <v>0</v>
      </c>
      <c r="CR537" s="546">
        <v>12000000</v>
      </c>
      <c r="CS537" s="546">
        <v>12000000</v>
      </c>
      <c r="CT537" s="546">
        <v>0</v>
      </c>
      <c r="CU537" s="546">
        <v>0</v>
      </c>
      <c r="CV537" s="546">
        <v>0</v>
      </c>
      <c r="CW537" s="546">
        <v>0</v>
      </c>
      <c r="CX537" s="546">
        <v>0</v>
      </c>
      <c r="CY537" s="546">
        <v>0</v>
      </c>
      <c r="CZ537" s="585">
        <v>0</v>
      </c>
      <c r="DA537" s="585">
        <v>0</v>
      </c>
      <c r="DB537" s="585">
        <v>0</v>
      </c>
      <c r="DC537" s="585">
        <v>0</v>
      </c>
      <c r="DD537" s="585">
        <v>0</v>
      </c>
      <c r="DE537" s="585">
        <v>0</v>
      </c>
      <c r="DF537" s="585">
        <v>0</v>
      </c>
      <c r="DG537" s="585">
        <v>0</v>
      </c>
      <c r="DH537" s="585">
        <v>0</v>
      </c>
      <c r="DI537" s="585">
        <v>0</v>
      </c>
      <c r="DJ537" s="585">
        <v>0</v>
      </c>
      <c r="DK537" s="1034">
        <f t="shared" si="446"/>
        <v>7</v>
      </c>
      <c r="DL537" s="543">
        <f t="shared" si="465"/>
        <v>0.16500000000000001</v>
      </c>
      <c r="DM537" s="542">
        <f t="shared" si="466"/>
        <v>87.5</v>
      </c>
      <c r="DN537" s="541">
        <f t="shared" si="467"/>
        <v>87.5</v>
      </c>
      <c r="DO537" s="540">
        <f t="shared" si="468"/>
        <v>0.144375</v>
      </c>
      <c r="DP537" s="539">
        <f t="shared" si="473"/>
        <v>0.144375</v>
      </c>
      <c r="DQ537" s="538">
        <f t="shared" si="469"/>
        <v>0.144375</v>
      </c>
      <c r="DR537" s="537">
        <f t="shared" si="470"/>
        <v>1</v>
      </c>
      <c r="DS537" s="536">
        <f t="shared" si="471"/>
        <v>0</v>
      </c>
      <c r="DT537" s="259">
        <v>623</v>
      </c>
      <c r="DU537" s="260" t="s">
        <v>245</v>
      </c>
      <c r="DV537" s="259"/>
      <c r="DW537" s="260" t="s">
        <v>242</v>
      </c>
      <c r="DX537" s="259"/>
      <c r="DY537" s="259"/>
      <c r="DZ537" s="259"/>
      <c r="EA537" s="987"/>
      <c r="EB537" s="1041" t="s">
        <v>2837</v>
      </c>
      <c r="EC537" s="802">
        <v>12000000</v>
      </c>
      <c r="EE537" s="1047"/>
    </row>
    <row r="538" spans="4:135" s="535" customFormat="1" ht="63.75" hidden="1" x14ac:dyDescent="0.3">
      <c r="D538" s="783">
        <v>535</v>
      </c>
      <c r="E538" s="799">
        <v>624</v>
      </c>
      <c r="F538" s="574" t="s">
        <v>200</v>
      </c>
      <c r="G538" s="574" t="s">
        <v>7</v>
      </c>
      <c r="H538" s="574" t="s">
        <v>138</v>
      </c>
      <c r="I538" s="574" t="s">
        <v>1418</v>
      </c>
      <c r="J538" s="573" t="s">
        <v>1480</v>
      </c>
      <c r="K538" s="573" t="s">
        <v>1499</v>
      </c>
      <c r="L538" s="582" t="s">
        <v>1734</v>
      </c>
      <c r="M538" s="571" t="s">
        <v>2017</v>
      </c>
      <c r="N538" s="571">
        <v>0</v>
      </c>
      <c r="O538" s="570">
        <f t="shared" si="472"/>
        <v>6000</v>
      </c>
      <c r="P538" s="569">
        <v>6000</v>
      </c>
      <c r="Q538" s="581">
        <v>0.22264</v>
      </c>
      <c r="R538" s="580">
        <f t="shared" si="449"/>
        <v>0</v>
      </c>
      <c r="S538" s="579">
        <v>0</v>
      </c>
      <c r="T538" s="565">
        <f t="shared" si="476"/>
        <v>0</v>
      </c>
      <c r="U538" s="1001">
        <v>0</v>
      </c>
      <c r="V538" s="548">
        <f t="shared" si="477"/>
        <v>0</v>
      </c>
      <c r="W538" s="548">
        <f t="shared" si="436"/>
        <v>0</v>
      </c>
      <c r="X538" s="548">
        <f t="shared" si="450"/>
        <v>0</v>
      </c>
      <c r="Y538" s="548">
        <f t="shared" si="474"/>
        <v>0</v>
      </c>
      <c r="Z538" s="548">
        <f t="shared" si="451"/>
        <v>0</v>
      </c>
      <c r="AA538" s="548">
        <v>0</v>
      </c>
      <c r="AB538" s="548">
        <v>0</v>
      </c>
      <c r="AC538" s="548">
        <v>0</v>
      </c>
      <c r="AD538" s="548">
        <v>0</v>
      </c>
      <c r="AE538" s="548">
        <v>0</v>
      </c>
      <c r="AF538" s="548">
        <v>0</v>
      </c>
      <c r="AG538" s="548">
        <v>0</v>
      </c>
      <c r="AH538" s="548">
        <v>0</v>
      </c>
      <c r="AI538" s="548">
        <v>0</v>
      </c>
      <c r="AJ538" s="548">
        <v>0</v>
      </c>
      <c r="AK538" s="548">
        <v>0</v>
      </c>
      <c r="AL538" s="548">
        <v>0</v>
      </c>
      <c r="AM538" s="548">
        <v>0</v>
      </c>
      <c r="AN538" s="548">
        <v>0</v>
      </c>
      <c r="AO538" s="548">
        <v>0</v>
      </c>
      <c r="AP538" s="548">
        <v>0</v>
      </c>
      <c r="AQ538" s="548">
        <v>0</v>
      </c>
      <c r="AR538" s="548">
        <v>0</v>
      </c>
      <c r="AS538" s="548">
        <v>0</v>
      </c>
      <c r="AT538" s="564">
        <f t="shared" si="452"/>
        <v>0</v>
      </c>
      <c r="AU538" s="578">
        <v>0</v>
      </c>
      <c r="AV538" s="562">
        <f t="shared" si="478"/>
        <v>0</v>
      </c>
      <c r="AW538" s="1005">
        <v>0</v>
      </c>
      <c r="AX538" s="561">
        <f t="shared" si="479"/>
        <v>0</v>
      </c>
      <c r="AY538" s="561">
        <f t="shared" si="439"/>
        <v>0</v>
      </c>
      <c r="AZ538" s="561">
        <f t="shared" si="453"/>
        <v>0</v>
      </c>
      <c r="BA538" s="561">
        <f t="shared" si="454"/>
        <v>0</v>
      </c>
      <c r="BB538" s="561">
        <f t="shared" si="455"/>
        <v>0</v>
      </c>
      <c r="BC538" s="561">
        <f>SUBTOTAL(9,BD538:BJ538)</f>
        <v>0</v>
      </c>
      <c r="BD538" s="584">
        <v>0</v>
      </c>
      <c r="BE538" s="561">
        <v>0</v>
      </c>
      <c r="BF538" s="561">
        <v>0</v>
      </c>
      <c r="BG538" s="561">
        <v>0</v>
      </c>
      <c r="BH538" s="561">
        <v>0</v>
      </c>
      <c r="BI538" s="561">
        <v>0</v>
      </c>
      <c r="BJ538" s="561">
        <v>0</v>
      </c>
      <c r="BK538" s="561">
        <v>0</v>
      </c>
      <c r="BL538" s="561">
        <v>0</v>
      </c>
      <c r="BM538" s="561">
        <v>0</v>
      </c>
      <c r="BN538" s="561">
        <v>0</v>
      </c>
      <c r="BO538" s="561">
        <v>0</v>
      </c>
      <c r="BP538" s="561">
        <v>0</v>
      </c>
      <c r="BQ538" s="561">
        <v>0</v>
      </c>
      <c r="BR538" s="561">
        <v>0</v>
      </c>
      <c r="BS538" s="561">
        <v>0</v>
      </c>
      <c r="BT538" s="561">
        <v>0</v>
      </c>
      <c r="BU538" s="561">
        <v>0</v>
      </c>
      <c r="BV538" s="560">
        <f t="shared" si="456"/>
        <v>0</v>
      </c>
      <c r="BW538" s="561">
        <v>0</v>
      </c>
      <c r="BX538" s="559">
        <f t="shared" si="480"/>
        <v>0</v>
      </c>
      <c r="BY538" s="561">
        <v>0</v>
      </c>
      <c r="BZ538" s="561">
        <v>0</v>
      </c>
      <c r="CA538" s="1033" t="s">
        <v>2016</v>
      </c>
      <c r="CB538" s="557" t="str">
        <f t="shared" si="481"/>
        <v>O</v>
      </c>
      <c r="CC538" s="557">
        <f t="shared" si="442"/>
        <v>0</v>
      </c>
      <c r="CD538" s="556">
        <f t="shared" si="457"/>
        <v>0</v>
      </c>
      <c r="CE538" s="554">
        <f t="shared" si="458"/>
        <v>0</v>
      </c>
      <c r="CF538" s="555">
        <f t="shared" si="459"/>
        <v>0</v>
      </c>
      <c r="CG538" s="554">
        <f>(CC538*BV538)/100</f>
        <v>0</v>
      </c>
      <c r="CH538" s="561">
        <f t="shared" si="461"/>
        <v>0.22264</v>
      </c>
      <c r="CI538" s="583">
        <v>6000</v>
      </c>
      <c r="CJ538" s="583">
        <f t="shared" si="482"/>
        <v>1</v>
      </c>
      <c r="CK538" s="872">
        <v>0</v>
      </c>
      <c r="CL538" s="533">
        <f t="shared" si="433"/>
        <v>6000</v>
      </c>
      <c r="CM538" s="550">
        <f t="shared" si="475"/>
        <v>0</v>
      </c>
      <c r="CN538" s="548">
        <f t="shared" si="445"/>
        <v>0</v>
      </c>
      <c r="CO538" s="549">
        <f t="shared" si="462"/>
        <v>0</v>
      </c>
      <c r="CP538" s="548">
        <f t="shared" si="463"/>
        <v>0</v>
      </c>
      <c r="CQ538" s="548">
        <f t="shared" si="464"/>
        <v>0</v>
      </c>
      <c r="CR538" s="547">
        <f>SUM(CS538:CY538)</f>
        <v>0</v>
      </c>
      <c r="CS538" s="546">
        <v>0</v>
      </c>
      <c r="CT538" s="546">
        <v>0</v>
      </c>
      <c r="CU538" s="546">
        <v>0</v>
      </c>
      <c r="CV538" s="546">
        <v>0</v>
      </c>
      <c r="CW538" s="546">
        <v>0</v>
      </c>
      <c r="CX538" s="546">
        <v>0</v>
      </c>
      <c r="CY538" s="546">
        <v>0</v>
      </c>
      <c r="CZ538" s="548">
        <v>0</v>
      </c>
      <c r="DA538" s="548">
        <v>0</v>
      </c>
      <c r="DB538" s="548">
        <v>0</v>
      </c>
      <c r="DC538" s="548">
        <v>0</v>
      </c>
      <c r="DD538" s="548">
        <v>0</v>
      </c>
      <c r="DE538" s="548">
        <v>0</v>
      </c>
      <c r="DF538" s="548">
        <v>0</v>
      </c>
      <c r="DG538" s="548">
        <v>0</v>
      </c>
      <c r="DH538" s="548">
        <v>0</v>
      </c>
      <c r="DI538" s="548">
        <v>0</v>
      </c>
      <c r="DJ538" s="548">
        <v>0</v>
      </c>
      <c r="DK538" s="1034">
        <v>0</v>
      </c>
      <c r="DL538" s="543">
        <f t="shared" si="465"/>
        <v>0.22264</v>
      </c>
      <c r="DM538" s="542">
        <f t="shared" si="466"/>
        <v>0</v>
      </c>
      <c r="DN538" s="541">
        <f t="shared" si="467"/>
        <v>0</v>
      </c>
      <c r="DO538" s="540">
        <f t="shared" si="468"/>
        <v>0</v>
      </c>
      <c r="DP538" s="539">
        <f t="shared" si="473"/>
        <v>0</v>
      </c>
      <c r="DQ538" s="538">
        <f t="shared" si="469"/>
        <v>0</v>
      </c>
      <c r="DR538" s="537">
        <f t="shared" si="470"/>
        <v>1</v>
      </c>
      <c r="DS538" s="536">
        <f t="shared" si="471"/>
        <v>0</v>
      </c>
      <c r="EB538" s="1043"/>
      <c r="EC538" s="989">
        <v>0</v>
      </c>
      <c r="EE538" s="1047"/>
    </row>
    <row r="539" spans="4:135" s="535" customFormat="1" ht="76.5" hidden="1" x14ac:dyDescent="0.3">
      <c r="D539" s="783">
        <v>536</v>
      </c>
      <c r="E539" s="799">
        <v>625</v>
      </c>
      <c r="F539" s="574" t="s">
        <v>200</v>
      </c>
      <c r="G539" s="574" t="s">
        <v>15</v>
      </c>
      <c r="H539" s="574" t="s">
        <v>2020</v>
      </c>
      <c r="I539" s="574" t="s">
        <v>742</v>
      </c>
      <c r="J539" s="573" t="s">
        <v>1481</v>
      </c>
      <c r="K539" s="573" t="s">
        <v>1500</v>
      </c>
      <c r="L539" s="582" t="s">
        <v>2021</v>
      </c>
      <c r="M539" s="571" t="s">
        <v>2017</v>
      </c>
      <c r="N539" s="571">
        <v>0</v>
      </c>
      <c r="O539" s="570">
        <f t="shared" si="472"/>
        <v>5</v>
      </c>
      <c r="P539" s="569">
        <v>5</v>
      </c>
      <c r="Q539" s="581">
        <v>0.22264</v>
      </c>
      <c r="R539" s="580">
        <f t="shared" si="449"/>
        <v>0</v>
      </c>
      <c r="S539" s="579">
        <v>0</v>
      </c>
      <c r="T539" s="565">
        <f t="shared" si="476"/>
        <v>0</v>
      </c>
      <c r="U539" s="1001">
        <v>0</v>
      </c>
      <c r="V539" s="548">
        <f t="shared" si="477"/>
        <v>0</v>
      </c>
      <c r="W539" s="548">
        <f t="shared" si="436"/>
        <v>0</v>
      </c>
      <c r="X539" s="548">
        <f t="shared" si="450"/>
        <v>0</v>
      </c>
      <c r="Y539" s="548">
        <f t="shared" si="474"/>
        <v>0</v>
      </c>
      <c r="Z539" s="548">
        <f t="shared" si="451"/>
        <v>0</v>
      </c>
      <c r="AA539" s="548">
        <v>0</v>
      </c>
      <c r="AB539" s="548">
        <v>0</v>
      </c>
      <c r="AC539" s="548">
        <v>0</v>
      </c>
      <c r="AD539" s="548">
        <v>0</v>
      </c>
      <c r="AE539" s="548">
        <v>0</v>
      </c>
      <c r="AF539" s="548">
        <v>0</v>
      </c>
      <c r="AG539" s="548">
        <v>0</v>
      </c>
      <c r="AH539" s="548">
        <v>0</v>
      </c>
      <c r="AI539" s="548">
        <v>0</v>
      </c>
      <c r="AJ539" s="548">
        <v>0</v>
      </c>
      <c r="AK539" s="548">
        <v>0</v>
      </c>
      <c r="AL539" s="548">
        <v>0</v>
      </c>
      <c r="AM539" s="548">
        <v>0</v>
      </c>
      <c r="AN539" s="548">
        <v>0</v>
      </c>
      <c r="AO539" s="548">
        <v>0</v>
      </c>
      <c r="AP539" s="548">
        <v>0</v>
      </c>
      <c r="AQ539" s="548">
        <v>0</v>
      </c>
      <c r="AR539" s="548">
        <v>0</v>
      </c>
      <c r="AS539" s="548">
        <v>0</v>
      </c>
      <c r="AT539" s="564">
        <f t="shared" si="452"/>
        <v>0</v>
      </c>
      <c r="AU539" s="578">
        <v>0</v>
      </c>
      <c r="AV539" s="562">
        <f t="shared" si="478"/>
        <v>0</v>
      </c>
      <c r="AW539" s="1005">
        <v>0</v>
      </c>
      <c r="AX539" s="561">
        <f t="shared" si="479"/>
        <v>0</v>
      </c>
      <c r="AY539" s="561">
        <f t="shared" si="439"/>
        <v>0</v>
      </c>
      <c r="AZ539" s="561">
        <f t="shared" si="453"/>
        <v>0</v>
      </c>
      <c r="BA539" s="561">
        <f t="shared" si="454"/>
        <v>0</v>
      </c>
      <c r="BB539" s="561">
        <f t="shared" si="455"/>
        <v>0</v>
      </c>
      <c r="BC539" s="561">
        <f>SUBTOTAL(9,BD539:BJ539)</f>
        <v>0</v>
      </c>
      <c r="BD539" s="561">
        <v>0</v>
      </c>
      <c r="BE539" s="561">
        <v>0</v>
      </c>
      <c r="BF539" s="561">
        <v>0</v>
      </c>
      <c r="BG539" s="561">
        <v>0</v>
      </c>
      <c r="BH539" s="561">
        <v>0</v>
      </c>
      <c r="BI539" s="561">
        <v>0</v>
      </c>
      <c r="BJ539" s="561">
        <v>0</v>
      </c>
      <c r="BK539" s="561">
        <v>0</v>
      </c>
      <c r="BL539" s="561">
        <v>0</v>
      </c>
      <c r="BM539" s="561">
        <v>0</v>
      </c>
      <c r="BN539" s="561">
        <v>0</v>
      </c>
      <c r="BO539" s="561">
        <v>0</v>
      </c>
      <c r="BP539" s="561">
        <v>0</v>
      </c>
      <c r="BQ539" s="561">
        <v>0</v>
      </c>
      <c r="BR539" s="561">
        <v>0</v>
      </c>
      <c r="BS539" s="561">
        <v>0</v>
      </c>
      <c r="BT539" s="561">
        <v>0</v>
      </c>
      <c r="BU539" s="561">
        <v>0</v>
      </c>
      <c r="BV539" s="560">
        <f t="shared" si="456"/>
        <v>0</v>
      </c>
      <c r="BW539" s="561">
        <v>0</v>
      </c>
      <c r="BX539" s="559">
        <f t="shared" si="480"/>
        <v>0</v>
      </c>
      <c r="BY539" s="561">
        <v>0</v>
      </c>
      <c r="BZ539" s="561">
        <v>0</v>
      </c>
      <c r="CA539" s="1033" t="s">
        <v>2016</v>
      </c>
      <c r="CB539" s="557" t="str">
        <f t="shared" si="481"/>
        <v>O</v>
      </c>
      <c r="CC539" s="557">
        <f t="shared" si="442"/>
        <v>0</v>
      </c>
      <c r="CD539" s="556">
        <f t="shared" si="457"/>
        <v>0</v>
      </c>
      <c r="CE539" s="554">
        <f t="shared" si="458"/>
        <v>0</v>
      </c>
      <c r="CF539" s="555">
        <f t="shared" si="459"/>
        <v>0</v>
      </c>
      <c r="CG539" s="554">
        <f>(CC539*BV539)/100</f>
        <v>0</v>
      </c>
      <c r="CH539" s="553">
        <f t="shared" si="461"/>
        <v>0.22264</v>
      </c>
      <c r="CI539" s="552">
        <v>5</v>
      </c>
      <c r="CJ539" s="551">
        <f t="shared" si="482"/>
        <v>1</v>
      </c>
      <c r="CK539" s="872">
        <v>0</v>
      </c>
      <c r="CL539" s="533">
        <f t="shared" si="433"/>
        <v>5</v>
      </c>
      <c r="CM539" s="550">
        <f t="shared" si="475"/>
        <v>0</v>
      </c>
      <c r="CN539" s="548">
        <f t="shared" si="445"/>
        <v>0</v>
      </c>
      <c r="CO539" s="549">
        <f t="shared" si="462"/>
        <v>0</v>
      </c>
      <c r="CP539" s="548">
        <f t="shared" si="463"/>
        <v>0</v>
      </c>
      <c r="CQ539" s="548">
        <f t="shared" si="464"/>
        <v>0</v>
      </c>
      <c r="CR539" s="547">
        <f>SUM(CS539:CY539)</f>
        <v>0</v>
      </c>
      <c r="CS539" s="546">
        <v>0</v>
      </c>
      <c r="CT539" s="546">
        <v>0</v>
      </c>
      <c r="CU539" s="546">
        <v>0</v>
      </c>
      <c r="CV539" s="546">
        <v>0</v>
      </c>
      <c r="CW539" s="546">
        <v>0</v>
      </c>
      <c r="CX539" s="546">
        <v>0</v>
      </c>
      <c r="CY539" s="546">
        <v>0</v>
      </c>
      <c r="CZ539" s="548">
        <v>0</v>
      </c>
      <c r="DA539" s="548">
        <v>0</v>
      </c>
      <c r="DB539" s="548">
        <v>0</v>
      </c>
      <c r="DC539" s="548">
        <v>0</v>
      </c>
      <c r="DD539" s="548">
        <v>0</v>
      </c>
      <c r="DE539" s="548">
        <v>0</v>
      </c>
      <c r="DF539" s="548">
        <v>0</v>
      </c>
      <c r="DG539" s="548">
        <v>0</v>
      </c>
      <c r="DH539" s="548">
        <v>0</v>
      </c>
      <c r="DI539" s="548">
        <v>0</v>
      </c>
      <c r="DJ539" s="548">
        <v>0</v>
      </c>
      <c r="DK539" s="1034">
        <v>0</v>
      </c>
      <c r="DL539" s="543">
        <f t="shared" si="465"/>
        <v>0.22264</v>
      </c>
      <c r="DM539" s="542">
        <f t="shared" si="466"/>
        <v>0</v>
      </c>
      <c r="DN539" s="541">
        <f t="shared" si="467"/>
        <v>0</v>
      </c>
      <c r="DO539" s="540">
        <f t="shared" si="468"/>
        <v>0</v>
      </c>
      <c r="DP539" s="539">
        <f t="shared" si="473"/>
        <v>0</v>
      </c>
      <c r="DQ539" s="538">
        <f t="shared" si="469"/>
        <v>0</v>
      </c>
      <c r="DR539" s="537">
        <f t="shared" si="470"/>
        <v>1</v>
      </c>
      <c r="DS539" s="536">
        <f t="shared" si="471"/>
        <v>0</v>
      </c>
      <c r="EB539" s="1043"/>
      <c r="EC539" s="989">
        <v>0</v>
      </c>
      <c r="EE539" s="1047"/>
    </row>
    <row r="540" spans="4:135" s="535" customFormat="1" ht="76.5" hidden="1" x14ac:dyDescent="0.3">
      <c r="D540" s="783">
        <v>537</v>
      </c>
      <c r="E540" s="800">
        <v>626</v>
      </c>
      <c r="F540" s="576" t="s">
        <v>200</v>
      </c>
      <c r="G540" s="576" t="s">
        <v>15</v>
      </c>
      <c r="H540" s="576" t="s">
        <v>2020</v>
      </c>
      <c r="I540" s="576" t="s">
        <v>742</v>
      </c>
      <c r="J540" s="856" t="s">
        <v>1482</v>
      </c>
      <c r="K540" s="856" t="s">
        <v>1501</v>
      </c>
      <c r="L540" s="572" t="s">
        <v>2019</v>
      </c>
      <c r="M540" s="566" t="s">
        <v>2017</v>
      </c>
      <c r="N540" s="566">
        <v>0</v>
      </c>
      <c r="O540" s="577">
        <f t="shared" si="472"/>
        <v>5</v>
      </c>
      <c r="P540" s="857">
        <v>5</v>
      </c>
      <c r="Q540" s="568">
        <v>0.22264</v>
      </c>
      <c r="R540" s="567">
        <f t="shared" si="449"/>
        <v>0</v>
      </c>
      <c r="S540" s="566">
        <v>0</v>
      </c>
      <c r="T540" s="565">
        <f t="shared" si="476"/>
        <v>0</v>
      </c>
      <c r="U540" s="1002">
        <v>0</v>
      </c>
      <c r="V540" s="545">
        <f t="shared" si="477"/>
        <v>0</v>
      </c>
      <c r="W540" s="545">
        <f t="shared" si="436"/>
        <v>0</v>
      </c>
      <c r="X540" s="545">
        <f t="shared" si="450"/>
        <v>0</v>
      </c>
      <c r="Y540" s="545">
        <f t="shared" si="474"/>
        <v>0</v>
      </c>
      <c r="Z540" s="545">
        <f t="shared" si="451"/>
        <v>0</v>
      </c>
      <c r="AA540" s="545">
        <v>0</v>
      </c>
      <c r="AB540" s="545">
        <v>0</v>
      </c>
      <c r="AC540" s="545">
        <v>0</v>
      </c>
      <c r="AD540" s="545">
        <v>0</v>
      </c>
      <c r="AE540" s="545">
        <v>0</v>
      </c>
      <c r="AF540" s="545">
        <v>0</v>
      </c>
      <c r="AG540" s="545">
        <v>0</v>
      </c>
      <c r="AH540" s="545">
        <v>0</v>
      </c>
      <c r="AI540" s="545">
        <v>0</v>
      </c>
      <c r="AJ540" s="545">
        <v>0</v>
      </c>
      <c r="AK540" s="545">
        <v>0</v>
      </c>
      <c r="AL540" s="545">
        <v>0</v>
      </c>
      <c r="AM540" s="545">
        <v>0</v>
      </c>
      <c r="AN540" s="545">
        <v>0</v>
      </c>
      <c r="AO540" s="545">
        <v>0</v>
      </c>
      <c r="AP540" s="545">
        <v>0</v>
      </c>
      <c r="AQ540" s="545">
        <v>0</v>
      </c>
      <c r="AR540" s="545">
        <v>0</v>
      </c>
      <c r="AS540" s="545">
        <v>0</v>
      </c>
      <c r="AT540" s="564">
        <f t="shared" si="452"/>
        <v>0</v>
      </c>
      <c r="AU540" s="563">
        <v>0</v>
      </c>
      <c r="AV540" s="562">
        <f t="shared" si="478"/>
        <v>0</v>
      </c>
      <c r="AW540" s="1006">
        <v>0</v>
      </c>
      <c r="AX540" s="558">
        <f t="shared" si="479"/>
        <v>0</v>
      </c>
      <c r="AY540" s="558">
        <f t="shared" si="439"/>
        <v>0</v>
      </c>
      <c r="AZ540" s="558">
        <f t="shared" si="453"/>
        <v>0</v>
      </c>
      <c r="BA540" s="558">
        <f t="shared" si="454"/>
        <v>0</v>
      </c>
      <c r="BB540" s="558">
        <f t="shared" si="455"/>
        <v>0</v>
      </c>
      <c r="BC540" s="558">
        <f>SUBTOTAL(9,BD540:BJ540)</f>
        <v>0</v>
      </c>
      <c r="BD540" s="558">
        <v>0</v>
      </c>
      <c r="BE540" s="558">
        <v>0</v>
      </c>
      <c r="BF540" s="558">
        <v>0</v>
      </c>
      <c r="BG540" s="558">
        <v>0</v>
      </c>
      <c r="BH540" s="558">
        <v>0</v>
      </c>
      <c r="BI540" s="558">
        <v>0</v>
      </c>
      <c r="BJ540" s="558">
        <v>0</v>
      </c>
      <c r="BK540" s="558">
        <v>0</v>
      </c>
      <c r="BL540" s="558">
        <v>0</v>
      </c>
      <c r="BM540" s="558">
        <v>0</v>
      </c>
      <c r="BN540" s="558">
        <v>0</v>
      </c>
      <c r="BO540" s="558">
        <v>0</v>
      </c>
      <c r="BP540" s="558">
        <v>0</v>
      </c>
      <c r="BQ540" s="558">
        <v>0</v>
      </c>
      <c r="BR540" s="558">
        <v>0</v>
      </c>
      <c r="BS540" s="558">
        <v>0</v>
      </c>
      <c r="BT540" s="558">
        <v>0</v>
      </c>
      <c r="BU540" s="558">
        <v>0</v>
      </c>
      <c r="BV540" s="560">
        <f t="shared" si="456"/>
        <v>0</v>
      </c>
      <c r="BW540" s="558">
        <v>0</v>
      </c>
      <c r="BX540" s="559">
        <f t="shared" si="480"/>
        <v>0</v>
      </c>
      <c r="BY540" s="558">
        <v>0</v>
      </c>
      <c r="BZ540" s="558">
        <v>0</v>
      </c>
      <c r="CA540" s="1033" t="s">
        <v>2016</v>
      </c>
      <c r="CB540" s="858" t="str">
        <f t="shared" si="481"/>
        <v>O</v>
      </c>
      <c r="CC540" s="858">
        <f t="shared" si="442"/>
        <v>0</v>
      </c>
      <c r="CD540" s="556">
        <f t="shared" si="457"/>
        <v>0</v>
      </c>
      <c r="CE540" s="554">
        <f t="shared" si="458"/>
        <v>0</v>
      </c>
      <c r="CF540" s="555">
        <f t="shared" si="459"/>
        <v>0</v>
      </c>
      <c r="CG540" s="554">
        <f>(CC540*BV540)/100</f>
        <v>0</v>
      </c>
      <c r="CH540" s="603">
        <f t="shared" si="461"/>
        <v>0.22264</v>
      </c>
      <c r="CI540" s="602">
        <v>5</v>
      </c>
      <c r="CJ540" s="601">
        <f t="shared" si="482"/>
        <v>1</v>
      </c>
      <c r="CK540" s="872">
        <v>0</v>
      </c>
      <c r="CL540" s="859">
        <f t="shared" si="433"/>
        <v>5</v>
      </c>
      <c r="CM540" s="860">
        <f t="shared" si="475"/>
        <v>0</v>
      </c>
      <c r="CN540" s="545">
        <f t="shared" si="445"/>
        <v>0</v>
      </c>
      <c r="CO540" s="861">
        <f t="shared" si="462"/>
        <v>0</v>
      </c>
      <c r="CP540" s="545">
        <f t="shared" si="463"/>
        <v>0</v>
      </c>
      <c r="CQ540" s="545">
        <f t="shared" si="464"/>
        <v>0</v>
      </c>
      <c r="CR540" s="862">
        <f>SUM(CS540:CY540)</f>
        <v>0</v>
      </c>
      <c r="CS540" s="599">
        <v>0</v>
      </c>
      <c r="CT540" s="599">
        <v>0</v>
      </c>
      <c r="CU540" s="599">
        <v>0</v>
      </c>
      <c r="CV540" s="599">
        <v>0</v>
      </c>
      <c r="CW540" s="599">
        <v>0</v>
      </c>
      <c r="CX540" s="599">
        <v>0</v>
      </c>
      <c r="CY540" s="599">
        <v>0</v>
      </c>
      <c r="CZ540" s="545">
        <v>0</v>
      </c>
      <c r="DA540" s="545">
        <v>0</v>
      </c>
      <c r="DB540" s="545">
        <v>0</v>
      </c>
      <c r="DC540" s="545">
        <v>0</v>
      </c>
      <c r="DD540" s="545">
        <v>0</v>
      </c>
      <c r="DE540" s="545">
        <v>0</v>
      </c>
      <c r="DF540" s="545">
        <v>0</v>
      </c>
      <c r="DG540" s="545">
        <v>0</v>
      </c>
      <c r="DH540" s="545">
        <v>0</v>
      </c>
      <c r="DI540" s="545">
        <v>0</v>
      </c>
      <c r="DJ540" s="545">
        <v>0</v>
      </c>
      <c r="DK540" s="1037">
        <v>0</v>
      </c>
      <c r="DL540" s="863">
        <f t="shared" si="465"/>
        <v>0.22264</v>
      </c>
      <c r="DM540" s="864">
        <f t="shared" si="466"/>
        <v>0</v>
      </c>
      <c r="DN540" s="541">
        <f t="shared" si="467"/>
        <v>0</v>
      </c>
      <c r="DO540" s="865">
        <f t="shared" si="468"/>
        <v>0</v>
      </c>
      <c r="DP540" s="539">
        <f t="shared" si="473"/>
        <v>0</v>
      </c>
      <c r="DQ540" s="866">
        <f t="shared" si="469"/>
        <v>0</v>
      </c>
      <c r="DR540" s="537">
        <f t="shared" si="470"/>
        <v>1</v>
      </c>
      <c r="DS540" s="536">
        <f t="shared" si="471"/>
        <v>0</v>
      </c>
      <c r="EB540" s="1044"/>
      <c r="EC540" s="989">
        <v>0</v>
      </c>
      <c r="EE540" s="1047"/>
    </row>
    <row r="541" spans="4:135" s="535" customFormat="1" ht="63.75" hidden="1" x14ac:dyDescent="0.3">
      <c r="D541" s="783">
        <v>538</v>
      </c>
      <c r="E541" s="799">
        <v>627</v>
      </c>
      <c r="F541" s="574" t="s">
        <v>202</v>
      </c>
      <c r="G541" s="574" t="s">
        <v>15</v>
      </c>
      <c r="H541" s="739" t="s">
        <v>152</v>
      </c>
      <c r="I541" s="574" t="s">
        <v>1134</v>
      </c>
      <c r="J541" s="573" t="s">
        <v>1483</v>
      </c>
      <c r="K541" s="573" t="s">
        <v>1502</v>
      </c>
      <c r="L541" s="582" t="s">
        <v>2018</v>
      </c>
      <c r="M541" s="571" t="s">
        <v>2017</v>
      </c>
      <c r="N541" s="571">
        <v>0</v>
      </c>
      <c r="O541" s="570">
        <f t="shared" si="472"/>
        <v>5000</v>
      </c>
      <c r="P541" s="569">
        <v>5000</v>
      </c>
      <c r="Q541" s="668">
        <v>0.22264</v>
      </c>
      <c r="R541" s="580">
        <f t="shared" si="449"/>
        <v>0</v>
      </c>
      <c r="S541" s="571">
        <v>0</v>
      </c>
      <c r="T541" s="575">
        <f t="shared" si="476"/>
        <v>0</v>
      </c>
      <c r="U541" s="1001">
        <v>0</v>
      </c>
      <c r="V541" s="548">
        <f t="shared" si="477"/>
        <v>0</v>
      </c>
      <c r="W541" s="548">
        <f t="shared" si="436"/>
        <v>0</v>
      </c>
      <c r="X541" s="548">
        <f t="shared" si="450"/>
        <v>0</v>
      </c>
      <c r="Y541" s="548">
        <f t="shared" si="474"/>
        <v>0</v>
      </c>
      <c r="Z541" s="548">
        <f t="shared" si="451"/>
        <v>0</v>
      </c>
      <c r="AA541" s="548">
        <v>0</v>
      </c>
      <c r="AB541" s="548">
        <v>0</v>
      </c>
      <c r="AC541" s="548">
        <v>0</v>
      </c>
      <c r="AD541" s="548">
        <v>0</v>
      </c>
      <c r="AE541" s="548">
        <v>0</v>
      </c>
      <c r="AF541" s="548">
        <v>0</v>
      </c>
      <c r="AG541" s="548">
        <v>0</v>
      </c>
      <c r="AH541" s="548">
        <v>0</v>
      </c>
      <c r="AI541" s="548">
        <v>0</v>
      </c>
      <c r="AJ541" s="548">
        <v>0</v>
      </c>
      <c r="AK541" s="548">
        <v>0</v>
      </c>
      <c r="AL541" s="548">
        <v>0</v>
      </c>
      <c r="AM541" s="548">
        <v>0</v>
      </c>
      <c r="AN541" s="548">
        <v>0</v>
      </c>
      <c r="AO541" s="548">
        <v>0</v>
      </c>
      <c r="AP541" s="548">
        <v>0</v>
      </c>
      <c r="AQ541" s="548">
        <v>0</v>
      </c>
      <c r="AR541" s="548">
        <v>0</v>
      </c>
      <c r="AS541" s="548">
        <v>0</v>
      </c>
      <c r="AT541" s="630">
        <f t="shared" si="452"/>
        <v>0</v>
      </c>
      <c r="AU541" s="578">
        <v>0</v>
      </c>
      <c r="AV541" s="625">
        <f t="shared" si="478"/>
        <v>0</v>
      </c>
      <c r="AW541" s="1005">
        <v>0</v>
      </c>
      <c r="AX541" s="561">
        <f t="shared" si="479"/>
        <v>0</v>
      </c>
      <c r="AY541" s="561">
        <f t="shared" si="439"/>
        <v>0</v>
      </c>
      <c r="AZ541" s="561">
        <f t="shared" si="453"/>
        <v>0</v>
      </c>
      <c r="BA541" s="561">
        <f t="shared" si="454"/>
        <v>0</v>
      </c>
      <c r="BB541" s="561">
        <f t="shared" si="455"/>
        <v>0</v>
      </c>
      <c r="BC541" s="561">
        <f>SUBTOTAL(9,BD541:BJ541)</f>
        <v>0</v>
      </c>
      <c r="BD541" s="561">
        <v>0</v>
      </c>
      <c r="BE541" s="561">
        <v>0</v>
      </c>
      <c r="BF541" s="561">
        <v>0</v>
      </c>
      <c r="BG541" s="561">
        <v>0</v>
      </c>
      <c r="BH541" s="561">
        <v>0</v>
      </c>
      <c r="BI541" s="561">
        <v>0</v>
      </c>
      <c r="BJ541" s="561">
        <v>0</v>
      </c>
      <c r="BK541" s="561">
        <v>0</v>
      </c>
      <c r="BL541" s="561">
        <v>0</v>
      </c>
      <c r="BM541" s="561">
        <v>0</v>
      </c>
      <c r="BN541" s="561">
        <v>0</v>
      </c>
      <c r="BO541" s="561">
        <v>0</v>
      </c>
      <c r="BP541" s="561">
        <v>0</v>
      </c>
      <c r="BQ541" s="561">
        <v>0</v>
      </c>
      <c r="BR541" s="561">
        <v>0</v>
      </c>
      <c r="BS541" s="561">
        <v>0</v>
      </c>
      <c r="BT541" s="561">
        <v>0</v>
      </c>
      <c r="BU541" s="561">
        <v>0</v>
      </c>
      <c r="BV541" s="588">
        <f t="shared" si="456"/>
        <v>0</v>
      </c>
      <c r="BW541" s="561">
        <v>0</v>
      </c>
      <c r="BX541" s="623">
        <f t="shared" si="480"/>
        <v>0</v>
      </c>
      <c r="BY541" s="561">
        <v>0</v>
      </c>
      <c r="BZ541" s="561">
        <v>0</v>
      </c>
      <c r="CA541" s="1029" t="s">
        <v>2016</v>
      </c>
      <c r="CB541" s="867" t="str">
        <f t="shared" si="481"/>
        <v>O</v>
      </c>
      <c r="CC541" s="867">
        <f t="shared" si="442"/>
        <v>0</v>
      </c>
      <c r="CD541" s="867">
        <f t="shared" si="457"/>
        <v>0</v>
      </c>
      <c r="CE541" s="620">
        <f t="shared" si="458"/>
        <v>0</v>
      </c>
      <c r="CF541" s="868">
        <f t="shared" si="459"/>
        <v>0</v>
      </c>
      <c r="CG541" s="620">
        <f>(CC541*BV541)/100</f>
        <v>0</v>
      </c>
      <c r="CH541" s="553">
        <f t="shared" si="461"/>
        <v>0.22264</v>
      </c>
      <c r="CI541" s="552">
        <v>5000</v>
      </c>
      <c r="CJ541" s="551">
        <f t="shared" si="482"/>
        <v>1</v>
      </c>
      <c r="CK541" s="872">
        <v>0</v>
      </c>
      <c r="CL541" s="873">
        <f t="shared" si="433"/>
        <v>5000</v>
      </c>
      <c r="CM541" s="550">
        <f t="shared" si="475"/>
        <v>0</v>
      </c>
      <c r="CN541" s="548">
        <f t="shared" si="445"/>
        <v>0</v>
      </c>
      <c r="CO541" s="550">
        <f t="shared" si="462"/>
        <v>0</v>
      </c>
      <c r="CP541" s="548">
        <f t="shared" si="463"/>
        <v>0</v>
      </c>
      <c r="CQ541" s="548">
        <f t="shared" si="464"/>
        <v>0</v>
      </c>
      <c r="CR541" s="547">
        <f>SUM(CS541:CY541)</f>
        <v>0</v>
      </c>
      <c r="CS541" s="546">
        <v>0</v>
      </c>
      <c r="CT541" s="546">
        <v>0</v>
      </c>
      <c r="CU541" s="546">
        <v>0</v>
      </c>
      <c r="CV541" s="546">
        <v>0</v>
      </c>
      <c r="CW541" s="546">
        <v>0</v>
      </c>
      <c r="CX541" s="546">
        <v>0</v>
      </c>
      <c r="CY541" s="546">
        <v>0</v>
      </c>
      <c r="CZ541" s="548">
        <v>0</v>
      </c>
      <c r="DA541" s="548">
        <v>0</v>
      </c>
      <c r="DB541" s="548">
        <v>0</v>
      </c>
      <c r="DC541" s="548">
        <v>0</v>
      </c>
      <c r="DD541" s="548">
        <v>0</v>
      </c>
      <c r="DE541" s="548">
        <v>0</v>
      </c>
      <c r="DF541" s="548">
        <v>0</v>
      </c>
      <c r="DG541" s="548">
        <v>0</v>
      </c>
      <c r="DH541" s="548">
        <v>0</v>
      </c>
      <c r="DI541" s="548">
        <v>0</v>
      </c>
      <c r="DJ541" s="548">
        <v>0</v>
      </c>
      <c r="DK541" s="1038">
        <v>0</v>
      </c>
      <c r="DL541" s="597">
        <f t="shared" si="465"/>
        <v>0.22264</v>
      </c>
      <c r="DM541" s="594">
        <f t="shared" si="466"/>
        <v>0</v>
      </c>
      <c r="DN541" s="594">
        <f t="shared" si="467"/>
        <v>0</v>
      </c>
      <c r="DO541" s="869">
        <f t="shared" si="468"/>
        <v>0</v>
      </c>
      <c r="DP541" s="597">
        <f t="shared" si="473"/>
        <v>0</v>
      </c>
      <c r="DQ541" s="538">
        <f t="shared" si="469"/>
        <v>0</v>
      </c>
      <c r="DR541" s="617">
        <f t="shared" si="470"/>
        <v>1</v>
      </c>
      <c r="DS541" s="616">
        <f t="shared" si="471"/>
        <v>0</v>
      </c>
      <c r="DT541" s="870"/>
      <c r="DU541" s="870"/>
      <c r="DV541" s="870"/>
      <c r="DW541" s="870"/>
      <c r="DX541" s="870"/>
      <c r="DY541" s="870"/>
      <c r="DZ541" s="870"/>
      <c r="EA541" s="988"/>
      <c r="EB541" s="1043"/>
      <c r="EC541" s="989">
        <v>0</v>
      </c>
      <c r="EE541" s="1047"/>
    </row>
    <row r="542" spans="4:135" hidden="1" x14ac:dyDescent="0.2">
      <c r="CI542" s="845"/>
      <c r="CJ542" s="845"/>
      <c r="CK542" s="855"/>
      <c r="CL542" s="845"/>
      <c r="EB542" s="846"/>
    </row>
    <row r="543" spans="4:135" x14ac:dyDescent="0.2">
      <c r="EB543" s="846"/>
    </row>
    <row r="544" spans="4:135" x14ac:dyDescent="0.2">
      <c r="EB544" s="846"/>
    </row>
    <row r="545" spans="5:132" x14ac:dyDescent="0.2">
      <c r="EB545" s="846"/>
    </row>
    <row r="546" spans="5:132" x14ac:dyDescent="0.2">
      <c r="EB546" s="846"/>
    </row>
    <row r="547" spans="5:132" x14ac:dyDescent="0.2">
      <c r="EB547" s="846"/>
    </row>
    <row r="548" spans="5:132" x14ac:dyDescent="0.2">
      <c r="EB548" s="846"/>
    </row>
    <row r="549" spans="5:132" x14ac:dyDescent="0.2">
      <c r="EB549" s="846"/>
    </row>
    <row r="550" spans="5:132" x14ac:dyDescent="0.2">
      <c r="EB550" s="846"/>
    </row>
    <row r="551" spans="5:132" x14ac:dyDescent="0.2">
      <c r="EB551" s="846"/>
    </row>
    <row r="552" spans="5:132" x14ac:dyDescent="0.2">
      <c r="EB552" s="846"/>
    </row>
    <row r="553" spans="5:132" x14ac:dyDescent="0.2">
      <c r="E553" s="825"/>
      <c r="EB553" s="846"/>
    </row>
    <row r="554" spans="5:132" ht="18" x14ac:dyDescent="0.2">
      <c r="E554" s="826"/>
      <c r="EB554" s="846"/>
    </row>
    <row r="555" spans="5:132" ht="18" x14ac:dyDescent="0.2">
      <c r="E555" s="826"/>
      <c r="EB555" s="846"/>
    </row>
    <row r="556" spans="5:132" ht="18" x14ac:dyDescent="0.2">
      <c r="E556" s="826"/>
      <c r="EB556" s="846"/>
    </row>
    <row r="557" spans="5:132" ht="18" x14ac:dyDescent="0.2">
      <c r="E557" s="826"/>
      <c r="EB557" s="846"/>
    </row>
    <row r="558" spans="5:132" ht="18" x14ac:dyDescent="0.2">
      <c r="E558" s="826"/>
      <c r="EB558" s="846"/>
    </row>
    <row r="559" spans="5:132" ht="25.5" x14ac:dyDescent="0.2">
      <c r="E559" s="826"/>
      <c r="H559" s="847" t="s">
        <v>307</v>
      </c>
      <c r="I559" s="848" t="s">
        <v>2847</v>
      </c>
      <c r="J559" s="825" t="s">
        <v>2848</v>
      </c>
      <c r="K559" s="825" t="s">
        <v>2849</v>
      </c>
      <c r="L559" s="825" t="s">
        <v>2850</v>
      </c>
      <c r="M559" s="825" t="s">
        <v>2851</v>
      </c>
      <c r="N559" s="825" t="s">
        <v>2852</v>
      </c>
      <c r="O559" s="825" t="s">
        <v>2853</v>
      </c>
      <c r="P559" s="825" t="s">
        <v>2854</v>
      </c>
      <c r="Q559" s="825" t="s">
        <v>2855</v>
      </c>
      <c r="R559" s="825" t="s">
        <v>2856</v>
      </c>
      <c r="S559" s="825" t="s">
        <v>2857</v>
      </c>
      <c r="T559" s="825" t="s">
        <v>2858</v>
      </c>
      <c r="U559" s="825" t="s">
        <v>2859</v>
      </c>
      <c r="V559" s="825" t="s">
        <v>2860</v>
      </c>
      <c r="W559" s="825" t="s">
        <v>2861</v>
      </c>
      <c r="X559" s="825" t="s">
        <v>2862</v>
      </c>
      <c r="Y559" s="825" t="s">
        <v>2863</v>
      </c>
      <c r="Z559" s="825" t="s">
        <v>2864</v>
      </c>
      <c r="AA559" s="825" t="s">
        <v>2865</v>
      </c>
      <c r="AB559" s="825" t="s">
        <v>2866</v>
      </c>
      <c r="AC559" s="825" t="s">
        <v>2867</v>
      </c>
      <c r="AD559" s="825" t="s">
        <v>2868</v>
      </c>
      <c r="AE559" s="825" t="s">
        <v>2869</v>
      </c>
      <c r="AF559" s="825" t="s">
        <v>2870</v>
      </c>
      <c r="AG559" s="825" t="s">
        <v>2871</v>
      </c>
      <c r="AH559" s="825" t="s">
        <v>2872</v>
      </c>
      <c r="AI559" s="825" t="s">
        <v>2873</v>
      </c>
      <c r="AJ559" s="825" t="s">
        <v>2874</v>
      </c>
      <c r="EB559" s="846"/>
    </row>
    <row r="560" spans="5:132" ht="18" x14ac:dyDescent="0.2">
      <c r="E560" s="826"/>
      <c r="H560" s="849">
        <v>11</v>
      </c>
      <c r="I560" s="826">
        <v>52</v>
      </c>
      <c r="J560" s="826">
        <v>412</v>
      </c>
      <c r="K560" s="826">
        <v>532</v>
      </c>
      <c r="L560" s="826">
        <v>322</v>
      </c>
      <c r="M560" s="826">
        <v>258</v>
      </c>
      <c r="N560" s="826">
        <v>24</v>
      </c>
      <c r="O560" s="826">
        <v>21</v>
      </c>
      <c r="P560" s="826">
        <v>67</v>
      </c>
      <c r="Q560" s="826">
        <v>204</v>
      </c>
      <c r="R560" s="826">
        <v>311</v>
      </c>
      <c r="S560" s="826">
        <v>153</v>
      </c>
      <c r="T560" s="826">
        <v>469</v>
      </c>
      <c r="U560" s="826">
        <v>309</v>
      </c>
      <c r="V560" s="826">
        <v>541</v>
      </c>
      <c r="W560" s="826">
        <v>15</v>
      </c>
      <c r="X560" s="826">
        <v>18</v>
      </c>
      <c r="Y560" s="826">
        <v>518</v>
      </c>
      <c r="Z560" s="826">
        <v>524</v>
      </c>
      <c r="AA560" s="826">
        <v>17</v>
      </c>
      <c r="AB560" s="826">
        <v>540</v>
      </c>
      <c r="AC560" s="826">
        <v>330</v>
      </c>
      <c r="AD560" s="826">
        <v>568</v>
      </c>
      <c r="AE560" s="826">
        <v>443</v>
      </c>
      <c r="AF560" s="826">
        <v>462</v>
      </c>
      <c r="AG560" s="826">
        <v>328</v>
      </c>
      <c r="AH560" s="826">
        <v>537</v>
      </c>
      <c r="AI560" s="826">
        <v>11</v>
      </c>
      <c r="AJ560" s="826">
        <v>399</v>
      </c>
      <c r="EB560" s="846"/>
    </row>
    <row r="561" spans="5:132" ht="18" x14ac:dyDescent="0.25">
      <c r="E561" s="826"/>
      <c r="H561" s="849">
        <v>12</v>
      </c>
      <c r="I561" s="826">
        <v>96</v>
      </c>
      <c r="J561" s="826">
        <v>413</v>
      </c>
      <c r="K561" s="826">
        <v>533</v>
      </c>
      <c r="L561" s="826">
        <v>349</v>
      </c>
      <c r="M561" s="826">
        <v>259</v>
      </c>
      <c r="N561" s="826">
        <v>25</v>
      </c>
      <c r="O561" s="826">
        <v>22</v>
      </c>
      <c r="P561" s="826">
        <v>108</v>
      </c>
      <c r="Q561" s="826">
        <v>205</v>
      </c>
      <c r="R561" s="826">
        <v>312</v>
      </c>
      <c r="S561" s="826">
        <v>336</v>
      </c>
      <c r="T561" s="826">
        <v>470</v>
      </c>
      <c r="U561" s="826">
        <v>310</v>
      </c>
      <c r="V561" s="827"/>
      <c r="W561" s="826">
        <v>16</v>
      </c>
      <c r="X561" s="826">
        <v>19</v>
      </c>
      <c r="Y561" s="826">
        <v>519</v>
      </c>
      <c r="Z561" s="826">
        <v>525</v>
      </c>
      <c r="AA561" s="826">
        <v>32</v>
      </c>
      <c r="AB561" s="826">
        <v>576</v>
      </c>
      <c r="AC561" s="826">
        <v>409</v>
      </c>
      <c r="AD561" s="826">
        <v>569</v>
      </c>
      <c r="AE561" s="826">
        <v>444</v>
      </c>
      <c r="AF561" s="826">
        <v>463</v>
      </c>
      <c r="AG561" s="826">
        <v>329</v>
      </c>
      <c r="AH561" s="827"/>
      <c r="AI561" s="826">
        <v>12</v>
      </c>
      <c r="AJ561" s="826">
        <v>400</v>
      </c>
      <c r="EB561" s="846"/>
    </row>
    <row r="562" spans="5:132" ht="18" x14ac:dyDescent="0.25">
      <c r="E562" s="826"/>
      <c r="H562" s="849">
        <v>13</v>
      </c>
      <c r="I562" s="826">
        <v>195</v>
      </c>
      <c r="J562" s="826">
        <v>414</v>
      </c>
      <c r="K562" s="828"/>
      <c r="L562" s="826">
        <v>350</v>
      </c>
      <c r="M562" s="826">
        <v>261</v>
      </c>
      <c r="N562" s="826">
        <v>26</v>
      </c>
      <c r="O562" s="826">
        <v>23</v>
      </c>
      <c r="P562" s="826">
        <v>150</v>
      </c>
      <c r="Q562" s="826">
        <v>206</v>
      </c>
      <c r="R562" s="826">
        <v>313</v>
      </c>
      <c r="S562" s="826">
        <v>337</v>
      </c>
      <c r="T562" s="826">
        <v>471</v>
      </c>
      <c r="U562" s="826">
        <v>423</v>
      </c>
      <c r="V562" s="827"/>
      <c r="W562" s="826">
        <v>20</v>
      </c>
      <c r="X562" s="826">
        <v>27</v>
      </c>
      <c r="Y562" s="826">
        <v>522</v>
      </c>
      <c r="Z562" s="826">
        <v>526</v>
      </c>
      <c r="AA562" s="826">
        <v>44</v>
      </c>
      <c r="AB562" s="827"/>
      <c r="AC562" s="826">
        <v>410</v>
      </c>
      <c r="AD562" s="826">
        <v>570</v>
      </c>
      <c r="AE562" s="826">
        <v>445</v>
      </c>
      <c r="AF562" s="826">
        <v>464</v>
      </c>
      <c r="AG562" s="826">
        <v>331</v>
      </c>
      <c r="AH562" s="827"/>
      <c r="AI562" s="826">
        <v>13</v>
      </c>
      <c r="AJ562" s="826">
        <v>402</v>
      </c>
      <c r="EB562" s="846"/>
    </row>
    <row r="563" spans="5:132" ht="18" x14ac:dyDescent="0.25">
      <c r="E563" s="826"/>
      <c r="H563" s="849">
        <v>14</v>
      </c>
      <c r="I563" s="826">
        <v>234</v>
      </c>
      <c r="J563" s="826">
        <v>415</v>
      </c>
      <c r="K563" s="828"/>
      <c r="L563" s="826">
        <v>351</v>
      </c>
      <c r="M563" s="826">
        <v>262</v>
      </c>
      <c r="N563" s="826">
        <v>58</v>
      </c>
      <c r="O563" s="826">
        <v>54</v>
      </c>
      <c r="P563" s="826">
        <v>173</v>
      </c>
      <c r="Q563" s="826">
        <v>207</v>
      </c>
      <c r="R563" s="826">
        <v>361</v>
      </c>
      <c r="S563" s="826">
        <v>338</v>
      </c>
      <c r="T563" s="826">
        <v>472</v>
      </c>
      <c r="U563" s="826">
        <v>424</v>
      </c>
      <c r="V563" s="827"/>
      <c r="W563" s="826">
        <v>28</v>
      </c>
      <c r="X563" s="826">
        <v>43</v>
      </c>
      <c r="Y563" s="826">
        <v>530</v>
      </c>
      <c r="Z563" s="826">
        <v>539</v>
      </c>
      <c r="AA563" s="826">
        <v>71</v>
      </c>
      <c r="AB563" s="827"/>
      <c r="AC563" s="826">
        <v>498</v>
      </c>
      <c r="AD563" s="826">
        <v>571</v>
      </c>
      <c r="AE563" s="826">
        <v>446</v>
      </c>
      <c r="AF563" s="826">
        <v>465</v>
      </c>
      <c r="AG563" s="826">
        <v>332</v>
      </c>
      <c r="AH563" s="827"/>
      <c r="AI563" s="826">
        <v>14</v>
      </c>
      <c r="AJ563" s="826">
        <v>403</v>
      </c>
      <c r="EB563" s="846"/>
    </row>
    <row r="564" spans="5:132" ht="18" x14ac:dyDescent="0.25">
      <c r="E564" s="826"/>
      <c r="H564" s="849">
        <v>15</v>
      </c>
      <c r="I564" s="826">
        <v>278</v>
      </c>
      <c r="J564" s="826">
        <v>416</v>
      </c>
      <c r="K564" s="828"/>
      <c r="L564" s="826">
        <v>352</v>
      </c>
      <c r="M564" s="826">
        <v>263</v>
      </c>
      <c r="N564" s="826">
        <v>59</v>
      </c>
      <c r="O564" s="826">
        <v>55</v>
      </c>
      <c r="P564" s="826">
        <v>251</v>
      </c>
      <c r="Q564" s="826">
        <v>208</v>
      </c>
      <c r="R564" s="826">
        <v>362</v>
      </c>
      <c r="S564" s="826">
        <v>339</v>
      </c>
      <c r="T564" s="826">
        <v>473</v>
      </c>
      <c r="U564" s="826">
        <v>425</v>
      </c>
      <c r="V564" s="827"/>
      <c r="W564" s="826">
        <v>31</v>
      </c>
      <c r="X564" s="826">
        <v>45</v>
      </c>
      <c r="Y564" s="826">
        <v>531</v>
      </c>
      <c r="Z564" s="826"/>
      <c r="AA564" s="826">
        <v>83</v>
      </c>
      <c r="AB564" s="827"/>
      <c r="AC564" s="826">
        <v>499</v>
      </c>
      <c r="AD564" s="826">
        <v>573</v>
      </c>
      <c r="AE564" s="826">
        <v>447</v>
      </c>
      <c r="AF564" s="827"/>
      <c r="AG564" s="826">
        <v>538</v>
      </c>
      <c r="AH564" s="827"/>
      <c r="AI564" s="826">
        <v>41</v>
      </c>
      <c r="AJ564" s="826">
        <v>404</v>
      </c>
      <c r="EB564" s="846"/>
    </row>
    <row r="565" spans="5:132" ht="18" x14ac:dyDescent="0.25">
      <c r="E565" s="826"/>
      <c r="H565" s="849">
        <v>16</v>
      </c>
      <c r="I565" s="850"/>
      <c r="J565" s="826">
        <v>417</v>
      </c>
      <c r="K565" s="828"/>
      <c r="L565" s="826">
        <v>353</v>
      </c>
      <c r="M565" s="826">
        <v>265</v>
      </c>
      <c r="N565" s="826">
        <v>102</v>
      </c>
      <c r="O565" s="826">
        <v>56</v>
      </c>
      <c r="P565" s="826">
        <v>323</v>
      </c>
      <c r="Q565" s="826">
        <v>209</v>
      </c>
      <c r="R565" s="826">
        <v>363</v>
      </c>
      <c r="S565" s="826">
        <v>340</v>
      </c>
      <c r="T565" s="829">
        <v>474</v>
      </c>
      <c r="U565" s="826">
        <v>426</v>
      </c>
      <c r="V565" s="827"/>
      <c r="W565" s="826">
        <v>53</v>
      </c>
      <c r="X565" s="826">
        <v>46</v>
      </c>
      <c r="Y565" s="826">
        <v>534</v>
      </c>
      <c r="Z565" s="826"/>
      <c r="AA565" s="826">
        <v>113</v>
      </c>
      <c r="AB565" s="827"/>
      <c r="AC565" s="826">
        <v>500</v>
      </c>
      <c r="AD565" s="826">
        <v>577</v>
      </c>
      <c r="AE565" s="826">
        <v>448</v>
      </c>
      <c r="AF565" s="827"/>
      <c r="AG565" s="826">
        <v>542</v>
      </c>
      <c r="AH565" s="827"/>
      <c r="AI565" s="826">
        <v>42</v>
      </c>
      <c r="AJ565" s="826">
        <v>408</v>
      </c>
      <c r="EB565" s="846"/>
    </row>
    <row r="566" spans="5:132" ht="18" x14ac:dyDescent="0.25">
      <c r="E566" s="826"/>
      <c r="H566" s="849">
        <v>17</v>
      </c>
      <c r="I566" s="850"/>
      <c r="J566" s="826">
        <v>418</v>
      </c>
      <c r="K566" s="828"/>
      <c r="L566" s="826">
        <v>354</v>
      </c>
      <c r="M566" s="826">
        <v>266</v>
      </c>
      <c r="N566" s="826">
        <v>103</v>
      </c>
      <c r="O566" s="826">
        <v>57</v>
      </c>
      <c r="P566" s="826">
        <v>558</v>
      </c>
      <c r="Q566" s="826">
        <v>210</v>
      </c>
      <c r="R566" s="826">
        <v>364</v>
      </c>
      <c r="S566" s="826">
        <v>341</v>
      </c>
      <c r="T566" s="826">
        <v>475</v>
      </c>
      <c r="U566" s="826">
        <v>427</v>
      </c>
      <c r="V566" s="827"/>
      <c r="W566" s="826">
        <v>65</v>
      </c>
      <c r="X566" s="826">
        <v>47</v>
      </c>
      <c r="Y566" s="826">
        <v>535</v>
      </c>
      <c r="Z566" s="827"/>
      <c r="AA566" s="826">
        <v>114</v>
      </c>
      <c r="AB566" s="827"/>
      <c r="AC566" s="828"/>
      <c r="AD566" s="826">
        <v>578</v>
      </c>
      <c r="AE566" s="827"/>
      <c r="AF566" s="827"/>
      <c r="AG566" s="826">
        <v>543</v>
      </c>
      <c r="AH566" s="827"/>
      <c r="AI566" s="826">
        <v>80</v>
      </c>
      <c r="AJ566" s="827"/>
      <c r="EB566" s="846"/>
    </row>
    <row r="567" spans="5:132" ht="18" x14ac:dyDescent="0.25">
      <c r="E567" s="826"/>
      <c r="H567" s="849">
        <v>18</v>
      </c>
      <c r="I567" s="850"/>
      <c r="J567" s="826">
        <v>419</v>
      </c>
      <c r="K567" s="828"/>
      <c r="L567" s="826">
        <v>355</v>
      </c>
      <c r="M567" s="826">
        <v>267</v>
      </c>
      <c r="N567" s="826">
        <v>135</v>
      </c>
      <c r="O567" s="826">
        <v>98</v>
      </c>
      <c r="P567" s="826">
        <v>559</v>
      </c>
      <c r="Q567" s="826">
        <v>212</v>
      </c>
      <c r="R567" s="826">
        <v>365</v>
      </c>
      <c r="S567" s="826">
        <v>342</v>
      </c>
      <c r="T567" s="826">
        <v>477</v>
      </c>
      <c r="U567" s="826">
        <v>428</v>
      </c>
      <c r="V567" s="827"/>
      <c r="W567" s="826">
        <v>66</v>
      </c>
      <c r="X567" s="826">
        <v>48</v>
      </c>
      <c r="Y567" s="826">
        <v>536</v>
      </c>
      <c r="Z567" s="827"/>
      <c r="AA567" s="826">
        <v>156</v>
      </c>
      <c r="AB567" s="827"/>
      <c r="AC567" s="828"/>
      <c r="AD567" s="826">
        <v>579</v>
      </c>
      <c r="AE567" s="827"/>
      <c r="AF567" s="827"/>
      <c r="AG567" s="826">
        <v>544</v>
      </c>
      <c r="AH567" s="827"/>
      <c r="AI567" s="826">
        <v>81</v>
      </c>
      <c r="AJ567" s="827"/>
      <c r="EB567" s="846"/>
    </row>
    <row r="568" spans="5:132" ht="18" x14ac:dyDescent="0.25">
      <c r="E568" s="826"/>
      <c r="H568" s="849">
        <v>19</v>
      </c>
      <c r="I568" s="850"/>
      <c r="J568" s="826">
        <v>420</v>
      </c>
      <c r="K568" s="828"/>
      <c r="L568" s="826">
        <v>356</v>
      </c>
      <c r="M568" s="826">
        <v>268</v>
      </c>
      <c r="N568" s="826">
        <v>136</v>
      </c>
      <c r="O568" s="826">
        <v>99</v>
      </c>
      <c r="P568" s="826">
        <v>560</v>
      </c>
      <c r="Q568" s="826">
        <v>318</v>
      </c>
      <c r="R568" s="826">
        <v>366</v>
      </c>
      <c r="S568" s="826">
        <v>343</v>
      </c>
      <c r="T568" s="826">
        <v>478</v>
      </c>
      <c r="U568" s="826">
        <v>429</v>
      </c>
      <c r="V568" s="827"/>
      <c r="W568" s="826">
        <v>68</v>
      </c>
      <c r="X568" s="826">
        <v>49</v>
      </c>
      <c r="Y568" s="827"/>
      <c r="Z568" s="827"/>
      <c r="AA568" s="826">
        <v>157</v>
      </c>
      <c r="AB568" s="827"/>
      <c r="AC568" s="828"/>
      <c r="AD568" s="826">
        <v>580</v>
      </c>
      <c r="AE568" s="827"/>
      <c r="AF568" s="827"/>
      <c r="AG568" s="826">
        <v>545</v>
      </c>
      <c r="AH568" s="827"/>
      <c r="AI568" s="826">
        <v>120</v>
      </c>
      <c r="AJ568" s="827"/>
      <c r="EB568" s="846"/>
    </row>
    <row r="569" spans="5:132" ht="18" x14ac:dyDescent="0.25">
      <c r="E569" s="826"/>
      <c r="H569" s="849">
        <v>20</v>
      </c>
      <c r="I569" s="850"/>
      <c r="J569" s="826">
        <v>421</v>
      </c>
      <c r="K569" s="828"/>
      <c r="L569" s="826">
        <v>357</v>
      </c>
      <c r="M569" s="826">
        <v>324</v>
      </c>
      <c r="N569" s="826">
        <v>137</v>
      </c>
      <c r="O569" s="826">
        <v>100</v>
      </c>
      <c r="P569" s="826">
        <v>561</v>
      </c>
      <c r="Q569" s="827"/>
      <c r="R569" s="826">
        <v>367</v>
      </c>
      <c r="S569" s="826">
        <v>344</v>
      </c>
      <c r="T569" s="826">
        <v>479</v>
      </c>
      <c r="U569" s="826">
        <v>430</v>
      </c>
      <c r="V569" s="827"/>
      <c r="W569" s="826">
        <v>69</v>
      </c>
      <c r="X569" s="826">
        <v>50</v>
      </c>
      <c r="Y569" s="827"/>
      <c r="Z569" s="827"/>
      <c r="AA569" s="826">
        <v>174</v>
      </c>
      <c r="AB569" s="827"/>
      <c r="AC569" s="828"/>
      <c r="AD569" s="826">
        <v>581</v>
      </c>
      <c r="AE569" s="827"/>
      <c r="AF569" s="827"/>
      <c r="AG569" s="826">
        <v>547</v>
      </c>
      <c r="AH569" s="827"/>
      <c r="AI569" s="826">
        <v>154</v>
      </c>
      <c r="AJ569" s="827"/>
      <c r="EB569" s="846"/>
    </row>
    <row r="570" spans="5:132" ht="18" x14ac:dyDescent="0.25">
      <c r="E570" s="826"/>
      <c r="H570" s="849">
        <v>21</v>
      </c>
      <c r="I570" s="850"/>
      <c r="J570" s="827"/>
      <c r="K570" s="827"/>
      <c r="L570" s="826">
        <v>358</v>
      </c>
      <c r="M570" s="826">
        <v>451</v>
      </c>
      <c r="N570" s="826">
        <v>138</v>
      </c>
      <c r="O570" s="826">
        <v>101</v>
      </c>
      <c r="P570" s="826">
        <v>562</v>
      </c>
      <c r="Q570" s="827"/>
      <c r="R570" s="826">
        <v>368</v>
      </c>
      <c r="S570" s="826">
        <v>345</v>
      </c>
      <c r="T570" s="826">
        <v>480</v>
      </c>
      <c r="U570" s="826">
        <v>431</v>
      </c>
      <c r="V570" s="827"/>
      <c r="W570" s="826">
        <v>70</v>
      </c>
      <c r="X570" s="826">
        <v>51</v>
      </c>
      <c r="Y570" s="827"/>
      <c r="Z570" s="827"/>
      <c r="AA570" s="826">
        <v>175</v>
      </c>
      <c r="AB570" s="827"/>
      <c r="AC570" s="828"/>
      <c r="AD570" s="826">
        <v>582</v>
      </c>
      <c r="AE570" s="827"/>
      <c r="AF570" s="827"/>
      <c r="AG570" s="826">
        <v>548</v>
      </c>
      <c r="AH570" s="827"/>
      <c r="AI570" s="826">
        <v>161</v>
      </c>
      <c r="AJ570" s="827"/>
      <c r="EB570" s="846"/>
    </row>
    <row r="571" spans="5:132" ht="18" x14ac:dyDescent="0.25">
      <c r="E571" s="826"/>
      <c r="H571" s="849">
        <v>22</v>
      </c>
      <c r="I571" s="850"/>
      <c r="J571" s="827"/>
      <c r="K571" s="827"/>
      <c r="L571" s="827"/>
      <c r="M571" s="826">
        <v>452</v>
      </c>
      <c r="N571" s="826">
        <v>151</v>
      </c>
      <c r="O571" s="826">
        <v>128</v>
      </c>
      <c r="P571" s="826">
        <v>563</v>
      </c>
      <c r="Q571" s="827"/>
      <c r="R571" s="826">
        <v>369</v>
      </c>
      <c r="S571" s="826">
        <v>346</v>
      </c>
      <c r="T571" s="826">
        <v>481</v>
      </c>
      <c r="U571" s="826">
        <v>432</v>
      </c>
      <c r="V571" s="827"/>
      <c r="W571" s="826">
        <v>82</v>
      </c>
      <c r="X571" s="826">
        <v>60</v>
      </c>
      <c r="Y571" s="827"/>
      <c r="Z571" s="827"/>
      <c r="AA571" s="826">
        <v>196</v>
      </c>
      <c r="AB571" s="827"/>
      <c r="AC571" s="828"/>
      <c r="AD571" s="826">
        <v>583</v>
      </c>
      <c r="AE571" s="827"/>
      <c r="AF571" s="827"/>
      <c r="AG571" s="826">
        <v>549</v>
      </c>
      <c r="AH571" s="827"/>
      <c r="AI571" s="826">
        <v>162</v>
      </c>
      <c r="AJ571" s="827"/>
      <c r="EB571" s="846"/>
    </row>
    <row r="572" spans="5:132" ht="18" x14ac:dyDescent="0.25">
      <c r="E572" s="826"/>
      <c r="H572" s="849">
        <v>23</v>
      </c>
      <c r="I572" s="850"/>
      <c r="J572" s="827"/>
      <c r="K572" s="827"/>
      <c r="L572" s="827"/>
      <c r="M572" s="826">
        <v>453</v>
      </c>
      <c r="N572" s="826">
        <v>152</v>
      </c>
      <c r="O572" s="826">
        <v>129</v>
      </c>
      <c r="P572" s="827"/>
      <c r="Q572" s="827"/>
      <c r="R572" s="826">
        <v>370</v>
      </c>
      <c r="S572" s="826">
        <v>389</v>
      </c>
      <c r="T572" s="826">
        <v>482</v>
      </c>
      <c r="U572" s="826">
        <v>433</v>
      </c>
      <c r="V572" s="827"/>
      <c r="W572" s="826">
        <v>97</v>
      </c>
      <c r="X572" s="826">
        <v>61</v>
      </c>
      <c r="Y572" s="827"/>
      <c r="Z572" s="827"/>
      <c r="AA572" s="826">
        <v>198</v>
      </c>
      <c r="AB572" s="827"/>
      <c r="AC572" s="828"/>
      <c r="AD572" s="826">
        <v>586</v>
      </c>
      <c r="AE572" s="827"/>
      <c r="AF572" s="827"/>
      <c r="AG572" s="826">
        <v>550</v>
      </c>
      <c r="AH572" s="827"/>
      <c r="AI572" s="826">
        <v>180</v>
      </c>
      <c r="AJ572" s="827"/>
      <c r="EB572" s="846"/>
    </row>
    <row r="573" spans="5:132" ht="18" x14ac:dyDescent="0.25">
      <c r="E573" s="826"/>
      <c r="H573" s="849">
        <v>24</v>
      </c>
      <c r="I573" s="850"/>
      <c r="J573" s="827"/>
      <c r="K573" s="827"/>
      <c r="L573" s="827"/>
      <c r="M573" s="826">
        <v>454</v>
      </c>
      <c r="N573" s="826">
        <v>167</v>
      </c>
      <c r="O573" s="826">
        <v>130</v>
      </c>
      <c r="P573" s="827"/>
      <c r="Q573" s="827"/>
      <c r="R573" s="826">
        <v>371</v>
      </c>
      <c r="S573" s="826">
        <v>390</v>
      </c>
      <c r="T573" s="826">
        <v>483</v>
      </c>
      <c r="U573" s="826">
        <v>435</v>
      </c>
      <c r="V573" s="827"/>
      <c r="W573" s="826">
        <v>109</v>
      </c>
      <c r="X573" s="826">
        <v>62</v>
      </c>
      <c r="Y573" s="827"/>
      <c r="Z573" s="827"/>
      <c r="AA573" s="826">
        <v>211</v>
      </c>
      <c r="AB573" s="827"/>
      <c r="AC573" s="828"/>
      <c r="AD573" s="826">
        <v>587</v>
      </c>
      <c r="AE573" s="827"/>
      <c r="AF573" s="827"/>
      <c r="AG573" s="826">
        <v>552</v>
      </c>
      <c r="AH573" s="827"/>
      <c r="AI573" s="826">
        <v>181</v>
      </c>
      <c r="AJ573" s="827"/>
      <c r="EB573" s="846"/>
    </row>
    <row r="574" spans="5:132" ht="18" x14ac:dyDescent="0.25">
      <c r="E574" s="826"/>
      <c r="H574" s="849">
        <v>25</v>
      </c>
      <c r="I574" s="850"/>
      <c r="J574" s="827"/>
      <c r="K574" s="827"/>
      <c r="L574" s="827"/>
      <c r="M574" s="826">
        <v>455</v>
      </c>
      <c r="N574" s="826">
        <v>168</v>
      </c>
      <c r="O574" s="826">
        <v>131</v>
      </c>
      <c r="P574" s="827"/>
      <c r="Q574" s="827"/>
      <c r="R574" s="826">
        <v>372</v>
      </c>
      <c r="S574" s="826">
        <v>391</v>
      </c>
      <c r="T574" s="826">
        <v>484</v>
      </c>
      <c r="U574" s="826">
        <v>436</v>
      </c>
      <c r="V574" s="827"/>
      <c r="W574" s="826">
        <v>110</v>
      </c>
      <c r="X574" s="826">
        <v>63</v>
      </c>
      <c r="Y574" s="827"/>
      <c r="Z574" s="827"/>
      <c r="AA574" s="826">
        <v>217</v>
      </c>
      <c r="AB574" s="827"/>
      <c r="AC574" s="828"/>
      <c r="AD574" s="826">
        <v>588</v>
      </c>
      <c r="AE574" s="827"/>
      <c r="AF574" s="827"/>
      <c r="AG574" s="826">
        <v>593</v>
      </c>
      <c r="AH574" s="827"/>
      <c r="AI574" s="826">
        <v>218</v>
      </c>
      <c r="AJ574" s="827"/>
      <c r="EB574" s="846"/>
    </row>
    <row r="575" spans="5:132" ht="18" x14ac:dyDescent="0.25">
      <c r="E575" s="826"/>
      <c r="H575" s="849">
        <v>26</v>
      </c>
      <c r="I575" s="850"/>
      <c r="J575" s="827"/>
      <c r="K575" s="827"/>
      <c r="L575" s="827"/>
      <c r="M575" s="826">
        <v>456</v>
      </c>
      <c r="N575" s="826">
        <v>169</v>
      </c>
      <c r="O575" s="826">
        <v>132</v>
      </c>
      <c r="P575" s="827"/>
      <c r="Q575" s="827"/>
      <c r="R575" s="826">
        <v>373</v>
      </c>
      <c r="S575" s="826">
        <v>392</v>
      </c>
      <c r="T575" s="826">
        <v>485</v>
      </c>
      <c r="U575" s="826">
        <v>437</v>
      </c>
      <c r="V575" s="827"/>
      <c r="W575" s="826">
        <v>111</v>
      </c>
      <c r="X575" s="826">
        <v>64</v>
      </c>
      <c r="Y575" s="827"/>
      <c r="Z575" s="827"/>
      <c r="AA575" s="826">
        <v>270</v>
      </c>
      <c r="AB575" s="827"/>
      <c r="AC575" s="828"/>
      <c r="AD575" s="826">
        <v>589</v>
      </c>
      <c r="AE575" s="827"/>
      <c r="AF575" s="827"/>
      <c r="AG575" s="826">
        <v>594</v>
      </c>
      <c r="AH575" s="827"/>
      <c r="AI575" s="826">
        <v>219</v>
      </c>
      <c r="AJ575" s="827"/>
      <c r="EB575" s="846"/>
    </row>
    <row r="576" spans="5:132" ht="18" x14ac:dyDescent="0.25">
      <c r="E576" s="826"/>
      <c r="H576" s="849">
        <v>27</v>
      </c>
      <c r="I576" s="850"/>
      <c r="J576" s="827"/>
      <c r="K576" s="827"/>
      <c r="L576" s="827"/>
      <c r="M576" s="826">
        <v>457</v>
      </c>
      <c r="N576" s="826">
        <v>170</v>
      </c>
      <c r="O576" s="826">
        <v>133</v>
      </c>
      <c r="P576" s="827"/>
      <c r="Q576" s="827"/>
      <c r="R576" s="826">
        <v>374</v>
      </c>
      <c r="S576" s="826">
        <v>393</v>
      </c>
      <c r="T576" s="827"/>
      <c r="U576" s="826">
        <v>438</v>
      </c>
      <c r="V576" s="827"/>
      <c r="W576" s="826">
        <v>112</v>
      </c>
      <c r="X576" s="826">
        <v>84</v>
      </c>
      <c r="Y576" s="827"/>
      <c r="Z576" s="827"/>
      <c r="AA576" s="826">
        <v>271</v>
      </c>
      <c r="AB576" s="827"/>
      <c r="AC576" s="828"/>
      <c r="AD576" s="826">
        <v>590</v>
      </c>
      <c r="AE576" s="827"/>
      <c r="AF576" s="827"/>
      <c r="AG576" s="826">
        <v>599</v>
      </c>
      <c r="AH576" s="827"/>
      <c r="AI576" s="826">
        <v>220</v>
      </c>
      <c r="AJ576" s="827"/>
      <c r="EB576" s="846"/>
    </row>
    <row r="577" spans="5:132" ht="18" x14ac:dyDescent="0.25">
      <c r="E577" s="826"/>
      <c r="H577" s="849">
        <v>28</v>
      </c>
      <c r="I577" s="850"/>
      <c r="J577" s="827"/>
      <c r="K577" s="827"/>
      <c r="L577" s="827"/>
      <c r="M577" s="826">
        <v>458</v>
      </c>
      <c r="N577" s="826">
        <v>190</v>
      </c>
      <c r="O577" s="826">
        <v>134</v>
      </c>
      <c r="P577" s="827"/>
      <c r="Q577" s="827"/>
      <c r="R577" s="826">
        <v>376</v>
      </c>
      <c r="S577" s="826">
        <v>394</v>
      </c>
      <c r="T577" s="827"/>
      <c r="U577" s="826">
        <v>439</v>
      </c>
      <c r="V577" s="827"/>
      <c r="W577" s="826">
        <v>125</v>
      </c>
      <c r="X577" s="826">
        <v>85</v>
      </c>
      <c r="Y577" s="827"/>
      <c r="Z577" s="827"/>
      <c r="AA577" s="826">
        <v>272</v>
      </c>
      <c r="AB577" s="827"/>
      <c r="AC577" s="828"/>
      <c r="AD577" s="826">
        <v>591</v>
      </c>
      <c r="AE577" s="827"/>
      <c r="AF577" s="827"/>
      <c r="AG577" s="826">
        <v>601</v>
      </c>
      <c r="AH577" s="827"/>
      <c r="AI577" s="826">
        <v>221</v>
      </c>
      <c r="AJ577" s="827"/>
      <c r="EB577" s="846"/>
    </row>
    <row r="578" spans="5:132" ht="18" x14ac:dyDescent="0.25">
      <c r="E578" s="826"/>
      <c r="H578" s="849">
        <v>31</v>
      </c>
      <c r="I578" s="850"/>
      <c r="J578" s="827"/>
      <c r="K578" s="827"/>
      <c r="L578" s="827"/>
      <c r="M578" s="826">
        <v>459</v>
      </c>
      <c r="N578" s="826">
        <v>191</v>
      </c>
      <c r="O578" s="826">
        <v>165</v>
      </c>
      <c r="P578" s="827"/>
      <c r="Q578" s="827"/>
      <c r="R578" s="826">
        <v>377</v>
      </c>
      <c r="S578" s="826">
        <v>395</v>
      </c>
      <c r="T578" s="827"/>
      <c r="U578" s="827"/>
      <c r="V578" s="827"/>
      <c r="W578" s="826">
        <v>126</v>
      </c>
      <c r="X578" s="826">
        <v>86</v>
      </c>
      <c r="Y578" s="827"/>
      <c r="Z578" s="827"/>
      <c r="AA578" s="826">
        <v>273</v>
      </c>
      <c r="AB578" s="827"/>
      <c r="AC578" s="828"/>
      <c r="AD578" s="826">
        <v>592</v>
      </c>
      <c r="AE578" s="827"/>
      <c r="AF578" s="827"/>
      <c r="AG578" s="826">
        <v>602</v>
      </c>
      <c r="AH578" s="827"/>
      <c r="AI578" s="826">
        <v>222</v>
      </c>
      <c r="AJ578" s="827"/>
      <c r="EB578" s="846"/>
    </row>
    <row r="579" spans="5:132" ht="18" x14ac:dyDescent="0.25">
      <c r="E579" s="826"/>
      <c r="H579" s="849">
        <v>32</v>
      </c>
      <c r="I579" s="850"/>
      <c r="J579" s="827"/>
      <c r="K579" s="827"/>
      <c r="L579" s="827"/>
      <c r="M579" s="826">
        <v>460</v>
      </c>
      <c r="N579" s="826">
        <v>225</v>
      </c>
      <c r="O579" s="826">
        <v>166</v>
      </c>
      <c r="P579" s="827"/>
      <c r="Q579" s="827"/>
      <c r="R579" s="826">
        <v>378</v>
      </c>
      <c r="S579" s="826">
        <v>396</v>
      </c>
      <c r="T579" s="827"/>
      <c r="U579" s="827"/>
      <c r="V579" s="827"/>
      <c r="W579" s="826">
        <v>127</v>
      </c>
      <c r="X579" s="826">
        <v>87</v>
      </c>
      <c r="Y579" s="827"/>
      <c r="Z579" s="827"/>
      <c r="AA579" s="826">
        <v>274</v>
      </c>
      <c r="AB579" s="827"/>
      <c r="AC579" s="828"/>
      <c r="AD579" s="826">
        <v>595</v>
      </c>
      <c r="AE579" s="827"/>
      <c r="AF579" s="827"/>
      <c r="AG579" s="826">
        <v>603</v>
      </c>
      <c r="AH579" s="827"/>
      <c r="AI579" s="826">
        <v>223</v>
      </c>
      <c r="AJ579" s="827"/>
      <c r="EB579" s="846"/>
    </row>
    <row r="580" spans="5:132" ht="18" x14ac:dyDescent="0.25">
      <c r="E580" s="826"/>
      <c r="H580" s="849">
        <v>41</v>
      </c>
      <c r="I580" s="850"/>
      <c r="J580" s="827"/>
      <c r="K580" s="827"/>
      <c r="L580" s="827"/>
      <c r="M580" s="826">
        <v>461</v>
      </c>
      <c r="N580" s="826">
        <v>232</v>
      </c>
      <c r="O580" s="826">
        <v>188</v>
      </c>
      <c r="P580" s="827"/>
      <c r="Q580" s="827"/>
      <c r="R580" s="826">
        <v>379</v>
      </c>
      <c r="S580" s="827"/>
      <c r="T580" s="827"/>
      <c r="U580" s="827"/>
      <c r="V580" s="827"/>
      <c r="W580" s="826">
        <v>139</v>
      </c>
      <c r="X580" s="826">
        <v>88</v>
      </c>
      <c r="Y580" s="827"/>
      <c r="Z580" s="827"/>
      <c r="AA580" s="826">
        <v>275</v>
      </c>
      <c r="AB580" s="827"/>
      <c r="AC580" s="828"/>
      <c r="AD580" s="826">
        <v>600</v>
      </c>
      <c r="AE580" s="827"/>
      <c r="AF580" s="827"/>
      <c r="AG580" s="826">
        <v>604</v>
      </c>
      <c r="AH580" s="827"/>
      <c r="AI580" s="826">
        <v>224</v>
      </c>
      <c r="AJ580" s="827"/>
      <c r="EB580" s="846"/>
    </row>
    <row r="581" spans="5:132" ht="18" x14ac:dyDescent="0.25">
      <c r="E581" s="826"/>
      <c r="H581" s="849">
        <v>42</v>
      </c>
      <c r="I581" s="850"/>
      <c r="J581" s="827"/>
      <c r="K581" s="827"/>
      <c r="L581" s="827"/>
      <c r="M581" s="826">
        <v>466</v>
      </c>
      <c r="N581" s="826">
        <v>241</v>
      </c>
      <c r="O581" s="826">
        <v>189</v>
      </c>
      <c r="P581" s="827"/>
      <c r="Q581" s="827"/>
      <c r="R581" s="826">
        <v>380</v>
      </c>
      <c r="S581" s="827"/>
      <c r="T581" s="827"/>
      <c r="U581" s="827"/>
      <c r="V581" s="827"/>
      <c r="W581" s="826">
        <v>140</v>
      </c>
      <c r="X581" s="826">
        <v>89</v>
      </c>
      <c r="Y581" s="827"/>
      <c r="Z581" s="827"/>
      <c r="AA581" s="826">
        <v>277</v>
      </c>
      <c r="AB581" s="827"/>
      <c r="AC581" s="828"/>
      <c r="AD581" s="827"/>
      <c r="AE581" s="827"/>
      <c r="AF581" s="827"/>
      <c r="AG581" s="826">
        <v>605</v>
      </c>
      <c r="AH581" s="827"/>
      <c r="AI581" s="826">
        <v>233</v>
      </c>
      <c r="AJ581" s="827"/>
      <c r="EB581" s="846"/>
    </row>
    <row r="582" spans="5:132" ht="18" x14ac:dyDescent="0.25">
      <c r="E582" s="826"/>
      <c r="H582" s="849">
        <v>43</v>
      </c>
      <c r="I582" s="850"/>
      <c r="J582" s="827"/>
      <c r="K582" s="827"/>
      <c r="L582" s="827"/>
      <c r="M582" s="826">
        <v>467</v>
      </c>
      <c r="N582" s="826">
        <v>264</v>
      </c>
      <c r="O582" s="826">
        <v>242</v>
      </c>
      <c r="P582" s="827"/>
      <c r="Q582" s="827"/>
      <c r="R582" s="826">
        <v>381</v>
      </c>
      <c r="S582" s="827"/>
      <c r="T582" s="827"/>
      <c r="U582" s="827"/>
      <c r="V582" s="827"/>
      <c r="W582" s="826">
        <v>141</v>
      </c>
      <c r="X582" s="826">
        <v>90</v>
      </c>
      <c r="Y582" s="827"/>
      <c r="Z582" s="827"/>
      <c r="AA582" s="826">
        <v>279</v>
      </c>
      <c r="AB582" s="827"/>
      <c r="AC582" s="828"/>
      <c r="AD582" s="827"/>
      <c r="AE582" s="827"/>
      <c r="AF582" s="827"/>
      <c r="AG582" s="826">
        <v>606</v>
      </c>
      <c r="AH582" s="827"/>
      <c r="AI582" s="826">
        <v>238</v>
      </c>
      <c r="AJ582" s="827"/>
      <c r="EB582" s="846"/>
    </row>
    <row r="583" spans="5:132" ht="18" x14ac:dyDescent="0.25">
      <c r="E583" s="826"/>
      <c r="H583" s="849">
        <v>44</v>
      </c>
      <c r="I583" s="850"/>
      <c r="J583" s="827"/>
      <c r="K583" s="827"/>
      <c r="L583" s="827"/>
      <c r="M583" s="826">
        <v>625</v>
      </c>
      <c r="N583" s="826">
        <v>276</v>
      </c>
      <c r="O583" s="826">
        <v>243</v>
      </c>
      <c r="P583" s="827"/>
      <c r="Q583" s="827"/>
      <c r="R583" s="826">
        <v>382</v>
      </c>
      <c r="S583" s="827"/>
      <c r="T583" s="827"/>
      <c r="U583" s="827"/>
      <c r="V583" s="827"/>
      <c r="W583" s="826">
        <v>142</v>
      </c>
      <c r="X583" s="826">
        <v>91</v>
      </c>
      <c r="Y583" s="827"/>
      <c r="Z583" s="827"/>
      <c r="AA583" s="826">
        <v>320</v>
      </c>
      <c r="AB583" s="827"/>
      <c r="AC583" s="828"/>
      <c r="AD583" s="827"/>
      <c r="AE583" s="827"/>
      <c r="AF583" s="827"/>
      <c r="AG583" s="826">
        <v>607</v>
      </c>
      <c r="AH583" s="827"/>
      <c r="AI583" s="826">
        <v>239</v>
      </c>
      <c r="AJ583" s="827"/>
      <c r="EB583" s="846"/>
    </row>
    <row r="584" spans="5:132" ht="18" x14ac:dyDescent="0.25">
      <c r="E584" s="826"/>
      <c r="H584" s="849">
        <v>45</v>
      </c>
      <c r="I584" s="850"/>
      <c r="J584" s="827"/>
      <c r="K584" s="827"/>
      <c r="L584" s="827"/>
      <c r="M584" s="826">
        <v>626</v>
      </c>
      <c r="N584" s="826">
        <v>315</v>
      </c>
      <c r="O584" s="826">
        <v>244</v>
      </c>
      <c r="P584" s="827"/>
      <c r="Q584" s="827"/>
      <c r="R584" s="826">
        <v>383</v>
      </c>
      <c r="S584" s="827"/>
      <c r="T584" s="827"/>
      <c r="U584" s="827"/>
      <c r="V584" s="827"/>
      <c r="W584" s="826">
        <v>143</v>
      </c>
      <c r="X584" s="826">
        <v>92</v>
      </c>
      <c r="Y584" s="827"/>
      <c r="Z584" s="827"/>
      <c r="AA584" s="826">
        <v>321</v>
      </c>
      <c r="AB584" s="827"/>
      <c r="AC584" s="828"/>
      <c r="AD584" s="827"/>
      <c r="AE584" s="827"/>
      <c r="AF584" s="827"/>
      <c r="AG584" s="826">
        <v>608</v>
      </c>
      <c r="AH584" s="827"/>
      <c r="AI584" s="826">
        <v>240</v>
      </c>
      <c r="AJ584" s="827"/>
      <c r="EB584" s="846"/>
    </row>
    <row r="585" spans="5:132" ht="18" x14ac:dyDescent="0.25">
      <c r="E585" s="826"/>
      <c r="H585" s="849">
        <v>46</v>
      </c>
      <c r="I585" s="850"/>
      <c r="J585" s="827"/>
      <c r="K585" s="827"/>
      <c r="L585" s="827"/>
      <c r="M585" s="826">
        <v>627</v>
      </c>
      <c r="N585" s="826">
        <v>316</v>
      </c>
      <c r="O585" s="826">
        <v>297</v>
      </c>
      <c r="P585" s="827"/>
      <c r="Q585" s="827"/>
      <c r="R585" s="826">
        <v>384</v>
      </c>
      <c r="S585" s="827"/>
      <c r="T585" s="827"/>
      <c r="U585" s="827"/>
      <c r="V585" s="827"/>
      <c r="W585" s="826">
        <v>144</v>
      </c>
      <c r="X585" s="826">
        <v>93</v>
      </c>
      <c r="Y585" s="827"/>
      <c r="Z585" s="827"/>
      <c r="AA585" s="826">
        <v>325</v>
      </c>
      <c r="AB585" s="827"/>
      <c r="AC585" s="828"/>
      <c r="AD585" s="827"/>
      <c r="AE585" s="827"/>
      <c r="AF585" s="827"/>
      <c r="AG585" s="826"/>
      <c r="AH585" s="827"/>
      <c r="AI585" s="826">
        <v>245</v>
      </c>
      <c r="AJ585" s="827"/>
      <c r="EB585" s="846"/>
    </row>
    <row r="586" spans="5:132" ht="18" x14ac:dyDescent="0.25">
      <c r="E586" s="826"/>
      <c r="H586" s="849">
        <v>47</v>
      </c>
      <c r="I586" s="850"/>
      <c r="J586" s="827"/>
      <c r="K586" s="827"/>
      <c r="L586" s="827"/>
      <c r="M586" s="851"/>
      <c r="N586" s="826">
        <v>317</v>
      </c>
      <c r="O586" s="826">
        <v>298</v>
      </c>
      <c r="P586" s="827"/>
      <c r="Q586" s="827"/>
      <c r="R586" s="826">
        <v>385</v>
      </c>
      <c r="S586" s="827"/>
      <c r="T586" s="827"/>
      <c r="U586" s="827"/>
      <c r="V586" s="827"/>
      <c r="W586" s="826">
        <v>145</v>
      </c>
      <c r="X586" s="826">
        <v>94</v>
      </c>
      <c r="Y586" s="827"/>
      <c r="Z586" s="827"/>
      <c r="AA586" s="826">
        <v>326</v>
      </c>
      <c r="AB586" s="827"/>
      <c r="AC586" s="828"/>
      <c r="AD586" s="827"/>
      <c r="AE586" s="827"/>
      <c r="AF586" s="827"/>
      <c r="AG586" s="826"/>
      <c r="AH586" s="827"/>
      <c r="AI586" s="826">
        <v>246</v>
      </c>
      <c r="AJ586" s="827"/>
      <c r="EB586" s="846"/>
    </row>
    <row r="587" spans="5:132" ht="18" x14ac:dyDescent="0.25">
      <c r="E587" s="826"/>
      <c r="H587" s="849">
        <v>48</v>
      </c>
      <c r="I587" s="850"/>
      <c r="J587" s="827"/>
      <c r="K587" s="827"/>
      <c r="L587" s="827"/>
      <c r="M587" s="851"/>
      <c r="N587" s="826">
        <v>487</v>
      </c>
      <c r="O587" s="826">
        <v>299</v>
      </c>
      <c r="P587" s="827"/>
      <c r="Q587" s="827"/>
      <c r="R587" s="826">
        <v>386</v>
      </c>
      <c r="S587" s="827"/>
      <c r="T587" s="827"/>
      <c r="U587" s="827"/>
      <c r="V587" s="827"/>
      <c r="W587" s="826">
        <v>146</v>
      </c>
      <c r="X587" s="826">
        <v>95</v>
      </c>
      <c r="Y587" s="827"/>
      <c r="Z587" s="827"/>
      <c r="AA587" s="826">
        <v>501</v>
      </c>
      <c r="AB587" s="827"/>
      <c r="AC587" s="828"/>
      <c r="AD587" s="827"/>
      <c r="AE587" s="827"/>
      <c r="AF587" s="827"/>
      <c r="AG587" s="826"/>
      <c r="AH587" s="827"/>
      <c r="AI587" s="826">
        <v>282</v>
      </c>
      <c r="AJ587" s="827"/>
      <c r="EB587" s="846"/>
    </row>
    <row r="588" spans="5:132" ht="18" x14ac:dyDescent="0.25">
      <c r="E588" s="826"/>
      <c r="H588" s="849">
        <v>49</v>
      </c>
      <c r="I588" s="850"/>
      <c r="J588" s="827"/>
      <c r="K588" s="827"/>
      <c r="L588" s="827"/>
      <c r="M588" s="851"/>
      <c r="N588" s="826">
        <v>488</v>
      </c>
      <c r="O588" s="826">
        <v>300</v>
      </c>
      <c r="P588" s="827"/>
      <c r="Q588" s="827"/>
      <c r="R588" s="826">
        <v>387</v>
      </c>
      <c r="S588" s="827"/>
      <c r="T588" s="827"/>
      <c r="U588" s="827"/>
      <c r="V588" s="827"/>
      <c r="W588" s="826">
        <v>147</v>
      </c>
      <c r="X588" s="826">
        <v>104</v>
      </c>
      <c r="Y588" s="827"/>
      <c r="Z588" s="827"/>
      <c r="AA588" s="826">
        <v>502</v>
      </c>
      <c r="AB588" s="827"/>
      <c r="AC588" s="828"/>
      <c r="AD588" s="827"/>
      <c r="AE588" s="827"/>
      <c r="AF588" s="827"/>
      <c r="AG588" s="826"/>
      <c r="AH588" s="827"/>
      <c r="AI588" s="826">
        <v>286</v>
      </c>
      <c r="AJ588" s="827"/>
      <c r="EB588" s="846"/>
    </row>
    <row r="589" spans="5:132" ht="18" x14ac:dyDescent="0.25">
      <c r="E589" s="826"/>
      <c r="H589" s="849">
        <v>50</v>
      </c>
      <c r="I589" s="828"/>
      <c r="J589" s="827"/>
      <c r="K589" s="827"/>
      <c r="L589" s="827"/>
      <c r="M589" s="851"/>
      <c r="N589" s="826">
        <v>489</v>
      </c>
      <c r="O589" s="826">
        <v>301</v>
      </c>
      <c r="P589" s="827"/>
      <c r="Q589" s="827"/>
      <c r="R589" s="826">
        <v>401</v>
      </c>
      <c r="S589" s="827"/>
      <c r="T589" s="827"/>
      <c r="U589" s="827"/>
      <c r="V589" s="827"/>
      <c r="W589" s="826">
        <v>148</v>
      </c>
      <c r="X589" s="826">
        <v>105</v>
      </c>
      <c r="Y589" s="827"/>
      <c r="Z589" s="827"/>
      <c r="AA589" s="826">
        <v>503</v>
      </c>
      <c r="AB589" s="827"/>
      <c r="AC589" s="828"/>
      <c r="AD589" s="827"/>
      <c r="AE589" s="827"/>
      <c r="AF589" s="827"/>
      <c r="AG589" s="827"/>
      <c r="AH589" s="827"/>
      <c r="AI589" s="826">
        <v>287</v>
      </c>
      <c r="AJ589" s="827"/>
      <c r="EB589" s="846"/>
    </row>
    <row r="590" spans="5:132" ht="18" x14ac:dyDescent="0.25">
      <c r="E590" s="826"/>
      <c r="H590" s="849">
        <v>51</v>
      </c>
      <c r="I590" s="828"/>
      <c r="J590" s="827"/>
      <c r="K590" s="827"/>
      <c r="L590" s="827"/>
      <c r="M590" s="851"/>
      <c r="N590" s="826">
        <v>490</v>
      </c>
      <c r="O590" s="826">
        <v>302</v>
      </c>
      <c r="P590" s="827"/>
      <c r="Q590" s="827"/>
      <c r="R590" s="827"/>
      <c r="S590" s="827"/>
      <c r="T590" s="827"/>
      <c r="U590" s="827"/>
      <c r="V590" s="827"/>
      <c r="W590" s="826">
        <v>149</v>
      </c>
      <c r="X590" s="826">
        <v>106</v>
      </c>
      <c r="Y590" s="827"/>
      <c r="Z590" s="827"/>
      <c r="AA590" s="826">
        <v>504</v>
      </c>
      <c r="AB590" s="827"/>
      <c r="AC590" s="828"/>
      <c r="AD590" s="827"/>
      <c r="AE590" s="827"/>
      <c r="AF590" s="827"/>
      <c r="AG590" s="827"/>
      <c r="AH590" s="827"/>
      <c r="AI590" s="826">
        <v>288</v>
      </c>
      <c r="AJ590" s="827"/>
      <c r="EB590" s="846"/>
    </row>
    <row r="591" spans="5:132" ht="18" x14ac:dyDescent="0.25">
      <c r="E591" s="826"/>
      <c r="H591" s="849">
        <v>52</v>
      </c>
      <c r="I591" s="828"/>
      <c r="J591" s="827"/>
      <c r="K591" s="827"/>
      <c r="L591" s="827"/>
      <c r="M591" s="851"/>
      <c r="N591" s="826">
        <v>491</v>
      </c>
      <c r="O591" s="826">
        <v>303</v>
      </c>
      <c r="P591" s="827"/>
      <c r="Q591" s="827"/>
      <c r="R591" s="827"/>
      <c r="S591" s="827"/>
      <c r="T591" s="827"/>
      <c r="U591" s="827"/>
      <c r="V591" s="827"/>
      <c r="W591" s="826">
        <v>155</v>
      </c>
      <c r="X591" s="826">
        <v>121</v>
      </c>
      <c r="Y591" s="827"/>
      <c r="Z591" s="827"/>
      <c r="AA591" s="826">
        <v>505</v>
      </c>
      <c r="AB591" s="827"/>
      <c r="AC591" s="828"/>
      <c r="AD591" s="827"/>
      <c r="AE591" s="827"/>
      <c r="AF591" s="827"/>
      <c r="AG591" s="827"/>
      <c r="AH591" s="827"/>
      <c r="AI591" s="826">
        <v>289</v>
      </c>
      <c r="AJ591" s="827"/>
      <c r="EB591" s="846"/>
    </row>
    <row r="592" spans="5:132" ht="18" x14ac:dyDescent="0.25">
      <c r="E592" s="826"/>
      <c r="H592" s="849">
        <v>53</v>
      </c>
      <c r="I592" s="828"/>
      <c r="J592" s="827"/>
      <c r="K592" s="827"/>
      <c r="L592" s="827"/>
      <c r="M592" s="851"/>
      <c r="N592" s="826">
        <v>492</v>
      </c>
      <c r="O592" s="826">
        <v>304</v>
      </c>
      <c r="P592" s="827"/>
      <c r="Q592" s="827"/>
      <c r="R592" s="827"/>
      <c r="S592" s="827"/>
      <c r="T592" s="827"/>
      <c r="U592" s="827"/>
      <c r="V592" s="827"/>
      <c r="W592" s="826">
        <v>164</v>
      </c>
      <c r="X592" s="826">
        <v>122</v>
      </c>
      <c r="Y592" s="827"/>
      <c r="Z592" s="827"/>
      <c r="AA592" s="826">
        <v>506</v>
      </c>
      <c r="AB592" s="827"/>
      <c r="AC592" s="828"/>
      <c r="AD592" s="827"/>
      <c r="AE592" s="827"/>
      <c r="AF592" s="827"/>
      <c r="AG592" s="827"/>
      <c r="AH592" s="827"/>
      <c r="AI592" s="826">
        <v>290</v>
      </c>
      <c r="AJ592" s="827"/>
      <c r="EB592" s="846"/>
    </row>
    <row r="593" spans="5:132" ht="18" x14ac:dyDescent="0.25">
      <c r="E593" s="826"/>
      <c r="H593" s="849">
        <v>54</v>
      </c>
      <c r="I593" s="828"/>
      <c r="J593" s="827"/>
      <c r="K593" s="827"/>
      <c r="L593" s="827"/>
      <c r="M593" s="851"/>
      <c r="N593" s="826">
        <v>493</v>
      </c>
      <c r="O593" s="826">
        <v>305</v>
      </c>
      <c r="P593" s="827"/>
      <c r="Q593" s="827"/>
      <c r="R593" s="827"/>
      <c r="S593" s="827"/>
      <c r="T593" s="827"/>
      <c r="U593" s="827"/>
      <c r="V593" s="827"/>
      <c r="W593" s="826">
        <v>171</v>
      </c>
      <c r="X593" s="826">
        <v>123</v>
      </c>
      <c r="Y593" s="827"/>
      <c r="Z593" s="827"/>
      <c r="AA593" s="826">
        <v>507</v>
      </c>
      <c r="AB593" s="827"/>
      <c r="AC593" s="828"/>
      <c r="AD593" s="827"/>
      <c r="AE593" s="827"/>
      <c r="AF593" s="827"/>
      <c r="AG593" s="827"/>
      <c r="AH593" s="827"/>
      <c r="AI593" s="826">
        <v>291</v>
      </c>
      <c r="AJ593" s="827"/>
      <c r="EB593" s="846"/>
    </row>
    <row r="594" spans="5:132" ht="18" x14ac:dyDescent="0.25">
      <c r="E594" s="826"/>
      <c r="H594" s="849">
        <v>55</v>
      </c>
      <c r="I594" s="828"/>
      <c r="J594" s="827"/>
      <c r="K594" s="827"/>
      <c r="L594" s="827"/>
      <c r="M594" s="851"/>
      <c r="N594" s="826">
        <v>494</v>
      </c>
      <c r="O594" s="826">
        <v>306</v>
      </c>
      <c r="P594" s="827"/>
      <c r="Q594" s="827"/>
      <c r="R594" s="827"/>
      <c r="S594" s="827"/>
      <c r="T594" s="827"/>
      <c r="U594" s="827"/>
      <c r="V594" s="827"/>
      <c r="W594" s="826">
        <v>172</v>
      </c>
      <c r="X594" s="826">
        <v>124</v>
      </c>
      <c r="Y594" s="827"/>
      <c r="Z594" s="827"/>
      <c r="AA594" s="826">
        <v>508</v>
      </c>
      <c r="AB594" s="827"/>
      <c r="AC594" s="828"/>
      <c r="AD594" s="827"/>
      <c r="AE594" s="827"/>
      <c r="AF594" s="827"/>
      <c r="AG594" s="827"/>
      <c r="AH594" s="827"/>
      <c r="AI594" s="826">
        <v>405</v>
      </c>
      <c r="AJ594" s="827"/>
      <c r="EB594" s="846"/>
    </row>
    <row r="595" spans="5:132" ht="18" x14ac:dyDescent="0.25">
      <c r="E595" s="826"/>
      <c r="H595" s="849">
        <v>56</v>
      </c>
      <c r="I595" s="828"/>
      <c r="J595" s="827"/>
      <c r="K595" s="827"/>
      <c r="L595" s="827"/>
      <c r="M595" s="851"/>
      <c r="N595" s="826">
        <v>495</v>
      </c>
      <c r="O595" s="826">
        <v>307</v>
      </c>
      <c r="P595" s="827"/>
      <c r="Q595" s="827"/>
      <c r="R595" s="827"/>
      <c r="S595" s="827"/>
      <c r="T595" s="827"/>
      <c r="U595" s="827"/>
      <c r="V595" s="827"/>
      <c r="W595" s="826">
        <v>176</v>
      </c>
      <c r="X595" s="826">
        <v>163</v>
      </c>
      <c r="Y595" s="827"/>
      <c r="Z595" s="827"/>
      <c r="AA595" s="826">
        <v>509</v>
      </c>
      <c r="AB595" s="827"/>
      <c r="AC595" s="828"/>
      <c r="AD595" s="827"/>
      <c r="AE595" s="827"/>
      <c r="AF595" s="827"/>
      <c r="AG595" s="827"/>
      <c r="AH595" s="827"/>
      <c r="AI595" s="826">
        <v>406</v>
      </c>
      <c r="AJ595" s="827"/>
      <c r="EB595" s="846"/>
    </row>
    <row r="596" spans="5:132" ht="18" x14ac:dyDescent="0.25">
      <c r="E596" s="826"/>
      <c r="H596" s="849">
        <v>57</v>
      </c>
      <c r="I596" s="828"/>
      <c r="J596" s="827"/>
      <c r="K596" s="827"/>
      <c r="L596" s="827"/>
      <c r="M596" s="851"/>
      <c r="N596" s="826">
        <v>496</v>
      </c>
      <c r="O596" s="826">
        <v>308</v>
      </c>
      <c r="P596" s="827"/>
      <c r="Q596" s="827"/>
      <c r="R596" s="827"/>
      <c r="S596" s="827"/>
      <c r="T596" s="827"/>
      <c r="U596" s="827"/>
      <c r="V596" s="827"/>
      <c r="W596" s="826">
        <v>182</v>
      </c>
      <c r="X596" s="826">
        <v>183</v>
      </c>
      <c r="Y596" s="827"/>
      <c r="Z596" s="827"/>
      <c r="AA596" s="826">
        <v>510</v>
      </c>
      <c r="AB596" s="827"/>
      <c r="AC596" s="828"/>
      <c r="AD596" s="827"/>
      <c r="AE596" s="827"/>
      <c r="AF596" s="827"/>
      <c r="AG596" s="827"/>
      <c r="AH596" s="827"/>
      <c r="AI596" s="826">
        <v>407</v>
      </c>
      <c r="AJ596" s="827"/>
      <c r="EB596" s="846"/>
    </row>
    <row r="597" spans="5:132" ht="18" x14ac:dyDescent="0.25">
      <c r="E597" s="826"/>
      <c r="H597" s="849">
        <v>58</v>
      </c>
      <c r="I597" s="828"/>
      <c r="J597" s="827"/>
      <c r="K597" s="827"/>
      <c r="L597" s="827"/>
      <c r="M597" s="851"/>
      <c r="N597" s="826">
        <v>564</v>
      </c>
      <c r="O597" s="827"/>
      <c r="P597" s="827"/>
      <c r="Q597" s="827"/>
      <c r="R597" s="827"/>
      <c r="S597" s="827"/>
      <c r="T597" s="827"/>
      <c r="U597" s="827"/>
      <c r="V597" s="827"/>
      <c r="W597" s="826">
        <v>184</v>
      </c>
      <c r="X597" s="826">
        <v>192</v>
      </c>
      <c r="Y597" s="827"/>
      <c r="Z597" s="827"/>
      <c r="AA597" s="826">
        <v>511</v>
      </c>
      <c r="AB597" s="827"/>
      <c r="AC597" s="828"/>
      <c r="AD597" s="827"/>
      <c r="AE597" s="827"/>
      <c r="AF597" s="827"/>
      <c r="AG597" s="827"/>
      <c r="AH597" s="827"/>
      <c r="AI597" s="826">
        <v>476</v>
      </c>
      <c r="AJ597" s="827"/>
      <c r="EB597" s="846"/>
    </row>
    <row r="598" spans="5:132" ht="18" x14ac:dyDescent="0.25">
      <c r="E598" s="826"/>
      <c r="H598" s="849">
        <v>59</v>
      </c>
      <c r="I598" s="828"/>
      <c r="J598" s="827"/>
      <c r="K598" s="827"/>
      <c r="L598" s="827"/>
      <c r="M598" s="851"/>
      <c r="N598" s="826">
        <v>565</v>
      </c>
      <c r="O598" s="827"/>
      <c r="P598" s="827"/>
      <c r="Q598" s="827"/>
      <c r="R598" s="827"/>
      <c r="S598" s="827"/>
      <c r="T598" s="827"/>
      <c r="U598" s="827"/>
      <c r="V598" s="827"/>
      <c r="W598" s="826">
        <v>185</v>
      </c>
      <c r="X598" s="826">
        <v>235</v>
      </c>
      <c r="Y598" s="827"/>
      <c r="Z598" s="827"/>
      <c r="AA598" s="826">
        <v>512</v>
      </c>
      <c r="AB598" s="827"/>
      <c r="AC598" s="828"/>
      <c r="AD598" s="827"/>
      <c r="AE598" s="827"/>
      <c r="AF598" s="827"/>
      <c r="AG598" s="827"/>
      <c r="AH598" s="827"/>
      <c r="AI598" s="826">
        <v>520</v>
      </c>
      <c r="AJ598" s="827"/>
      <c r="EB598" s="846"/>
    </row>
    <row r="599" spans="5:132" ht="18" x14ac:dyDescent="0.25">
      <c r="E599" s="826"/>
      <c r="H599" s="849">
        <v>60</v>
      </c>
      <c r="I599" s="828"/>
      <c r="J599" s="827"/>
      <c r="K599" s="827"/>
      <c r="L599" s="827"/>
      <c r="M599" s="851"/>
      <c r="N599" s="826">
        <v>566</v>
      </c>
      <c r="O599" s="827"/>
      <c r="P599" s="827"/>
      <c r="Q599" s="827"/>
      <c r="R599" s="827"/>
      <c r="S599" s="827"/>
      <c r="T599" s="827"/>
      <c r="U599" s="827"/>
      <c r="V599" s="827"/>
      <c r="W599" s="826">
        <v>186</v>
      </c>
      <c r="X599" s="826">
        <v>294</v>
      </c>
      <c r="Y599" s="827"/>
      <c r="Z599" s="827"/>
      <c r="AA599" s="826">
        <v>513</v>
      </c>
      <c r="AB599" s="827"/>
      <c r="AC599" s="828"/>
      <c r="AD599" s="827"/>
      <c r="AE599" s="827"/>
      <c r="AF599" s="827"/>
      <c r="AG599" s="827"/>
      <c r="AH599" s="827"/>
      <c r="AI599" s="826">
        <v>527</v>
      </c>
      <c r="AJ599" s="827"/>
      <c r="EB599" s="846"/>
    </row>
    <row r="600" spans="5:132" ht="18" x14ac:dyDescent="0.25">
      <c r="E600" s="826"/>
      <c r="H600" s="849">
        <v>61</v>
      </c>
      <c r="I600" s="828"/>
      <c r="J600" s="827"/>
      <c r="K600" s="827"/>
      <c r="L600" s="827"/>
      <c r="M600" s="851"/>
      <c r="N600" s="826">
        <v>567</v>
      </c>
      <c r="O600" s="827"/>
      <c r="P600" s="827"/>
      <c r="Q600" s="827"/>
      <c r="R600" s="827"/>
      <c r="S600" s="827"/>
      <c r="T600" s="827"/>
      <c r="U600" s="827"/>
      <c r="V600" s="827"/>
      <c r="W600" s="826">
        <v>187</v>
      </c>
      <c r="X600" s="826">
        <v>295</v>
      </c>
      <c r="Y600" s="827"/>
      <c r="Z600" s="827"/>
      <c r="AA600" s="826">
        <v>514</v>
      </c>
      <c r="AB600" s="827"/>
      <c r="AC600" s="828"/>
      <c r="AD600" s="827"/>
      <c r="AE600" s="827"/>
      <c r="AF600" s="827"/>
      <c r="AG600" s="827"/>
      <c r="AH600" s="827"/>
      <c r="AI600" s="826">
        <v>528</v>
      </c>
      <c r="AJ600" s="827"/>
      <c r="EB600" s="846"/>
    </row>
    <row r="601" spans="5:132" ht="18" x14ac:dyDescent="0.25">
      <c r="E601" s="826"/>
      <c r="H601" s="849">
        <v>62</v>
      </c>
      <c r="I601" s="828"/>
      <c r="J601" s="827"/>
      <c r="K601" s="827"/>
      <c r="L601" s="827"/>
      <c r="M601" s="851"/>
      <c r="N601" s="827"/>
      <c r="O601" s="827"/>
      <c r="P601" s="827"/>
      <c r="Q601" s="827"/>
      <c r="R601" s="827"/>
      <c r="S601" s="827"/>
      <c r="T601" s="827"/>
      <c r="U601" s="827"/>
      <c r="V601" s="827"/>
      <c r="W601" s="826">
        <v>193</v>
      </c>
      <c r="X601" s="826">
        <v>296</v>
      </c>
      <c r="Y601" s="827"/>
      <c r="Z601" s="827"/>
      <c r="AA601" s="826">
        <v>515</v>
      </c>
      <c r="AB601" s="827"/>
      <c r="AC601" s="828"/>
      <c r="AD601" s="827"/>
      <c r="AE601" s="827"/>
      <c r="AF601" s="827"/>
      <c r="AG601" s="827"/>
      <c r="AH601" s="827"/>
      <c r="AI601" s="826">
        <v>529</v>
      </c>
      <c r="AJ601" s="827"/>
      <c r="EB601" s="846"/>
    </row>
    <row r="602" spans="5:132" ht="18" x14ac:dyDescent="0.25">
      <c r="E602" s="826"/>
      <c r="H602" s="849">
        <v>63</v>
      </c>
      <c r="I602" s="828"/>
      <c r="J602" s="827"/>
      <c r="K602" s="827"/>
      <c r="L602" s="827"/>
      <c r="M602" s="851"/>
      <c r="N602" s="827"/>
      <c r="O602" s="827"/>
      <c r="P602" s="827"/>
      <c r="Q602" s="827"/>
      <c r="R602" s="827"/>
      <c r="S602" s="827"/>
      <c r="T602" s="827"/>
      <c r="U602" s="827"/>
      <c r="V602" s="827"/>
      <c r="W602" s="826">
        <v>194</v>
      </c>
      <c r="X602" s="826">
        <v>521</v>
      </c>
      <c r="Y602" s="827"/>
      <c r="Z602" s="827"/>
      <c r="AA602" s="826">
        <v>516</v>
      </c>
      <c r="AB602" s="827"/>
      <c r="AC602" s="828"/>
      <c r="AD602" s="827"/>
      <c r="AE602" s="827"/>
      <c r="AF602" s="827"/>
      <c r="AG602" s="827"/>
      <c r="AH602" s="827"/>
      <c r="AI602" s="826">
        <v>557</v>
      </c>
      <c r="AJ602" s="827"/>
      <c r="EB602" s="846"/>
    </row>
    <row r="603" spans="5:132" ht="18" x14ac:dyDescent="0.25">
      <c r="E603" s="826"/>
      <c r="H603" s="849">
        <v>64</v>
      </c>
      <c r="I603" s="828"/>
      <c r="J603" s="827"/>
      <c r="K603" s="827"/>
      <c r="L603" s="827"/>
      <c r="M603" s="851"/>
      <c r="N603" s="827"/>
      <c r="O603" s="827"/>
      <c r="P603" s="827"/>
      <c r="Q603" s="827"/>
      <c r="R603" s="827"/>
      <c r="S603" s="827"/>
      <c r="T603" s="827"/>
      <c r="U603" s="827"/>
      <c r="V603" s="827"/>
      <c r="W603" s="826">
        <v>197</v>
      </c>
      <c r="X603" s="826">
        <v>575</v>
      </c>
      <c r="Y603" s="827"/>
      <c r="Z603" s="827"/>
      <c r="AA603" s="826">
        <v>517</v>
      </c>
      <c r="AB603" s="827"/>
      <c r="AC603" s="828"/>
      <c r="AD603" s="827"/>
      <c r="AE603" s="827"/>
      <c r="AF603" s="827"/>
      <c r="AG603" s="827"/>
      <c r="AH603" s="827"/>
      <c r="AI603" s="826">
        <v>572</v>
      </c>
      <c r="AJ603" s="827"/>
      <c r="EB603" s="846"/>
    </row>
    <row r="604" spans="5:132" ht="18" x14ac:dyDescent="0.25">
      <c r="E604" s="826"/>
      <c r="H604" s="849">
        <v>65</v>
      </c>
      <c r="I604" s="828"/>
      <c r="J604" s="827"/>
      <c r="K604" s="827"/>
      <c r="L604" s="827"/>
      <c r="M604" s="851"/>
      <c r="N604" s="827"/>
      <c r="O604" s="827"/>
      <c r="P604" s="827"/>
      <c r="Q604" s="827"/>
      <c r="R604" s="827"/>
      <c r="S604" s="827"/>
      <c r="T604" s="827"/>
      <c r="U604" s="827"/>
      <c r="V604" s="827"/>
      <c r="W604" s="826">
        <v>213</v>
      </c>
      <c r="X604" s="827"/>
      <c r="Y604" s="827"/>
      <c r="Z604" s="827"/>
      <c r="AA604" s="826">
        <v>546</v>
      </c>
      <c r="AB604" s="827"/>
      <c r="AC604" s="828"/>
      <c r="AD604" s="827"/>
      <c r="AE604" s="827"/>
      <c r="AF604" s="827"/>
      <c r="AG604" s="827"/>
      <c r="AH604" s="827"/>
      <c r="AI604" s="826">
        <v>584</v>
      </c>
      <c r="AJ604" s="827"/>
      <c r="EB604" s="846"/>
    </row>
    <row r="605" spans="5:132" ht="18" x14ac:dyDescent="0.25">
      <c r="E605" s="826"/>
      <c r="H605" s="849">
        <v>66</v>
      </c>
      <c r="I605" s="828"/>
      <c r="J605" s="827"/>
      <c r="K605" s="827"/>
      <c r="L605" s="827"/>
      <c r="M605" s="851"/>
      <c r="N605" s="827"/>
      <c r="O605" s="827"/>
      <c r="P605" s="827"/>
      <c r="Q605" s="827"/>
      <c r="R605" s="827"/>
      <c r="S605" s="827"/>
      <c r="T605" s="827"/>
      <c r="U605" s="827"/>
      <c r="V605" s="827"/>
      <c r="W605" s="826">
        <v>214</v>
      </c>
      <c r="X605" s="827"/>
      <c r="Y605" s="827"/>
      <c r="Z605" s="827"/>
      <c r="AA605" s="826">
        <v>551</v>
      </c>
      <c r="AB605" s="827"/>
      <c r="AC605" s="828"/>
      <c r="AD605" s="827"/>
      <c r="AE605" s="827"/>
      <c r="AF605" s="827"/>
      <c r="AG605" s="827"/>
      <c r="AH605" s="827"/>
      <c r="AI605" s="826">
        <v>585</v>
      </c>
      <c r="AJ605" s="827"/>
      <c r="EB605" s="846"/>
    </row>
    <row r="606" spans="5:132" ht="18" x14ac:dyDescent="0.25">
      <c r="E606" s="826"/>
      <c r="H606" s="849">
        <v>67</v>
      </c>
      <c r="I606" s="828"/>
      <c r="J606" s="827"/>
      <c r="K606" s="827"/>
      <c r="L606" s="827"/>
      <c r="M606" s="851"/>
      <c r="N606" s="827"/>
      <c r="O606" s="827"/>
      <c r="P606" s="827"/>
      <c r="Q606" s="827"/>
      <c r="R606" s="827"/>
      <c r="S606" s="827"/>
      <c r="T606" s="827"/>
      <c r="U606" s="827"/>
      <c r="V606" s="827"/>
      <c r="W606" s="826">
        <v>215</v>
      </c>
      <c r="X606" s="827"/>
      <c r="Y606" s="827"/>
      <c r="Z606" s="827"/>
      <c r="AA606" s="826">
        <v>556</v>
      </c>
      <c r="AB606" s="827"/>
      <c r="AC606" s="828"/>
      <c r="AD606" s="827"/>
      <c r="AE606" s="827"/>
      <c r="AF606" s="827"/>
      <c r="AG606" s="827"/>
      <c r="AH606" s="827"/>
      <c r="AI606" s="826">
        <v>597</v>
      </c>
      <c r="AJ606" s="827"/>
      <c r="EB606" s="846"/>
    </row>
    <row r="607" spans="5:132" ht="18" x14ac:dyDescent="0.25">
      <c r="E607" s="826"/>
      <c r="H607" s="849">
        <v>68</v>
      </c>
      <c r="I607" s="828"/>
      <c r="J607" s="827"/>
      <c r="K607" s="827"/>
      <c r="L607" s="827"/>
      <c r="M607" s="851"/>
      <c r="N607" s="827"/>
      <c r="O607" s="827"/>
      <c r="P607" s="827"/>
      <c r="Q607" s="827"/>
      <c r="R607" s="827"/>
      <c r="S607" s="827"/>
      <c r="T607" s="827"/>
      <c r="U607" s="827"/>
      <c r="V607" s="827"/>
      <c r="W607" s="826">
        <v>216</v>
      </c>
      <c r="X607" s="827"/>
      <c r="Y607" s="827"/>
      <c r="Z607" s="827"/>
      <c r="AA607" s="827"/>
      <c r="AB607" s="827"/>
      <c r="AC607" s="828"/>
      <c r="AD607" s="827"/>
      <c r="AE607" s="827"/>
      <c r="AF607" s="827"/>
      <c r="AG607" s="827"/>
      <c r="AH607" s="827"/>
      <c r="AI607" s="827"/>
      <c r="AJ607" s="827"/>
      <c r="EB607" s="846"/>
    </row>
    <row r="608" spans="5:132" ht="18" x14ac:dyDescent="0.25">
      <c r="E608" s="826"/>
      <c r="H608" s="849">
        <v>69</v>
      </c>
      <c r="I608" s="828"/>
      <c r="J608" s="827"/>
      <c r="K608" s="827"/>
      <c r="L608" s="827"/>
      <c r="M608" s="851"/>
      <c r="N608" s="827"/>
      <c r="O608" s="827"/>
      <c r="P608" s="827"/>
      <c r="Q608" s="827"/>
      <c r="R608" s="827"/>
      <c r="S608" s="827"/>
      <c r="T608" s="827"/>
      <c r="U608" s="827"/>
      <c r="V608" s="827"/>
      <c r="W608" s="826">
        <v>226</v>
      </c>
      <c r="X608" s="827"/>
      <c r="Y608" s="827"/>
      <c r="Z608" s="827"/>
      <c r="AA608" s="827"/>
      <c r="AB608" s="827"/>
      <c r="AC608" s="852"/>
      <c r="AD608" s="827"/>
      <c r="AE608" s="827"/>
      <c r="AF608" s="827"/>
      <c r="AG608" s="827"/>
      <c r="AH608" s="827"/>
      <c r="AI608" s="827"/>
      <c r="AJ608" s="827"/>
      <c r="EB608" s="846"/>
    </row>
    <row r="609" spans="5:132" ht="18" x14ac:dyDescent="0.25">
      <c r="E609" s="826"/>
      <c r="H609" s="849">
        <v>70</v>
      </c>
      <c r="I609" s="828"/>
      <c r="J609" s="827"/>
      <c r="K609" s="827"/>
      <c r="L609" s="827"/>
      <c r="M609" s="851"/>
      <c r="N609" s="827"/>
      <c r="O609" s="827"/>
      <c r="P609" s="827"/>
      <c r="Q609" s="827"/>
      <c r="R609" s="827"/>
      <c r="S609" s="827"/>
      <c r="T609" s="827"/>
      <c r="U609" s="827"/>
      <c r="V609" s="827"/>
      <c r="W609" s="826">
        <v>227</v>
      </c>
      <c r="X609" s="827"/>
      <c r="Y609" s="827"/>
      <c r="Z609" s="827"/>
      <c r="AA609" s="827"/>
      <c r="AB609" s="827"/>
      <c r="AC609" s="828"/>
      <c r="AD609" s="827"/>
      <c r="AE609" s="827"/>
      <c r="AF609" s="827"/>
      <c r="AG609" s="827"/>
      <c r="AH609" s="827"/>
      <c r="AI609" s="827"/>
      <c r="AJ609" s="827"/>
      <c r="EB609" s="846"/>
    </row>
    <row r="610" spans="5:132" ht="18" x14ac:dyDescent="0.25">
      <c r="E610" s="826"/>
      <c r="H610" s="849">
        <v>71</v>
      </c>
      <c r="I610" s="828"/>
      <c r="J610" s="827"/>
      <c r="K610" s="827"/>
      <c r="L610" s="827"/>
      <c r="M610" s="851"/>
      <c r="N610" s="827"/>
      <c r="O610" s="827"/>
      <c r="P610" s="827"/>
      <c r="Q610" s="827"/>
      <c r="R610" s="827"/>
      <c r="S610" s="827"/>
      <c r="T610" s="827"/>
      <c r="U610" s="827"/>
      <c r="V610" s="827"/>
      <c r="W610" s="826">
        <v>228</v>
      </c>
      <c r="X610" s="827"/>
      <c r="Y610" s="827"/>
      <c r="Z610" s="827"/>
      <c r="AA610" s="827"/>
      <c r="AB610" s="827"/>
      <c r="AC610" s="852"/>
      <c r="AD610" s="827"/>
      <c r="AE610" s="827"/>
      <c r="AF610" s="827"/>
      <c r="AG610" s="827"/>
      <c r="AH610" s="827"/>
      <c r="AI610" s="827"/>
      <c r="AJ610" s="827"/>
      <c r="EB610" s="846"/>
    </row>
    <row r="611" spans="5:132" ht="18" x14ac:dyDescent="0.25">
      <c r="E611" s="826"/>
      <c r="H611" s="849">
        <v>80</v>
      </c>
      <c r="I611" s="828"/>
      <c r="J611" s="827"/>
      <c r="K611" s="827"/>
      <c r="L611" s="827"/>
      <c r="M611" s="851"/>
      <c r="N611" s="827"/>
      <c r="O611" s="827"/>
      <c r="P611" s="827"/>
      <c r="Q611" s="827"/>
      <c r="R611" s="827"/>
      <c r="S611" s="827"/>
      <c r="T611" s="827"/>
      <c r="U611" s="827"/>
      <c r="V611" s="827"/>
      <c r="W611" s="826">
        <v>229</v>
      </c>
      <c r="X611" s="827"/>
      <c r="Y611" s="827"/>
      <c r="Z611" s="827"/>
      <c r="AA611" s="827"/>
      <c r="AB611" s="827"/>
      <c r="AC611" s="828"/>
      <c r="AD611" s="827"/>
      <c r="AE611" s="827"/>
      <c r="AF611" s="827"/>
      <c r="AG611" s="827"/>
      <c r="AH611" s="827"/>
      <c r="AI611" s="827"/>
      <c r="AJ611" s="827"/>
      <c r="EB611" s="846"/>
    </row>
    <row r="612" spans="5:132" ht="18" x14ac:dyDescent="0.25">
      <c r="E612" s="826"/>
      <c r="H612" s="849">
        <v>81</v>
      </c>
      <c r="I612" s="850"/>
      <c r="J612" s="827"/>
      <c r="K612" s="827"/>
      <c r="L612" s="827"/>
      <c r="M612" s="851"/>
      <c r="N612" s="827"/>
      <c r="O612" s="827"/>
      <c r="P612" s="827"/>
      <c r="Q612" s="827"/>
      <c r="R612" s="827"/>
      <c r="S612" s="827"/>
      <c r="T612" s="827"/>
      <c r="U612" s="827"/>
      <c r="V612" s="827"/>
      <c r="W612" s="826">
        <v>230</v>
      </c>
      <c r="X612" s="827"/>
      <c r="Y612" s="827"/>
      <c r="Z612" s="827"/>
      <c r="AA612" s="827"/>
      <c r="AB612" s="827"/>
      <c r="AC612" s="828"/>
      <c r="AD612" s="827"/>
      <c r="AE612" s="827"/>
      <c r="AF612" s="827"/>
      <c r="AG612" s="827"/>
      <c r="AH612" s="827"/>
      <c r="AI612" s="827"/>
      <c r="AJ612" s="827"/>
      <c r="EB612" s="846"/>
    </row>
    <row r="613" spans="5:132" ht="18" x14ac:dyDescent="0.25">
      <c r="E613" s="826"/>
      <c r="H613" s="849">
        <v>82</v>
      </c>
      <c r="I613" s="828"/>
      <c r="J613" s="827"/>
      <c r="K613" s="827"/>
      <c r="L613" s="827"/>
      <c r="M613" s="851"/>
      <c r="N613" s="827"/>
      <c r="O613" s="827"/>
      <c r="P613" s="827"/>
      <c r="Q613" s="827"/>
      <c r="R613" s="827"/>
      <c r="S613" s="827"/>
      <c r="T613" s="827"/>
      <c r="U613" s="827"/>
      <c r="V613" s="827"/>
      <c r="W613" s="826">
        <v>231</v>
      </c>
      <c r="X613" s="827"/>
      <c r="Y613" s="827"/>
      <c r="Z613" s="827"/>
      <c r="AA613" s="827"/>
      <c r="AB613" s="827"/>
      <c r="AC613" s="828"/>
      <c r="AD613" s="827"/>
      <c r="AE613" s="827"/>
      <c r="AF613" s="827"/>
      <c r="AG613" s="827"/>
      <c r="AH613" s="827"/>
      <c r="AI613" s="827"/>
      <c r="AJ613" s="827"/>
      <c r="EB613" s="846"/>
    </row>
    <row r="614" spans="5:132" ht="18" x14ac:dyDescent="0.25">
      <c r="E614" s="826"/>
      <c r="H614" s="849">
        <v>83</v>
      </c>
      <c r="I614" s="828"/>
      <c r="J614" s="827"/>
      <c r="K614" s="827"/>
      <c r="L614" s="827"/>
      <c r="M614" s="851"/>
      <c r="N614" s="827"/>
      <c r="O614" s="827"/>
      <c r="P614" s="827"/>
      <c r="Q614" s="827"/>
      <c r="R614" s="827"/>
      <c r="S614" s="827"/>
      <c r="T614" s="827"/>
      <c r="U614" s="827"/>
      <c r="V614" s="827"/>
      <c r="W614" s="826">
        <v>236</v>
      </c>
      <c r="X614" s="827"/>
      <c r="Y614" s="827"/>
      <c r="Z614" s="827"/>
      <c r="AA614" s="827"/>
      <c r="AB614" s="827"/>
      <c r="AC614" s="828"/>
      <c r="AD614" s="827"/>
      <c r="AE614" s="827"/>
      <c r="AF614" s="827"/>
      <c r="AG614" s="827"/>
      <c r="AH614" s="827"/>
      <c r="AI614" s="827"/>
      <c r="AJ614" s="827"/>
      <c r="EB614" s="846"/>
    </row>
    <row r="615" spans="5:132" ht="18" x14ac:dyDescent="0.25">
      <c r="E615" s="826"/>
      <c r="H615" s="849">
        <v>84</v>
      </c>
      <c r="I615" s="828"/>
      <c r="J615" s="827"/>
      <c r="K615" s="827"/>
      <c r="L615" s="827"/>
      <c r="M615" s="851"/>
      <c r="N615" s="827"/>
      <c r="O615" s="827"/>
      <c r="P615" s="827"/>
      <c r="Q615" s="827"/>
      <c r="R615" s="827"/>
      <c r="S615" s="827"/>
      <c r="T615" s="827"/>
      <c r="U615" s="827"/>
      <c r="V615" s="827"/>
      <c r="W615" s="826">
        <v>237</v>
      </c>
      <c r="X615" s="827"/>
      <c r="Y615" s="827"/>
      <c r="Z615" s="827"/>
      <c r="AA615" s="827"/>
      <c r="AB615" s="827"/>
      <c r="AC615" s="828"/>
      <c r="AD615" s="827"/>
      <c r="AE615" s="827"/>
      <c r="AF615" s="827"/>
      <c r="AG615" s="827"/>
      <c r="AH615" s="827"/>
      <c r="AI615" s="827"/>
      <c r="AJ615" s="827"/>
      <c r="EB615" s="846"/>
    </row>
    <row r="616" spans="5:132" ht="18" x14ac:dyDescent="0.25">
      <c r="E616" s="826"/>
      <c r="H616" s="849">
        <v>85</v>
      </c>
      <c r="I616" s="828"/>
      <c r="J616" s="827"/>
      <c r="K616" s="827"/>
      <c r="L616" s="827"/>
      <c r="M616" s="851"/>
      <c r="N616" s="827"/>
      <c r="O616" s="827"/>
      <c r="P616" s="827"/>
      <c r="Q616" s="827"/>
      <c r="R616" s="827"/>
      <c r="S616" s="827"/>
      <c r="T616" s="827"/>
      <c r="U616" s="827"/>
      <c r="V616" s="827"/>
      <c r="W616" s="826">
        <v>248</v>
      </c>
      <c r="X616" s="827"/>
      <c r="Y616" s="827"/>
      <c r="Z616" s="827"/>
      <c r="AA616" s="827"/>
      <c r="AB616" s="827"/>
      <c r="AC616" s="828"/>
      <c r="AD616" s="827"/>
      <c r="AE616" s="827"/>
      <c r="AF616" s="827"/>
      <c r="AG616" s="827"/>
      <c r="AH616" s="827"/>
      <c r="AI616" s="827"/>
      <c r="AJ616" s="827"/>
      <c r="EB616" s="846"/>
    </row>
    <row r="617" spans="5:132" ht="18" x14ac:dyDescent="0.25">
      <c r="E617" s="826"/>
      <c r="H617" s="849">
        <v>86</v>
      </c>
      <c r="I617" s="828"/>
      <c r="J617" s="827"/>
      <c r="K617" s="827"/>
      <c r="L617" s="827"/>
      <c r="M617" s="851"/>
      <c r="N617" s="827"/>
      <c r="O617" s="827"/>
      <c r="P617" s="827"/>
      <c r="Q617" s="827"/>
      <c r="R617" s="827"/>
      <c r="S617" s="827"/>
      <c r="T617" s="827"/>
      <c r="U617" s="827"/>
      <c r="V617" s="827"/>
      <c r="W617" s="826">
        <v>249</v>
      </c>
      <c r="X617" s="827"/>
      <c r="Y617" s="827"/>
      <c r="Z617" s="827"/>
      <c r="AA617" s="827"/>
      <c r="AB617" s="827"/>
      <c r="AC617" s="828"/>
      <c r="AD617" s="827"/>
      <c r="AE617" s="827"/>
      <c r="AF617" s="827"/>
      <c r="AG617" s="827"/>
      <c r="AH617" s="827"/>
      <c r="AI617" s="827"/>
      <c r="AJ617" s="827"/>
      <c r="EB617" s="846"/>
    </row>
    <row r="618" spans="5:132" ht="18" x14ac:dyDescent="0.25">
      <c r="E618" s="826"/>
      <c r="H618" s="849">
        <v>87</v>
      </c>
      <c r="I618" s="828"/>
      <c r="J618" s="827"/>
      <c r="K618" s="827"/>
      <c r="L618" s="827"/>
      <c r="M618" s="851"/>
      <c r="N618" s="827"/>
      <c r="O618" s="827"/>
      <c r="P618" s="827"/>
      <c r="Q618" s="827"/>
      <c r="R618" s="827"/>
      <c r="S618" s="827"/>
      <c r="T618" s="827"/>
      <c r="U618" s="827"/>
      <c r="V618" s="827"/>
      <c r="W618" s="826">
        <v>250</v>
      </c>
      <c r="X618" s="827"/>
      <c r="Y618" s="827"/>
      <c r="Z618" s="827"/>
      <c r="AA618" s="827"/>
      <c r="AB618" s="827"/>
      <c r="AC618" s="828"/>
      <c r="AD618" s="827"/>
      <c r="AE618" s="827"/>
      <c r="AF618" s="827"/>
      <c r="AG618" s="827"/>
      <c r="AH618" s="827"/>
      <c r="AI618" s="827"/>
      <c r="AJ618" s="827"/>
      <c r="EB618" s="846"/>
    </row>
    <row r="619" spans="5:132" ht="18" x14ac:dyDescent="0.25">
      <c r="E619" s="826"/>
      <c r="H619" s="849">
        <v>88</v>
      </c>
      <c r="I619" s="828"/>
      <c r="J619" s="827"/>
      <c r="K619" s="827"/>
      <c r="L619" s="827"/>
      <c r="M619" s="851"/>
      <c r="N619" s="827"/>
      <c r="O619" s="827"/>
      <c r="P619" s="827"/>
      <c r="Q619" s="827"/>
      <c r="R619" s="827"/>
      <c r="S619" s="827"/>
      <c r="T619" s="827"/>
      <c r="U619" s="827"/>
      <c r="V619" s="827"/>
      <c r="W619" s="826">
        <v>252</v>
      </c>
      <c r="X619" s="827"/>
      <c r="Y619" s="827"/>
      <c r="Z619" s="827"/>
      <c r="AA619" s="827"/>
      <c r="AB619" s="827"/>
      <c r="AC619" s="828"/>
      <c r="AD619" s="827"/>
      <c r="AE619" s="827"/>
      <c r="AF619" s="827"/>
      <c r="AG619" s="827"/>
      <c r="AH619" s="827"/>
      <c r="AI619" s="827"/>
      <c r="AJ619" s="827"/>
      <c r="EB619" s="846"/>
    </row>
    <row r="620" spans="5:132" ht="18" x14ac:dyDescent="0.25">
      <c r="E620" s="826"/>
      <c r="H620" s="849">
        <v>89</v>
      </c>
      <c r="I620" s="828"/>
      <c r="J620" s="827"/>
      <c r="K620" s="827"/>
      <c r="L620" s="827"/>
      <c r="M620" s="851"/>
      <c r="N620" s="827"/>
      <c r="O620" s="827"/>
      <c r="P620" s="827"/>
      <c r="Q620" s="827"/>
      <c r="R620" s="827"/>
      <c r="S620" s="827"/>
      <c r="T620" s="827"/>
      <c r="U620" s="827"/>
      <c r="V620" s="827"/>
      <c r="W620" s="826">
        <v>253</v>
      </c>
      <c r="X620" s="827"/>
      <c r="Y620" s="827"/>
      <c r="Z620" s="827"/>
      <c r="AA620" s="827"/>
      <c r="AB620" s="827"/>
      <c r="AC620" s="828"/>
      <c r="AD620" s="827"/>
      <c r="AE620" s="827"/>
      <c r="AF620" s="827"/>
      <c r="AG620" s="827"/>
      <c r="AH620" s="827"/>
      <c r="AI620" s="827"/>
      <c r="AJ620" s="827"/>
      <c r="EB620" s="846"/>
    </row>
    <row r="621" spans="5:132" ht="18" x14ac:dyDescent="0.25">
      <c r="E621" s="826"/>
      <c r="H621" s="849">
        <v>90</v>
      </c>
      <c r="I621" s="828"/>
      <c r="J621" s="827"/>
      <c r="K621" s="827"/>
      <c r="L621" s="827"/>
      <c r="M621" s="851"/>
      <c r="N621" s="827"/>
      <c r="O621" s="827"/>
      <c r="P621" s="827"/>
      <c r="Q621" s="827"/>
      <c r="R621" s="827"/>
      <c r="S621" s="827"/>
      <c r="T621" s="827"/>
      <c r="U621" s="827"/>
      <c r="V621" s="827"/>
      <c r="W621" s="826">
        <v>254</v>
      </c>
      <c r="X621" s="827"/>
      <c r="Y621" s="827"/>
      <c r="Z621" s="827"/>
      <c r="AA621" s="827"/>
      <c r="AB621" s="827"/>
      <c r="AC621" s="828"/>
      <c r="AD621" s="827"/>
      <c r="AE621" s="827"/>
      <c r="AF621" s="827"/>
      <c r="AG621" s="827"/>
      <c r="AH621" s="827"/>
      <c r="AI621" s="827"/>
      <c r="AJ621" s="827"/>
      <c r="EB621" s="846"/>
    </row>
    <row r="622" spans="5:132" ht="18" x14ac:dyDescent="0.25">
      <c r="E622" s="826"/>
      <c r="H622" s="849">
        <v>91</v>
      </c>
      <c r="I622" s="828"/>
      <c r="J622" s="827"/>
      <c r="K622" s="827"/>
      <c r="L622" s="827"/>
      <c r="M622" s="851"/>
      <c r="N622" s="827"/>
      <c r="O622" s="827"/>
      <c r="P622" s="827"/>
      <c r="Q622" s="827"/>
      <c r="R622" s="827"/>
      <c r="S622" s="827"/>
      <c r="T622" s="827"/>
      <c r="U622" s="827"/>
      <c r="V622" s="827"/>
      <c r="W622" s="826">
        <v>255</v>
      </c>
      <c r="X622" s="827"/>
      <c r="Y622" s="827"/>
      <c r="Z622" s="827"/>
      <c r="AA622" s="827"/>
      <c r="AB622" s="827"/>
      <c r="AC622" s="828"/>
      <c r="AD622" s="827"/>
      <c r="AE622" s="827"/>
      <c r="AF622" s="827"/>
      <c r="AG622" s="827"/>
      <c r="AH622" s="827"/>
      <c r="AI622" s="827"/>
      <c r="AJ622" s="827"/>
      <c r="EB622" s="846"/>
    </row>
    <row r="623" spans="5:132" ht="18" x14ac:dyDescent="0.25">
      <c r="E623" s="826"/>
      <c r="H623" s="849">
        <v>92</v>
      </c>
      <c r="I623" s="828"/>
      <c r="J623" s="827"/>
      <c r="K623" s="827"/>
      <c r="L623" s="827"/>
      <c r="M623" s="851"/>
      <c r="N623" s="827"/>
      <c r="O623" s="827"/>
      <c r="P623" s="827"/>
      <c r="Q623" s="827"/>
      <c r="R623" s="827"/>
      <c r="S623" s="827"/>
      <c r="T623" s="827"/>
      <c r="U623" s="827"/>
      <c r="V623" s="827"/>
      <c r="W623" s="826">
        <v>256</v>
      </c>
      <c r="X623" s="827"/>
      <c r="Y623" s="827"/>
      <c r="Z623" s="827"/>
      <c r="AA623" s="827"/>
      <c r="AB623" s="827"/>
      <c r="AC623" s="828"/>
      <c r="AD623" s="827"/>
      <c r="AE623" s="827"/>
      <c r="AF623" s="827"/>
      <c r="AG623" s="827"/>
      <c r="AH623" s="827"/>
      <c r="AI623" s="827"/>
      <c r="AJ623" s="827"/>
      <c r="EB623" s="846"/>
    </row>
    <row r="624" spans="5:132" ht="18" x14ac:dyDescent="0.25">
      <c r="E624" s="826"/>
      <c r="H624" s="849">
        <v>93</v>
      </c>
      <c r="I624" s="828"/>
      <c r="J624" s="827"/>
      <c r="K624" s="827"/>
      <c r="L624" s="827"/>
      <c r="M624" s="851"/>
      <c r="N624" s="827"/>
      <c r="O624" s="827"/>
      <c r="P624" s="827"/>
      <c r="Q624" s="827"/>
      <c r="R624" s="827"/>
      <c r="S624" s="827"/>
      <c r="T624" s="827"/>
      <c r="U624" s="827"/>
      <c r="V624" s="827"/>
      <c r="W624" s="826">
        <v>280</v>
      </c>
      <c r="X624" s="827"/>
      <c r="Y624" s="827"/>
      <c r="Z624" s="827"/>
      <c r="AA624" s="827"/>
      <c r="AB624" s="827"/>
      <c r="AC624" s="828"/>
      <c r="AD624" s="827"/>
      <c r="AE624" s="827"/>
      <c r="AF624" s="827"/>
      <c r="AG624" s="827"/>
      <c r="AH624" s="827"/>
      <c r="AI624" s="827"/>
      <c r="AJ624" s="827"/>
      <c r="EB624" s="846"/>
    </row>
    <row r="625" spans="5:132" ht="18" x14ac:dyDescent="0.25">
      <c r="E625" s="826"/>
      <c r="H625" s="849">
        <v>94</v>
      </c>
      <c r="I625" s="828"/>
      <c r="J625" s="827"/>
      <c r="K625" s="827"/>
      <c r="L625" s="827"/>
      <c r="M625" s="851"/>
      <c r="N625" s="827"/>
      <c r="O625" s="827"/>
      <c r="P625" s="827"/>
      <c r="Q625" s="827"/>
      <c r="R625" s="827"/>
      <c r="S625" s="827"/>
      <c r="T625" s="827"/>
      <c r="U625" s="827"/>
      <c r="V625" s="827"/>
      <c r="W625" s="826">
        <v>281</v>
      </c>
      <c r="X625" s="827"/>
      <c r="Y625" s="827"/>
      <c r="Z625" s="827"/>
      <c r="AA625" s="827"/>
      <c r="AB625" s="827"/>
      <c r="AC625" s="828"/>
      <c r="AD625" s="827"/>
      <c r="AE625" s="827"/>
      <c r="AF625" s="827"/>
      <c r="AG625" s="827"/>
      <c r="AH625" s="827"/>
      <c r="AI625" s="827"/>
      <c r="AJ625" s="827"/>
      <c r="EB625" s="846"/>
    </row>
    <row r="626" spans="5:132" ht="18" x14ac:dyDescent="0.25">
      <c r="E626" s="826"/>
      <c r="H626" s="849">
        <v>95</v>
      </c>
      <c r="I626" s="828"/>
      <c r="J626" s="827"/>
      <c r="K626" s="827"/>
      <c r="L626" s="827"/>
      <c r="M626" s="851"/>
      <c r="N626" s="827"/>
      <c r="O626" s="827"/>
      <c r="P626" s="827"/>
      <c r="Q626" s="827"/>
      <c r="R626" s="827"/>
      <c r="S626" s="827"/>
      <c r="T626" s="827"/>
      <c r="U626" s="827"/>
      <c r="V626" s="827"/>
      <c r="W626" s="826">
        <v>283</v>
      </c>
      <c r="X626" s="827"/>
      <c r="Y626" s="827"/>
      <c r="Z626" s="827"/>
      <c r="AA626" s="827"/>
      <c r="AB626" s="827"/>
      <c r="AC626" s="828"/>
      <c r="AD626" s="827"/>
      <c r="AE626" s="827"/>
      <c r="AF626" s="827"/>
      <c r="AG626" s="827"/>
      <c r="AH626" s="827"/>
      <c r="AI626" s="827"/>
      <c r="AJ626" s="827"/>
      <c r="EB626" s="846"/>
    </row>
    <row r="627" spans="5:132" ht="18" x14ac:dyDescent="0.25">
      <c r="E627" s="826"/>
      <c r="H627" s="849">
        <v>96</v>
      </c>
      <c r="I627" s="828"/>
      <c r="J627" s="827"/>
      <c r="K627" s="827"/>
      <c r="L627" s="827"/>
      <c r="M627" s="851"/>
      <c r="N627" s="827"/>
      <c r="O627" s="827"/>
      <c r="P627" s="827"/>
      <c r="Q627" s="827"/>
      <c r="R627" s="827"/>
      <c r="S627" s="827"/>
      <c r="T627" s="827"/>
      <c r="U627" s="827"/>
      <c r="V627" s="827"/>
      <c r="W627" s="826">
        <v>284</v>
      </c>
      <c r="X627" s="827"/>
      <c r="Y627" s="827"/>
      <c r="Z627" s="827"/>
      <c r="AA627" s="827"/>
      <c r="AB627" s="827"/>
      <c r="AC627" s="828"/>
      <c r="AD627" s="827"/>
      <c r="AE627" s="827"/>
      <c r="AF627" s="827"/>
      <c r="AG627" s="827"/>
      <c r="AH627" s="827"/>
      <c r="AI627" s="827"/>
      <c r="AJ627" s="827"/>
      <c r="EB627" s="846"/>
    </row>
    <row r="628" spans="5:132" ht="18" x14ac:dyDescent="0.25">
      <c r="E628" s="826"/>
      <c r="H628" s="849">
        <v>97</v>
      </c>
      <c r="I628" s="828"/>
      <c r="J628" s="827"/>
      <c r="K628" s="827"/>
      <c r="L628" s="827"/>
      <c r="M628" s="851"/>
      <c r="N628" s="827"/>
      <c r="O628" s="827"/>
      <c r="P628" s="827"/>
      <c r="Q628" s="827"/>
      <c r="R628" s="827"/>
      <c r="S628" s="827"/>
      <c r="T628" s="827"/>
      <c r="U628" s="827"/>
      <c r="V628" s="827"/>
      <c r="W628" s="826">
        <v>285</v>
      </c>
      <c r="X628" s="827"/>
      <c r="Y628" s="827"/>
      <c r="Z628" s="827"/>
      <c r="AA628" s="827"/>
      <c r="AB628" s="827"/>
      <c r="AC628" s="828"/>
      <c r="AD628" s="827"/>
      <c r="AE628" s="827"/>
      <c r="AF628" s="827"/>
      <c r="AG628" s="827"/>
      <c r="AH628" s="827"/>
      <c r="AI628" s="827"/>
      <c r="AJ628" s="827"/>
      <c r="EB628" s="846"/>
    </row>
    <row r="629" spans="5:132" ht="18" x14ac:dyDescent="0.25">
      <c r="E629" s="826"/>
      <c r="H629" s="849">
        <v>98</v>
      </c>
      <c r="I629" s="828"/>
      <c r="J629" s="827"/>
      <c r="K629" s="827"/>
      <c r="L629" s="827"/>
      <c r="M629" s="851"/>
      <c r="N629" s="827"/>
      <c r="O629" s="827"/>
      <c r="P629" s="827"/>
      <c r="Q629" s="827"/>
      <c r="R629" s="827"/>
      <c r="S629" s="827"/>
      <c r="T629" s="827"/>
      <c r="U629" s="827"/>
      <c r="V629" s="827"/>
      <c r="W629" s="826">
        <v>292</v>
      </c>
      <c r="X629" s="827"/>
      <c r="Y629" s="827"/>
      <c r="Z629" s="827"/>
      <c r="AA629" s="827"/>
      <c r="AB629" s="827"/>
      <c r="AC629" s="828"/>
      <c r="AD629" s="827"/>
      <c r="AE629" s="827"/>
      <c r="AF629" s="827"/>
      <c r="AG629" s="827"/>
      <c r="AH629" s="827"/>
      <c r="AI629" s="827"/>
      <c r="AJ629" s="827"/>
      <c r="EB629" s="846"/>
    </row>
    <row r="630" spans="5:132" ht="18" x14ac:dyDescent="0.25">
      <c r="E630" s="826"/>
      <c r="H630" s="849">
        <v>99</v>
      </c>
      <c r="I630" s="828"/>
      <c r="J630" s="827"/>
      <c r="K630" s="827"/>
      <c r="L630" s="827"/>
      <c r="M630" s="851"/>
      <c r="N630" s="827"/>
      <c r="O630" s="827"/>
      <c r="P630" s="827"/>
      <c r="Q630" s="827"/>
      <c r="R630" s="827"/>
      <c r="S630" s="827"/>
      <c r="T630" s="827"/>
      <c r="U630" s="827"/>
      <c r="V630" s="827"/>
      <c r="W630" s="826">
        <v>293</v>
      </c>
      <c r="X630" s="827"/>
      <c r="Y630" s="827"/>
      <c r="Z630" s="827"/>
      <c r="AA630" s="827"/>
      <c r="AB630" s="827"/>
      <c r="AC630" s="828"/>
      <c r="AD630" s="827"/>
      <c r="AE630" s="827"/>
      <c r="AF630" s="827"/>
      <c r="AG630" s="827"/>
      <c r="AH630" s="827"/>
      <c r="AI630" s="827"/>
      <c r="AJ630" s="827"/>
      <c r="EB630" s="846"/>
    </row>
    <row r="631" spans="5:132" ht="18" x14ac:dyDescent="0.25">
      <c r="E631" s="826"/>
      <c r="H631" s="849">
        <v>100</v>
      </c>
      <c r="I631" s="828"/>
      <c r="J631" s="827"/>
      <c r="K631" s="827"/>
      <c r="L631" s="827"/>
      <c r="M631" s="851"/>
      <c r="N631" s="827"/>
      <c r="O631" s="827"/>
      <c r="P631" s="827"/>
      <c r="Q631" s="827"/>
      <c r="R631" s="827"/>
      <c r="S631" s="827"/>
      <c r="T631" s="827"/>
      <c r="U631" s="827"/>
      <c r="V631" s="827"/>
      <c r="W631" s="826">
        <v>314</v>
      </c>
      <c r="X631" s="827"/>
      <c r="Y631" s="827"/>
      <c r="Z631" s="827"/>
      <c r="AA631" s="827"/>
      <c r="AB631" s="827"/>
      <c r="AC631" s="828"/>
      <c r="AD631" s="827"/>
      <c r="AE631" s="827"/>
      <c r="AF631" s="827"/>
      <c r="AG631" s="827"/>
      <c r="AH631" s="827"/>
      <c r="AI631" s="827"/>
      <c r="AJ631" s="827"/>
      <c r="EB631" s="846"/>
    </row>
    <row r="632" spans="5:132" ht="18" x14ac:dyDescent="0.25">
      <c r="E632" s="826"/>
      <c r="H632" s="849">
        <v>101</v>
      </c>
      <c r="I632" s="828"/>
      <c r="J632" s="827"/>
      <c r="K632" s="827"/>
      <c r="L632" s="827"/>
      <c r="M632" s="851"/>
      <c r="N632" s="827"/>
      <c r="O632" s="827"/>
      <c r="P632" s="827"/>
      <c r="Q632" s="827"/>
      <c r="R632" s="827"/>
      <c r="S632" s="827"/>
      <c r="T632" s="827"/>
      <c r="U632" s="827"/>
      <c r="V632" s="827"/>
      <c r="W632" s="826">
        <v>319</v>
      </c>
      <c r="X632" s="827"/>
      <c r="Y632" s="827"/>
      <c r="Z632" s="827"/>
      <c r="AA632" s="827"/>
      <c r="AB632" s="827"/>
      <c r="AC632" s="828"/>
      <c r="AD632" s="827"/>
      <c r="AE632" s="827"/>
      <c r="AF632" s="827"/>
      <c r="AG632" s="827"/>
      <c r="AH632" s="827"/>
      <c r="AI632" s="827"/>
      <c r="AJ632" s="827"/>
      <c r="EB632" s="846"/>
    </row>
    <row r="633" spans="5:132" ht="18" x14ac:dyDescent="0.25">
      <c r="E633" s="826"/>
      <c r="H633" s="849">
        <v>102</v>
      </c>
      <c r="I633" s="828"/>
      <c r="J633" s="827"/>
      <c r="K633" s="827"/>
      <c r="L633" s="827"/>
      <c r="M633" s="851"/>
      <c r="N633" s="827"/>
      <c r="O633" s="827"/>
      <c r="P633" s="827"/>
      <c r="Q633" s="827"/>
      <c r="R633" s="827"/>
      <c r="S633" s="827"/>
      <c r="T633" s="827"/>
      <c r="U633" s="827"/>
      <c r="V633" s="827"/>
      <c r="W633" s="826">
        <v>553</v>
      </c>
      <c r="X633" s="827"/>
      <c r="Y633" s="827"/>
      <c r="Z633" s="827"/>
      <c r="AA633" s="827"/>
      <c r="AB633" s="827"/>
      <c r="AC633" s="828"/>
      <c r="AD633" s="827"/>
      <c r="AE633" s="827"/>
      <c r="AF633" s="827"/>
      <c r="AG633" s="827"/>
      <c r="AH633" s="827"/>
      <c r="AI633" s="827"/>
      <c r="AJ633" s="827"/>
      <c r="EB633" s="846"/>
    </row>
    <row r="634" spans="5:132" ht="18" x14ac:dyDescent="0.25">
      <c r="E634" s="826"/>
      <c r="H634" s="849">
        <v>103</v>
      </c>
      <c r="I634" s="828"/>
      <c r="J634" s="827"/>
      <c r="K634" s="827"/>
      <c r="L634" s="827"/>
      <c r="M634" s="851"/>
      <c r="N634" s="827"/>
      <c r="O634" s="827"/>
      <c r="P634" s="827"/>
      <c r="Q634" s="827"/>
      <c r="R634" s="827"/>
      <c r="S634" s="827"/>
      <c r="T634" s="827"/>
      <c r="U634" s="827"/>
      <c r="V634" s="827"/>
      <c r="W634" s="826">
        <v>554</v>
      </c>
      <c r="X634" s="827"/>
      <c r="Y634" s="827"/>
      <c r="Z634" s="827"/>
      <c r="AA634" s="827"/>
      <c r="AB634" s="827"/>
      <c r="AC634" s="828"/>
      <c r="AD634" s="827"/>
      <c r="AE634" s="827"/>
      <c r="AF634" s="827"/>
      <c r="AG634" s="827"/>
      <c r="AH634" s="827"/>
      <c r="AI634" s="827"/>
      <c r="AJ634" s="827"/>
      <c r="EB634" s="846"/>
    </row>
    <row r="635" spans="5:132" ht="18" x14ac:dyDescent="0.25">
      <c r="E635" s="826"/>
      <c r="H635" s="849">
        <v>104</v>
      </c>
      <c r="I635" s="828"/>
      <c r="J635" s="827"/>
      <c r="K635" s="827"/>
      <c r="L635" s="827"/>
      <c r="M635" s="851"/>
      <c r="N635" s="827"/>
      <c r="O635" s="827"/>
      <c r="P635" s="827"/>
      <c r="Q635" s="827"/>
      <c r="R635" s="827"/>
      <c r="S635" s="827"/>
      <c r="T635" s="827"/>
      <c r="U635" s="827"/>
      <c r="V635" s="827"/>
      <c r="W635" s="826">
        <v>624</v>
      </c>
      <c r="X635" s="827"/>
      <c r="Y635" s="827"/>
      <c r="Z635" s="827"/>
      <c r="AA635" s="827"/>
      <c r="AB635" s="827"/>
      <c r="AC635" s="852"/>
      <c r="AD635" s="827"/>
      <c r="AE635" s="827"/>
      <c r="AF635" s="827"/>
      <c r="AG635" s="827"/>
      <c r="AH635" s="827"/>
      <c r="AI635" s="827"/>
      <c r="AJ635" s="827"/>
      <c r="EB635" s="846"/>
    </row>
    <row r="636" spans="5:132" ht="18" x14ac:dyDescent="0.25">
      <c r="E636" s="826"/>
      <c r="H636" s="849">
        <v>105</v>
      </c>
      <c r="I636" s="828"/>
      <c r="J636" s="827"/>
      <c r="K636" s="827"/>
      <c r="L636" s="827"/>
      <c r="M636" s="851"/>
      <c r="N636" s="827"/>
      <c r="O636" s="827"/>
      <c r="P636" s="827"/>
      <c r="Q636" s="827"/>
      <c r="R636" s="827"/>
      <c r="S636" s="827"/>
      <c r="T636" s="827"/>
      <c r="U636" s="827"/>
      <c r="V636" s="827"/>
      <c r="W636" s="826"/>
      <c r="X636" s="827"/>
      <c r="Y636" s="827"/>
      <c r="Z636" s="827"/>
      <c r="AA636" s="827"/>
      <c r="AB636" s="827"/>
      <c r="AC636" s="828"/>
      <c r="AD636" s="827"/>
      <c r="AE636" s="827"/>
      <c r="AF636" s="827"/>
      <c r="AG636" s="827"/>
      <c r="AH636" s="827"/>
      <c r="AI636" s="827"/>
      <c r="AJ636" s="827"/>
      <c r="EB636" s="846"/>
    </row>
    <row r="637" spans="5:132" ht="18" x14ac:dyDescent="0.25">
      <c r="E637" s="826"/>
      <c r="H637" s="849">
        <v>106</v>
      </c>
      <c r="I637" s="828"/>
      <c r="J637" s="827"/>
      <c r="K637" s="827"/>
      <c r="L637" s="827"/>
      <c r="M637" s="851"/>
      <c r="N637" s="827"/>
      <c r="O637" s="827"/>
      <c r="P637" s="827"/>
      <c r="Q637" s="827"/>
      <c r="R637" s="827"/>
      <c r="S637" s="827"/>
      <c r="T637" s="827"/>
      <c r="U637" s="827"/>
      <c r="V637" s="827"/>
      <c r="W637" s="826"/>
      <c r="X637" s="827"/>
      <c r="Y637" s="827"/>
      <c r="Z637" s="827"/>
      <c r="AA637" s="827"/>
      <c r="AB637" s="827"/>
      <c r="AC637" s="828"/>
      <c r="AD637" s="827"/>
      <c r="AE637" s="827"/>
      <c r="AF637" s="827"/>
      <c r="AG637" s="827"/>
      <c r="AH637" s="827"/>
      <c r="AI637" s="827"/>
      <c r="AJ637" s="827"/>
      <c r="EB637" s="846"/>
    </row>
    <row r="638" spans="5:132" ht="18" x14ac:dyDescent="0.25">
      <c r="E638" s="826"/>
      <c r="H638" s="849">
        <v>108</v>
      </c>
      <c r="I638" s="828"/>
      <c r="J638" s="827"/>
      <c r="K638" s="827"/>
      <c r="L638" s="827"/>
      <c r="M638" s="851"/>
      <c r="N638" s="827"/>
      <c r="O638" s="827"/>
      <c r="P638" s="827"/>
      <c r="Q638" s="827"/>
      <c r="R638" s="827"/>
      <c r="S638" s="827"/>
      <c r="T638" s="827"/>
      <c r="U638" s="827"/>
      <c r="V638" s="827"/>
      <c r="W638" s="826"/>
      <c r="X638" s="827"/>
      <c r="Y638" s="827"/>
      <c r="Z638" s="827"/>
      <c r="AA638" s="827"/>
      <c r="AB638" s="827"/>
      <c r="AC638" s="828"/>
      <c r="AD638" s="827"/>
      <c r="AE638" s="827"/>
      <c r="AF638" s="827"/>
      <c r="AG638" s="827"/>
      <c r="AH638" s="827"/>
      <c r="AI638" s="827"/>
      <c r="AJ638" s="827"/>
      <c r="EB638" s="846"/>
    </row>
    <row r="639" spans="5:132" ht="18" x14ac:dyDescent="0.25">
      <c r="E639" s="826"/>
      <c r="H639" s="849">
        <v>109</v>
      </c>
      <c r="I639" s="828"/>
      <c r="J639" s="827"/>
      <c r="K639" s="827"/>
      <c r="L639" s="827"/>
      <c r="M639" s="851"/>
      <c r="N639" s="827"/>
      <c r="O639" s="827"/>
      <c r="P639" s="827"/>
      <c r="Q639" s="827"/>
      <c r="R639" s="827"/>
      <c r="S639" s="827"/>
      <c r="T639" s="827"/>
      <c r="U639" s="827"/>
      <c r="V639" s="827"/>
      <c r="W639" s="826"/>
      <c r="X639" s="827"/>
      <c r="Y639" s="827"/>
      <c r="Z639" s="827"/>
      <c r="AA639" s="827"/>
      <c r="AB639" s="827"/>
      <c r="AC639" s="828"/>
      <c r="AD639" s="827"/>
      <c r="AE639" s="827"/>
      <c r="AF639" s="827"/>
      <c r="AG639" s="827"/>
      <c r="AH639" s="827"/>
      <c r="AI639" s="827"/>
      <c r="AJ639" s="827"/>
      <c r="EB639" s="846"/>
    </row>
    <row r="640" spans="5:132" ht="18" x14ac:dyDescent="0.25">
      <c r="E640" s="826"/>
      <c r="H640" s="849">
        <v>110</v>
      </c>
      <c r="I640" s="828"/>
      <c r="J640" s="827"/>
      <c r="K640" s="827"/>
      <c r="L640" s="827"/>
      <c r="M640" s="851"/>
      <c r="N640" s="827"/>
      <c r="O640" s="827"/>
      <c r="P640" s="827"/>
      <c r="Q640" s="827"/>
      <c r="R640" s="827"/>
      <c r="S640" s="827"/>
      <c r="T640" s="827"/>
      <c r="U640" s="827"/>
      <c r="V640" s="827"/>
      <c r="W640" s="827"/>
      <c r="X640" s="827"/>
      <c r="Y640" s="827"/>
      <c r="Z640" s="827"/>
      <c r="AA640" s="827"/>
      <c r="AB640" s="827"/>
      <c r="AC640" s="828"/>
      <c r="AD640" s="827"/>
      <c r="AE640" s="827"/>
      <c r="AF640" s="827"/>
      <c r="AG640" s="827"/>
      <c r="AH640" s="827"/>
      <c r="AI640" s="827"/>
      <c r="AJ640" s="827"/>
      <c r="EB640" s="846"/>
    </row>
    <row r="641" spans="5:132" ht="18" x14ac:dyDescent="0.25">
      <c r="E641" s="826"/>
      <c r="H641" s="849">
        <v>111</v>
      </c>
      <c r="I641" s="828"/>
      <c r="J641" s="827"/>
      <c r="K641" s="827"/>
      <c r="L641" s="827"/>
      <c r="M641" s="851"/>
      <c r="N641" s="827"/>
      <c r="O641" s="827"/>
      <c r="P641" s="827"/>
      <c r="Q641" s="827"/>
      <c r="R641" s="827"/>
      <c r="S641" s="827"/>
      <c r="T641" s="827"/>
      <c r="U641" s="827"/>
      <c r="V641" s="827"/>
      <c r="W641" s="827"/>
      <c r="X641" s="827"/>
      <c r="Y641" s="827"/>
      <c r="Z641" s="827"/>
      <c r="AA641" s="827"/>
      <c r="AB641" s="827"/>
      <c r="AC641" s="852"/>
      <c r="AD641" s="827"/>
      <c r="AE641" s="827"/>
      <c r="AF641" s="827"/>
      <c r="AG641" s="827"/>
      <c r="AH641" s="827"/>
      <c r="AI641" s="827"/>
      <c r="AJ641" s="827"/>
      <c r="EB641" s="846"/>
    </row>
    <row r="642" spans="5:132" ht="18" x14ac:dyDescent="0.25">
      <c r="E642" s="826"/>
      <c r="H642" s="849">
        <v>112</v>
      </c>
      <c r="I642" s="828"/>
      <c r="J642" s="827"/>
      <c r="K642" s="827"/>
      <c r="L642" s="827"/>
      <c r="M642" s="851"/>
      <c r="N642" s="827"/>
      <c r="O642" s="827"/>
      <c r="P642" s="827"/>
      <c r="Q642" s="827"/>
      <c r="R642" s="827"/>
      <c r="S642" s="827"/>
      <c r="T642" s="827"/>
      <c r="U642" s="827"/>
      <c r="V642" s="827"/>
      <c r="W642" s="827"/>
      <c r="X642" s="827"/>
      <c r="Y642" s="827"/>
      <c r="Z642" s="827"/>
      <c r="AA642" s="827"/>
      <c r="AB642" s="827"/>
      <c r="AC642" s="828"/>
      <c r="AD642" s="827"/>
      <c r="AE642" s="827"/>
      <c r="AF642" s="827"/>
      <c r="AG642" s="827"/>
      <c r="AH642" s="827"/>
      <c r="AI642" s="827"/>
      <c r="AJ642" s="827"/>
      <c r="EB642" s="846"/>
    </row>
    <row r="643" spans="5:132" ht="18" x14ac:dyDescent="0.25">
      <c r="E643" s="826"/>
      <c r="H643" s="849">
        <v>113</v>
      </c>
      <c r="I643" s="828"/>
      <c r="J643" s="827"/>
      <c r="K643" s="827"/>
      <c r="L643" s="827"/>
      <c r="M643" s="851"/>
      <c r="N643" s="827"/>
      <c r="O643" s="827"/>
      <c r="P643" s="827"/>
      <c r="Q643" s="827"/>
      <c r="R643" s="827"/>
      <c r="S643" s="827"/>
      <c r="T643" s="827"/>
      <c r="U643" s="827"/>
      <c r="V643" s="827"/>
      <c r="W643" s="827"/>
      <c r="X643" s="827"/>
      <c r="Y643" s="827"/>
      <c r="Z643" s="827"/>
      <c r="AA643" s="827"/>
      <c r="AB643" s="827"/>
      <c r="AC643" s="828"/>
      <c r="AD643" s="827"/>
      <c r="AE643" s="827"/>
      <c r="AF643" s="827"/>
      <c r="AG643" s="827"/>
      <c r="AH643" s="827"/>
      <c r="AI643" s="827"/>
      <c r="AJ643" s="827"/>
      <c r="EB643" s="846"/>
    </row>
    <row r="644" spans="5:132" ht="18" x14ac:dyDescent="0.25">
      <c r="E644" s="826"/>
      <c r="H644" s="849">
        <v>114</v>
      </c>
      <c r="I644" s="828"/>
      <c r="J644" s="827"/>
      <c r="K644" s="827"/>
      <c r="L644" s="827"/>
      <c r="M644" s="851"/>
      <c r="N644" s="827"/>
      <c r="O644" s="827"/>
      <c r="P644" s="827"/>
      <c r="Q644" s="827"/>
      <c r="R644" s="827"/>
      <c r="S644" s="827"/>
      <c r="T644" s="827"/>
      <c r="U644" s="827"/>
      <c r="V644" s="827"/>
      <c r="W644" s="827"/>
      <c r="X644" s="827"/>
      <c r="Y644" s="827"/>
      <c r="Z644" s="827"/>
      <c r="AA644" s="827"/>
      <c r="AB644" s="827"/>
      <c r="AC644" s="828"/>
      <c r="AD644" s="827"/>
      <c r="AE644" s="827"/>
      <c r="AF644" s="827"/>
      <c r="AG644" s="827"/>
      <c r="AH644" s="827"/>
      <c r="AI644" s="827"/>
      <c r="AJ644" s="827"/>
      <c r="EB644" s="846"/>
    </row>
    <row r="645" spans="5:132" ht="18" x14ac:dyDescent="0.25">
      <c r="E645" s="826"/>
      <c r="H645" s="849">
        <v>120</v>
      </c>
      <c r="I645" s="828"/>
      <c r="J645" s="827"/>
      <c r="K645" s="827"/>
      <c r="L645" s="827"/>
      <c r="M645" s="851"/>
      <c r="N645" s="827"/>
      <c r="O645" s="827"/>
      <c r="P645" s="827"/>
      <c r="Q645" s="827"/>
      <c r="R645" s="827"/>
      <c r="S645" s="827"/>
      <c r="T645" s="827"/>
      <c r="U645" s="827"/>
      <c r="V645" s="827"/>
      <c r="W645" s="827"/>
      <c r="X645" s="827"/>
      <c r="Y645" s="827"/>
      <c r="Z645" s="827"/>
      <c r="AA645" s="827"/>
      <c r="AB645" s="827"/>
      <c r="AC645" s="852"/>
      <c r="AD645" s="827"/>
      <c r="AE645" s="827"/>
      <c r="AF645" s="827"/>
      <c r="AG645" s="827"/>
      <c r="AH645" s="827"/>
      <c r="AI645" s="827"/>
      <c r="AJ645" s="827"/>
      <c r="EB645" s="846"/>
    </row>
    <row r="646" spans="5:132" ht="18" x14ac:dyDescent="0.25">
      <c r="E646" s="826"/>
      <c r="H646" s="849">
        <v>121</v>
      </c>
      <c r="I646" s="828"/>
      <c r="J646" s="827"/>
      <c r="K646" s="827"/>
      <c r="L646" s="827"/>
      <c r="M646" s="851"/>
      <c r="N646" s="827"/>
      <c r="O646" s="827"/>
      <c r="P646" s="827"/>
      <c r="Q646" s="827"/>
      <c r="R646" s="827"/>
      <c r="S646" s="827"/>
      <c r="T646" s="827"/>
      <c r="U646" s="827"/>
      <c r="V646" s="827"/>
      <c r="W646" s="827"/>
      <c r="X646" s="827"/>
      <c r="Y646" s="827"/>
      <c r="Z646" s="827"/>
      <c r="AA646" s="827"/>
      <c r="AB646" s="827"/>
      <c r="AC646" s="828"/>
      <c r="AD646" s="827"/>
      <c r="AE646" s="827"/>
      <c r="AF646" s="827"/>
      <c r="AG646" s="827"/>
      <c r="AH646" s="827"/>
      <c r="AI646" s="827"/>
      <c r="AJ646" s="827"/>
      <c r="EB646" s="846"/>
    </row>
    <row r="647" spans="5:132" ht="18" x14ac:dyDescent="0.25">
      <c r="E647" s="826"/>
      <c r="H647" s="849">
        <v>122</v>
      </c>
      <c r="I647" s="828"/>
      <c r="J647" s="827"/>
      <c r="K647" s="827"/>
      <c r="L647" s="827"/>
      <c r="M647" s="851"/>
      <c r="N647" s="827"/>
      <c r="O647" s="827"/>
      <c r="P647" s="827"/>
      <c r="Q647" s="827"/>
      <c r="R647" s="827"/>
      <c r="S647" s="827"/>
      <c r="T647" s="827"/>
      <c r="U647" s="827"/>
      <c r="V647" s="827"/>
      <c r="W647" s="827"/>
      <c r="X647" s="827"/>
      <c r="Y647" s="827"/>
      <c r="Z647" s="827"/>
      <c r="AA647" s="827"/>
      <c r="AB647" s="827"/>
      <c r="AC647" s="828"/>
      <c r="AD647" s="827"/>
      <c r="AE647" s="827"/>
      <c r="AF647" s="827"/>
      <c r="AG647" s="827"/>
      <c r="AH647" s="827"/>
      <c r="AI647" s="827"/>
      <c r="AJ647" s="827"/>
      <c r="EB647" s="846"/>
    </row>
    <row r="648" spans="5:132" ht="18" x14ac:dyDescent="0.25">
      <c r="E648" s="826"/>
      <c r="H648" s="849">
        <v>123</v>
      </c>
      <c r="I648" s="828"/>
      <c r="J648" s="827"/>
      <c r="K648" s="827"/>
      <c r="L648" s="827"/>
      <c r="M648" s="851"/>
      <c r="N648" s="827"/>
      <c r="O648" s="827"/>
      <c r="P648" s="827"/>
      <c r="Q648" s="827"/>
      <c r="R648" s="827"/>
      <c r="S648" s="827"/>
      <c r="T648" s="827"/>
      <c r="U648" s="827"/>
      <c r="V648" s="827"/>
      <c r="W648" s="827"/>
      <c r="X648" s="827"/>
      <c r="Y648" s="827"/>
      <c r="Z648" s="827"/>
      <c r="AA648" s="827"/>
      <c r="AB648" s="827"/>
      <c r="AC648" s="828"/>
      <c r="AD648" s="827"/>
      <c r="AE648" s="827"/>
      <c r="AF648" s="827"/>
      <c r="AG648" s="827"/>
      <c r="AH648" s="827"/>
      <c r="AI648" s="827"/>
      <c r="AJ648" s="827"/>
      <c r="EB648" s="846"/>
    </row>
    <row r="649" spans="5:132" ht="18" x14ac:dyDescent="0.25">
      <c r="E649" s="826"/>
      <c r="H649" s="849">
        <v>124</v>
      </c>
      <c r="I649" s="828"/>
      <c r="J649" s="827"/>
      <c r="K649" s="827"/>
      <c r="L649" s="827"/>
      <c r="M649" s="851"/>
      <c r="N649" s="827"/>
      <c r="O649" s="827"/>
      <c r="P649" s="827"/>
      <c r="Q649" s="827"/>
      <c r="R649" s="827"/>
      <c r="S649" s="827"/>
      <c r="T649" s="827"/>
      <c r="U649" s="827"/>
      <c r="V649" s="827"/>
      <c r="W649" s="827"/>
      <c r="X649" s="827"/>
      <c r="Y649" s="827"/>
      <c r="Z649" s="827"/>
      <c r="AA649" s="827"/>
      <c r="AB649" s="827"/>
      <c r="AC649" s="828"/>
      <c r="AD649" s="827"/>
      <c r="AE649" s="827"/>
      <c r="AF649" s="827"/>
      <c r="AG649" s="827"/>
      <c r="AH649" s="827"/>
      <c r="AI649" s="827"/>
      <c r="AJ649" s="827"/>
      <c r="EB649" s="846"/>
    </row>
    <row r="650" spans="5:132" ht="18" x14ac:dyDescent="0.25">
      <c r="E650" s="826"/>
      <c r="H650" s="849">
        <v>125</v>
      </c>
      <c r="I650" s="828"/>
      <c r="J650" s="827"/>
      <c r="K650" s="827"/>
      <c r="L650" s="827"/>
      <c r="M650" s="851"/>
      <c r="N650" s="827"/>
      <c r="O650" s="827"/>
      <c r="P650" s="827"/>
      <c r="Q650" s="827"/>
      <c r="R650" s="827"/>
      <c r="S650" s="827"/>
      <c r="T650" s="827"/>
      <c r="U650" s="827"/>
      <c r="V650" s="827"/>
      <c r="W650" s="827"/>
      <c r="X650" s="827"/>
      <c r="Y650" s="827"/>
      <c r="Z650" s="827"/>
      <c r="AA650" s="827"/>
      <c r="AB650" s="827"/>
      <c r="AC650" s="828"/>
      <c r="AD650" s="827"/>
      <c r="AE650" s="827"/>
      <c r="AF650" s="827"/>
      <c r="AG650" s="827"/>
      <c r="AH650" s="827"/>
      <c r="AI650" s="827"/>
      <c r="AJ650" s="827"/>
      <c r="EB650" s="846"/>
    </row>
    <row r="651" spans="5:132" ht="18" x14ac:dyDescent="0.25">
      <c r="E651" s="826"/>
      <c r="H651" s="849">
        <v>126</v>
      </c>
      <c r="I651" s="828"/>
      <c r="J651" s="827"/>
      <c r="K651" s="827"/>
      <c r="L651" s="827"/>
      <c r="M651" s="851"/>
      <c r="N651" s="827"/>
      <c r="O651" s="827"/>
      <c r="P651" s="827"/>
      <c r="Q651" s="827"/>
      <c r="R651" s="827"/>
      <c r="S651" s="827"/>
      <c r="T651" s="827"/>
      <c r="U651" s="827"/>
      <c r="V651" s="827"/>
      <c r="W651" s="827"/>
      <c r="X651" s="827"/>
      <c r="Y651" s="827"/>
      <c r="Z651" s="827"/>
      <c r="AA651" s="827"/>
      <c r="AB651" s="827"/>
      <c r="AC651" s="828"/>
      <c r="AD651" s="827"/>
      <c r="AE651" s="827"/>
      <c r="AF651" s="827"/>
      <c r="AG651" s="827"/>
      <c r="AH651" s="827"/>
      <c r="AI651" s="827"/>
      <c r="AJ651" s="827"/>
      <c r="EB651" s="846"/>
    </row>
    <row r="652" spans="5:132" ht="18" x14ac:dyDescent="0.25">
      <c r="E652" s="826"/>
      <c r="H652" s="849">
        <v>127</v>
      </c>
      <c r="I652" s="828"/>
      <c r="J652" s="827"/>
      <c r="K652" s="827"/>
      <c r="L652" s="827"/>
      <c r="M652" s="851"/>
      <c r="N652" s="827"/>
      <c r="O652" s="827"/>
      <c r="P652" s="827"/>
      <c r="Q652" s="827"/>
      <c r="R652" s="827"/>
      <c r="S652" s="827"/>
      <c r="T652" s="827"/>
      <c r="U652" s="827"/>
      <c r="V652" s="827"/>
      <c r="W652" s="827"/>
      <c r="X652" s="827"/>
      <c r="Y652" s="827"/>
      <c r="Z652" s="827"/>
      <c r="AA652" s="827"/>
      <c r="AB652" s="827"/>
      <c r="AC652" s="828"/>
      <c r="AD652" s="827"/>
      <c r="AE652" s="827"/>
      <c r="AF652" s="827"/>
      <c r="AG652" s="827"/>
      <c r="AH652" s="827"/>
      <c r="AI652" s="827"/>
      <c r="AJ652" s="827"/>
      <c r="EB652" s="846"/>
    </row>
    <row r="653" spans="5:132" ht="18" x14ac:dyDescent="0.25">
      <c r="E653" s="826"/>
      <c r="H653" s="849">
        <v>128</v>
      </c>
      <c r="I653" s="850"/>
      <c r="J653" s="827"/>
      <c r="K653" s="827"/>
      <c r="L653" s="827"/>
      <c r="M653" s="851"/>
      <c r="N653" s="827"/>
      <c r="O653" s="827"/>
      <c r="P653" s="827"/>
      <c r="Q653" s="827"/>
      <c r="R653" s="827"/>
      <c r="S653" s="827"/>
      <c r="T653" s="827"/>
      <c r="U653" s="827"/>
      <c r="V653" s="827"/>
      <c r="W653" s="827"/>
      <c r="X653" s="827"/>
      <c r="Y653" s="827"/>
      <c r="Z653" s="827"/>
      <c r="AA653" s="827"/>
      <c r="AB653" s="827"/>
      <c r="AC653" s="828"/>
      <c r="AD653" s="827"/>
      <c r="AE653" s="827"/>
      <c r="AF653" s="827"/>
      <c r="AG653" s="827"/>
      <c r="AH653" s="827"/>
      <c r="AI653" s="827"/>
      <c r="AJ653" s="827"/>
      <c r="EB653" s="846"/>
    </row>
    <row r="654" spans="5:132" ht="18" x14ac:dyDescent="0.25">
      <c r="E654" s="826"/>
      <c r="H654" s="849">
        <v>129</v>
      </c>
      <c r="I654" s="828"/>
      <c r="J654" s="827"/>
      <c r="K654" s="827"/>
      <c r="L654" s="827"/>
      <c r="M654" s="851"/>
      <c r="N654" s="827"/>
      <c r="O654" s="827"/>
      <c r="P654" s="827"/>
      <c r="Q654" s="827"/>
      <c r="R654" s="827"/>
      <c r="S654" s="827"/>
      <c r="T654" s="827"/>
      <c r="U654" s="827"/>
      <c r="V654" s="827"/>
      <c r="W654" s="827"/>
      <c r="X654" s="827"/>
      <c r="Y654" s="827"/>
      <c r="Z654" s="827"/>
      <c r="AA654" s="827"/>
      <c r="AB654" s="827"/>
      <c r="AC654" s="828"/>
      <c r="AD654" s="827"/>
      <c r="AE654" s="827"/>
      <c r="AF654" s="827"/>
      <c r="AG654" s="827"/>
      <c r="AH654" s="827"/>
      <c r="AI654" s="827"/>
      <c r="AJ654" s="827"/>
      <c r="EB654" s="846"/>
    </row>
    <row r="655" spans="5:132" ht="18" x14ac:dyDescent="0.25">
      <c r="E655" s="826"/>
      <c r="H655" s="849">
        <v>130</v>
      </c>
      <c r="I655" s="828"/>
      <c r="J655" s="827"/>
      <c r="K655" s="827"/>
      <c r="L655" s="827"/>
      <c r="M655" s="851"/>
      <c r="N655" s="827"/>
      <c r="O655" s="827"/>
      <c r="P655" s="827"/>
      <c r="Q655" s="827"/>
      <c r="R655" s="827"/>
      <c r="S655" s="827"/>
      <c r="T655" s="827"/>
      <c r="U655" s="827"/>
      <c r="V655" s="827"/>
      <c r="W655" s="827"/>
      <c r="X655" s="827"/>
      <c r="Y655" s="827"/>
      <c r="Z655" s="827"/>
      <c r="AA655" s="827"/>
      <c r="AB655" s="827"/>
      <c r="AC655" s="828"/>
      <c r="AD655" s="827"/>
      <c r="AE655" s="827"/>
      <c r="AF655" s="827"/>
      <c r="AG655" s="827"/>
      <c r="AH655" s="827"/>
      <c r="AI655" s="827"/>
      <c r="AJ655" s="827"/>
      <c r="EB655" s="846"/>
    </row>
    <row r="656" spans="5:132" ht="18" x14ac:dyDescent="0.25">
      <c r="E656" s="826"/>
      <c r="H656" s="849">
        <v>131</v>
      </c>
      <c r="I656" s="828"/>
      <c r="J656" s="827"/>
      <c r="K656" s="827"/>
      <c r="L656" s="827"/>
      <c r="M656" s="851"/>
      <c r="N656" s="827"/>
      <c r="O656" s="827"/>
      <c r="P656" s="827"/>
      <c r="Q656" s="827"/>
      <c r="R656" s="827"/>
      <c r="S656" s="827"/>
      <c r="T656" s="827"/>
      <c r="U656" s="827"/>
      <c r="V656" s="827"/>
      <c r="W656" s="827"/>
      <c r="X656" s="827"/>
      <c r="Y656" s="827"/>
      <c r="Z656" s="827"/>
      <c r="AA656" s="827"/>
      <c r="AB656" s="827"/>
      <c r="AC656" s="828"/>
      <c r="AD656" s="827"/>
      <c r="AE656" s="827"/>
      <c r="AF656" s="827"/>
      <c r="AG656" s="827"/>
      <c r="AH656" s="827"/>
      <c r="AI656" s="827"/>
      <c r="AJ656" s="827"/>
      <c r="EB656" s="846"/>
    </row>
    <row r="657" spans="5:132" ht="18" x14ac:dyDescent="0.25">
      <c r="E657" s="826"/>
      <c r="H657" s="849">
        <v>132</v>
      </c>
      <c r="I657" s="828"/>
      <c r="J657" s="827"/>
      <c r="K657" s="827"/>
      <c r="L657" s="827"/>
      <c r="M657" s="851"/>
      <c r="N657" s="827"/>
      <c r="O657" s="827"/>
      <c r="P657" s="827"/>
      <c r="Q657" s="827"/>
      <c r="R657" s="827"/>
      <c r="S657" s="827"/>
      <c r="T657" s="827"/>
      <c r="U657" s="827"/>
      <c r="V657" s="827"/>
      <c r="W657" s="827"/>
      <c r="X657" s="827"/>
      <c r="Y657" s="827"/>
      <c r="Z657" s="827"/>
      <c r="AA657" s="827"/>
      <c r="AB657" s="827"/>
      <c r="AC657" s="828"/>
      <c r="AD657" s="827"/>
      <c r="AE657" s="827"/>
      <c r="AF657" s="827"/>
      <c r="AG657" s="827"/>
      <c r="AH657" s="827"/>
      <c r="AI657" s="827"/>
      <c r="AJ657" s="827"/>
      <c r="EB657" s="846"/>
    </row>
    <row r="658" spans="5:132" ht="18" x14ac:dyDescent="0.25">
      <c r="E658" s="826"/>
      <c r="H658" s="849">
        <v>133</v>
      </c>
      <c r="I658" s="828"/>
      <c r="J658" s="827"/>
      <c r="K658" s="827"/>
      <c r="L658" s="827"/>
      <c r="M658" s="851"/>
      <c r="N658" s="827"/>
      <c r="O658" s="827"/>
      <c r="P658" s="827"/>
      <c r="Q658" s="827"/>
      <c r="R658" s="827"/>
      <c r="S658" s="827"/>
      <c r="T658" s="827"/>
      <c r="U658" s="827"/>
      <c r="V658" s="827"/>
      <c r="W658" s="827"/>
      <c r="X658" s="827"/>
      <c r="Y658" s="827"/>
      <c r="Z658" s="827"/>
      <c r="AA658" s="827"/>
      <c r="AB658" s="827"/>
      <c r="AC658" s="828"/>
      <c r="AD658" s="827"/>
      <c r="AE658" s="827"/>
      <c r="AF658" s="827"/>
      <c r="AG658" s="827"/>
      <c r="AH658" s="827"/>
      <c r="AI658" s="827"/>
      <c r="AJ658" s="827"/>
      <c r="EB658" s="846"/>
    </row>
    <row r="659" spans="5:132" ht="18" x14ac:dyDescent="0.25">
      <c r="E659" s="826"/>
      <c r="H659" s="849">
        <v>134</v>
      </c>
      <c r="I659" s="828"/>
      <c r="J659" s="827"/>
      <c r="K659" s="827"/>
      <c r="L659" s="827"/>
      <c r="M659" s="851"/>
      <c r="N659" s="827"/>
      <c r="O659" s="827"/>
      <c r="P659" s="827"/>
      <c r="Q659" s="827"/>
      <c r="R659" s="827"/>
      <c r="S659" s="827"/>
      <c r="T659" s="827"/>
      <c r="U659" s="827"/>
      <c r="V659" s="827"/>
      <c r="W659" s="827"/>
      <c r="X659" s="827"/>
      <c r="Y659" s="827"/>
      <c r="Z659" s="827"/>
      <c r="AA659" s="827"/>
      <c r="AB659" s="827"/>
      <c r="AC659" s="828"/>
      <c r="AD659" s="827"/>
      <c r="AE659" s="827"/>
      <c r="AF659" s="827"/>
      <c r="AG659" s="827"/>
      <c r="AH659" s="827"/>
      <c r="AI659" s="827"/>
      <c r="AJ659" s="827"/>
      <c r="EB659" s="846"/>
    </row>
    <row r="660" spans="5:132" ht="18" x14ac:dyDescent="0.25">
      <c r="E660" s="826"/>
      <c r="H660" s="849">
        <v>135</v>
      </c>
      <c r="I660" s="828"/>
      <c r="J660" s="827"/>
      <c r="K660" s="827"/>
      <c r="L660" s="827"/>
      <c r="M660" s="851"/>
      <c r="N660" s="827"/>
      <c r="O660" s="827"/>
      <c r="P660" s="827"/>
      <c r="Q660" s="827"/>
      <c r="R660" s="827"/>
      <c r="S660" s="827"/>
      <c r="T660" s="827"/>
      <c r="U660" s="827"/>
      <c r="V660" s="827"/>
      <c r="W660" s="827"/>
      <c r="X660" s="827"/>
      <c r="Y660" s="827"/>
      <c r="Z660" s="827"/>
      <c r="AA660" s="827"/>
      <c r="AB660" s="827"/>
      <c r="AC660" s="828"/>
      <c r="AD660" s="827"/>
      <c r="AE660" s="827"/>
      <c r="AF660" s="827"/>
      <c r="AG660" s="827"/>
      <c r="AH660" s="827"/>
      <c r="AI660" s="827"/>
      <c r="AJ660" s="827"/>
      <c r="EB660" s="846"/>
    </row>
    <row r="661" spans="5:132" ht="18" x14ac:dyDescent="0.25">
      <c r="E661" s="826"/>
      <c r="H661" s="849">
        <v>136</v>
      </c>
      <c r="I661" s="828"/>
      <c r="J661" s="827"/>
      <c r="K661" s="827"/>
      <c r="L661" s="827"/>
      <c r="M661" s="851"/>
      <c r="N661" s="827"/>
      <c r="O661" s="827"/>
      <c r="P661" s="827"/>
      <c r="Q661" s="827"/>
      <c r="R661" s="827"/>
      <c r="S661" s="827"/>
      <c r="T661" s="827"/>
      <c r="U661" s="827"/>
      <c r="V661" s="827"/>
      <c r="W661" s="827"/>
      <c r="X661" s="827"/>
      <c r="Y661" s="827"/>
      <c r="Z661" s="827"/>
      <c r="AA661" s="827"/>
      <c r="AB661" s="827"/>
      <c r="AC661" s="828"/>
      <c r="AD661" s="827"/>
      <c r="AE661" s="827"/>
      <c r="AF661" s="827"/>
      <c r="AG661" s="827"/>
      <c r="AH661" s="827"/>
      <c r="AI661" s="827"/>
      <c r="AJ661" s="827"/>
      <c r="EB661" s="846"/>
    </row>
    <row r="662" spans="5:132" ht="18" x14ac:dyDescent="0.25">
      <c r="E662" s="826"/>
      <c r="H662" s="849">
        <v>137</v>
      </c>
      <c r="I662" s="828"/>
      <c r="J662" s="827"/>
      <c r="K662" s="827"/>
      <c r="L662" s="827"/>
      <c r="M662" s="851"/>
      <c r="N662" s="827"/>
      <c r="O662" s="827"/>
      <c r="P662" s="827"/>
      <c r="Q662" s="827"/>
      <c r="R662" s="827"/>
      <c r="S662" s="827"/>
      <c r="T662" s="827"/>
      <c r="U662" s="827"/>
      <c r="V662" s="827"/>
      <c r="W662" s="827"/>
      <c r="X662" s="827"/>
      <c r="Y662" s="827"/>
      <c r="Z662" s="827"/>
      <c r="AA662" s="827"/>
      <c r="AB662" s="827"/>
      <c r="AC662" s="828"/>
      <c r="AD662" s="827"/>
      <c r="AE662" s="827"/>
      <c r="AF662" s="827"/>
      <c r="AG662" s="827"/>
      <c r="AH662" s="827"/>
      <c r="AI662" s="827"/>
      <c r="AJ662" s="827"/>
      <c r="EB662" s="846"/>
    </row>
    <row r="663" spans="5:132" ht="18" x14ac:dyDescent="0.25">
      <c r="E663" s="826"/>
      <c r="H663" s="849">
        <v>138</v>
      </c>
      <c r="I663" s="828"/>
      <c r="J663" s="827"/>
      <c r="K663" s="827"/>
      <c r="L663" s="827"/>
      <c r="M663" s="851"/>
      <c r="N663" s="827"/>
      <c r="O663" s="827"/>
      <c r="P663" s="827"/>
      <c r="Q663" s="827"/>
      <c r="R663" s="827"/>
      <c r="S663" s="827"/>
      <c r="T663" s="827"/>
      <c r="U663" s="827"/>
      <c r="V663" s="827"/>
      <c r="W663" s="827"/>
      <c r="X663" s="827"/>
      <c r="Y663" s="827"/>
      <c r="Z663" s="827"/>
      <c r="AA663" s="827"/>
      <c r="AB663" s="827"/>
      <c r="AC663" s="828"/>
      <c r="AD663" s="827"/>
      <c r="AE663" s="827"/>
      <c r="AF663" s="827"/>
      <c r="AG663" s="827"/>
      <c r="AH663" s="827"/>
      <c r="AI663" s="827"/>
      <c r="AJ663" s="827"/>
      <c r="EB663" s="846"/>
    </row>
    <row r="664" spans="5:132" ht="18" x14ac:dyDescent="0.25">
      <c r="E664" s="826"/>
      <c r="H664" s="849">
        <v>139</v>
      </c>
      <c r="I664" s="828"/>
      <c r="J664" s="827"/>
      <c r="K664" s="827"/>
      <c r="L664" s="827"/>
      <c r="M664" s="851"/>
      <c r="N664" s="827"/>
      <c r="O664" s="827"/>
      <c r="P664" s="827"/>
      <c r="Q664" s="827"/>
      <c r="R664" s="827"/>
      <c r="S664" s="827"/>
      <c r="T664" s="827"/>
      <c r="U664" s="827"/>
      <c r="V664" s="827"/>
      <c r="W664" s="827"/>
      <c r="X664" s="827"/>
      <c r="Y664" s="827"/>
      <c r="Z664" s="827"/>
      <c r="AA664" s="827"/>
      <c r="AB664" s="827"/>
      <c r="AC664" s="828"/>
      <c r="AD664" s="827"/>
      <c r="AE664" s="827"/>
      <c r="AF664" s="827"/>
      <c r="AG664" s="827"/>
      <c r="AH664" s="827"/>
      <c r="AI664" s="827"/>
      <c r="AJ664" s="827"/>
      <c r="EB664" s="846"/>
    </row>
    <row r="665" spans="5:132" ht="18" x14ac:dyDescent="0.25">
      <c r="E665" s="826"/>
      <c r="H665" s="849">
        <v>140</v>
      </c>
      <c r="I665" s="828"/>
      <c r="J665" s="827"/>
      <c r="K665" s="827"/>
      <c r="L665" s="827"/>
      <c r="M665" s="851"/>
      <c r="N665" s="827"/>
      <c r="O665" s="827"/>
      <c r="P665" s="827"/>
      <c r="Q665" s="827"/>
      <c r="R665" s="827"/>
      <c r="S665" s="827"/>
      <c r="T665" s="827"/>
      <c r="U665" s="827"/>
      <c r="V665" s="827"/>
      <c r="W665" s="827"/>
      <c r="X665" s="827"/>
      <c r="Y665" s="827"/>
      <c r="Z665" s="827"/>
      <c r="AA665" s="827"/>
      <c r="AB665" s="827"/>
      <c r="AC665" s="828"/>
      <c r="AD665" s="827"/>
      <c r="AE665" s="827"/>
      <c r="AF665" s="827"/>
      <c r="AG665" s="827"/>
      <c r="AH665" s="827"/>
      <c r="AI665" s="827"/>
      <c r="AJ665" s="827"/>
      <c r="EB665" s="846"/>
    </row>
    <row r="666" spans="5:132" ht="18" x14ac:dyDescent="0.25">
      <c r="E666" s="826"/>
      <c r="H666" s="849">
        <v>141</v>
      </c>
      <c r="I666" s="828"/>
      <c r="J666" s="827"/>
      <c r="K666" s="827"/>
      <c r="L666" s="827"/>
      <c r="M666" s="851"/>
      <c r="N666" s="827"/>
      <c r="O666" s="827"/>
      <c r="P666" s="827"/>
      <c r="Q666" s="827"/>
      <c r="R666" s="827"/>
      <c r="S666" s="827"/>
      <c r="T666" s="827"/>
      <c r="U666" s="827"/>
      <c r="V666" s="827"/>
      <c r="W666" s="827"/>
      <c r="X666" s="827"/>
      <c r="Y666" s="827"/>
      <c r="Z666" s="827"/>
      <c r="AA666" s="827"/>
      <c r="AB666" s="827"/>
      <c r="AC666" s="828"/>
      <c r="AD666" s="827"/>
      <c r="AE666" s="827"/>
      <c r="AF666" s="827"/>
      <c r="AG666" s="827"/>
      <c r="AH666" s="827"/>
      <c r="AI666" s="827"/>
      <c r="AJ666" s="827"/>
      <c r="EB666" s="846"/>
    </row>
    <row r="667" spans="5:132" ht="18" x14ac:dyDescent="0.25">
      <c r="E667" s="826"/>
      <c r="H667" s="849">
        <v>142</v>
      </c>
      <c r="I667" s="828"/>
      <c r="J667" s="827"/>
      <c r="K667" s="827"/>
      <c r="L667" s="827"/>
      <c r="M667" s="851"/>
      <c r="N667" s="827"/>
      <c r="O667" s="827"/>
      <c r="P667" s="827"/>
      <c r="Q667" s="827"/>
      <c r="R667" s="827"/>
      <c r="S667" s="827"/>
      <c r="T667" s="827"/>
      <c r="U667" s="827"/>
      <c r="V667" s="827"/>
      <c r="W667" s="827"/>
      <c r="X667" s="827"/>
      <c r="Y667" s="827"/>
      <c r="Z667" s="827"/>
      <c r="AA667" s="827"/>
      <c r="AB667" s="827"/>
      <c r="AC667" s="828"/>
      <c r="AD667" s="827"/>
      <c r="AE667" s="827"/>
      <c r="AF667" s="827"/>
      <c r="AG667" s="827"/>
      <c r="AH667" s="827"/>
      <c r="AI667" s="827"/>
      <c r="AJ667" s="827"/>
      <c r="EB667" s="846"/>
    </row>
    <row r="668" spans="5:132" ht="18" x14ac:dyDescent="0.25">
      <c r="E668" s="826"/>
      <c r="H668" s="849">
        <v>143</v>
      </c>
      <c r="I668" s="828"/>
      <c r="J668" s="827"/>
      <c r="K668" s="827"/>
      <c r="L668" s="827"/>
      <c r="M668" s="851"/>
      <c r="N668" s="827"/>
      <c r="O668" s="827"/>
      <c r="P668" s="827"/>
      <c r="Q668" s="827"/>
      <c r="R668" s="827"/>
      <c r="S668" s="827"/>
      <c r="T668" s="827"/>
      <c r="U668" s="827"/>
      <c r="V668" s="827"/>
      <c r="W668" s="827"/>
      <c r="X668" s="827"/>
      <c r="Y668" s="827"/>
      <c r="Z668" s="827"/>
      <c r="AA668" s="827"/>
      <c r="AB668" s="827"/>
      <c r="AC668" s="828"/>
      <c r="AD668" s="827"/>
      <c r="AE668" s="827"/>
      <c r="AF668" s="827"/>
      <c r="AG668" s="827"/>
      <c r="AH668" s="827"/>
      <c r="AI668" s="827"/>
      <c r="AJ668" s="827"/>
      <c r="EB668" s="846"/>
    </row>
    <row r="669" spans="5:132" ht="18" x14ac:dyDescent="0.25">
      <c r="E669" s="826"/>
      <c r="H669" s="849">
        <v>144</v>
      </c>
      <c r="I669" s="828"/>
      <c r="J669" s="827"/>
      <c r="K669" s="827"/>
      <c r="L669" s="827"/>
      <c r="M669" s="851"/>
      <c r="N669" s="827"/>
      <c r="O669" s="827"/>
      <c r="P669" s="827"/>
      <c r="Q669" s="827"/>
      <c r="R669" s="827"/>
      <c r="S669" s="827"/>
      <c r="T669" s="827"/>
      <c r="U669" s="827"/>
      <c r="V669" s="827"/>
      <c r="W669" s="827"/>
      <c r="X669" s="827"/>
      <c r="Y669" s="827"/>
      <c r="Z669" s="827"/>
      <c r="AA669" s="827"/>
      <c r="AB669" s="827"/>
      <c r="AC669" s="828"/>
      <c r="AD669" s="827"/>
      <c r="AE669" s="827"/>
      <c r="AF669" s="827"/>
      <c r="AG669" s="827"/>
      <c r="AH669" s="827"/>
      <c r="AI669" s="827"/>
      <c r="AJ669" s="827"/>
      <c r="EB669" s="846"/>
    </row>
    <row r="670" spans="5:132" ht="18" x14ac:dyDescent="0.25">
      <c r="E670" s="826"/>
      <c r="H670" s="849">
        <v>145</v>
      </c>
      <c r="I670" s="828"/>
      <c r="J670" s="827"/>
      <c r="K670" s="827"/>
      <c r="L670" s="827"/>
      <c r="M670" s="851"/>
      <c r="N670" s="827"/>
      <c r="O670" s="827"/>
      <c r="P670" s="827"/>
      <c r="Q670" s="827"/>
      <c r="R670" s="827"/>
      <c r="S670" s="827"/>
      <c r="T670" s="827"/>
      <c r="U670" s="827"/>
      <c r="V670" s="827"/>
      <c r="W670" s="827"/>
      <c r="X670" s="827"/>
      <c r="Y670" s="827"/>
      <c r="Z670" s="827"/>
      <c r="AA670" s="827"/>
      <c r="AB670" s="827"/>
      <c r="AC670" s="828"/>
      <c r="AD670" s="827"/>
      <c r="AE670" s="827"/>
      <c r="AF670" s="827"/>
      <c r="AG670" s="827"/>
      <c r="AH670" s="827"/>
      <c r="AI670" s="827"/>
      <c r="AJ670" s="827"/>
      <c r="EB670" s="846"/>
    </row>
    <row r="671" spans="5:132" ht="18" x14ac:dyDescent="0.25">
      <c r="E671" s="826"/>
      <c r="H671" s="849">
        <v>146</v>
      </c>
      <c r="I671" s="828"/>
      <c r="J671" s="827"/>
      <c r="K671" s="827"/>
      <c r="L671" s="827"/>
      <c r="M671" s="851"/>
      <c r="N671" s="827"/>
      <c r="O671" s="827"/>
      <c r="P671" s="827"/>
      <c r="Q671" s="827"/>
      <c r="R671" s="827"/>
      <c r="S671" s="827"/>
      <c r="T671" s="827"/>
      <c r="U671" s="827"/>
      <c r="V671" s="827"/>
      <c r="W671" s="827"/>
      <c r="X671" s="827"/>
      <c r="Y671" s="827"/>
      <c r="Z671" s="827"/>
      <c r="AA671" s="827"/>
      <c r="AB671" s="827"/>
      <c r="AC671" s="828"/>
      <c r="AD671" s="827"/>
      <c r="AE671" s="827"/>
      <c r="AF671" s="827"/>
      <c r="AG671" s="827"/>
      <c r="AH671" s="827"/>
      <c r="AI671" s="827"/>
      <c r="AJ671" s="827"/>
      <c r="EB671" s="846"/>
    </row>
    <row r="672" spans="5:132" ht="18" x14ac:dyDescent="0.25">
      <c r="E672" s="826"/>
      <c r="H672" s="849">
        <v>147</v>
      </c>
      <c r="I672" s="828"/>
      <c r="J672" s="827"/>
      <c r="K672" s="827"/>
      <c r="L672" s="827"/>
      <c r="M672" s="851"/>
      <c r="N672" s="827"/>
      <c r="O672" s="827"/>
      <c r="P672" s="827"/>
      <c r="Q672" s="827"/>
      <c r="R672" s="827"/>
      <c r="S672" s="827"/>
      <c r="T672" s="827"/>
      <c r="U672" s="827"/>
      <c r="V672" s="827"/>
      <c r="W672" s="827"/>
      <c r="X672" s="827"/>
      <c r="Y672" s="827"/>
      <c r="Z672" s="827"/>
      <c r="AA672" s="827"/>
      <c r="AB672" s="827"/>
      <c r="AC672" s="828"/>
      <c r="AD672" s="827"/>
      <c r="AE672" s="827"/>
      <c r="AF672" s="827"/>
      <c r="AG672" s="827"/>
      <c r="AH672" s="827"/>
      <c r="AI672" s="827"/>
      <c r="AJ672" s="827"/>
      <c r="EB672" s="846"/>
    </row>
    <row r="673" spans="5:132" ht="18" x14ac:dyDescent="0.25">
      <c r="E673" s="826"/>
      <c r="H673" s="849">
        <v>148</v>
      </c>
      <c r="I673" s="828"/>
      <c r="J673" s="827"/>
      <c r="K673" s="827"/>
      <c r="L673" s="827"/>
      <c r="M673" s="851"/>
      <c r="N673" s="827"/>
      <c r="O673" s="827"/>
      <c r="P673" s="827"/>
      <c r="Q673" s="827"/>
      <c r="R673" s="827"/>
      <c r="S673" s="827"/>
      <c r="T673" s="827"/>
      <c r="U673" s="827"/>
      <c r="V673" s="827"/>
      <c r="W673" s="827"/>
      <c r="X673" s="827"/>
      <c r="Y673" s="827"/>
      <c r="Z673" s="827"/>
      <c r="AA673" s="827"/>
      <c r="AB673" s="827"/>
      <c r="AC673" s="852"/>
      <c r="AD673" s="827"/>
      <c r="AE673" s="827"/>
      <c r="AF673" s="827"/>
      <c r="AG673" s="827"/>
      <c r="AH673" s="827"/>
      <c r="AI673" s="827"/>
      <c r="AJ673" s="827"/>
      <c r="EB673" s="846"/>
    </row>
    <row r="674" spans="5:132" ht="18" x14ac:dyDescent="0.25">
      <c r="E674" s="826"/>
      <c r="H674" s="849">
        <v>149</v>
      </c>
      <c r="I674" s="828"/>
      <c r="J674" s="827"/>
      <c r="K674" s="827"/>
      <c r="L674" s="827"/>
      <c r="M674" s="851"/>
      <c r="N674" s="827"/>
      <c r="O674" s="827"/>
      <c r="P674" s="827"/>
      <c r="Q674" s="827"/>
      <c r="R674" s="827"/>
      <c r="S674" s="827"/>
      <c r="T674" s="827"/>
      <c r="U674" s="827"/>
      <c r="V674" s="827"/>
      <c r="W674" s="827"/>
      <c r="X674" s="827"/>
      <c r="Y674" s="827"/>
      <c r="Z674" s="827"/>
      <c r="AA674" s="827"/>
      <c r="AB674" s="827"/>
      <c r="AC674" s="852"/>
      <c r="AD674" s="827"/>
      <c r="AE674" s="827"/>
      <c r="AF674" s="827"/>
      <c r="AG674" s="827"/>
      <c r="AH674" s="827"/>
      <c r="AI674" s="827"/>
      <c r="AJ674" s="827"/>
      <c r="EB674" s="846"/>
    </row>
    <row r="675" spans="5:132" ht="18" x14ac:dyDescent="0.25">
      <c r="E675" s="826"/>
      <c r="H675" s="849">
        <v>150</v>
      </c>
      <c r="I675" s="828"/>
      <c r="J675" s="827"/>
      <c r="K675" s="827"/>
      <c r="L675" s="827"/>
      <c r="M675" s="851"/>
      <c r="N675" s="827"/>
      <c r="O675" s="827"/>
      <c r="P675" s="827"/>
      <c r="Q675" s="827"/>
      <c r="R675" s="827"/>
      <c r="S675" s="827"/>
      <c r="T675" s="827"/>
      <c r="U675" s="827"/>
      <c r="V675" s="827"/>
      <c r="W675" s="827"/>
      <c r="X675" s="827"/>
      <c r="Y675" s="827"/>
      <c r="Z675" s="827"/>
      <c r="AA675" s="827"/>
      <c r="AB675" s="827"/>
      <c r="AC675" s="852"/>
      <c r="AD675" s="827"/>
      <c r="AE675" s="827"/>
      <c r="AF675" s="827"/>
      <c r="AG675" s="827"/>
      <c r="AH675" s="827"/>
      <c r="AI675" s="827"/>
      <c r="AJ675" s="827"/>
      <c r="EB675" s="846"/>
    </row>
    <row r="676" spans="5:132" ht="18" x14ac:dyDescent="0.25">
      <c r="E676" s="826"/>
      <c r="H676" s="849">
        <v>151</v>
      </c>
      <c r="I676" s="828"/>
      <c r="J676" s="827"/>
      <c r="K676" s="827"/>
      <c r="L676" s="827"/>
      <c r="M676" s="851"/>
      <c r="N676" s="827"/>
      <c r="O676" s="827"/>
      <c r="P676" s="827"/>
      <c r="Q676" s="827"/>
      <c r="R676" s="827"/>
      <c r="S676" s="827"/>
      <c r="T676" s="827"/>
      <c r="U676" s="827"/>
      <c r="V676" s="827"/>
      <c r="W676" s="827"/>
      <c r="X676" s="827"/>
      <c r="Y676" s="827"/>
      <c r="Z676" s="827"/>
      <c r="AA676" s="827"/>
      <c r="AB676" s="827"/>
      <c r="AC676" s="852"/>
      <c r="AD676" s="827"/>
      <c r="AE676" s="827"/>
      <c r="AF676" s="827"/>
      <c r="AG676" s="827"/>
      <c r="AH676" s="827"/>
      <c r="AI676" s="827"/>
      <c r="AJ676" s="827"/>
      <c r="EB676" s="846"/>
    </row>
    <row r="677" spans="5:132" ht="18" x14ac:dyDescent="0.25">
      <c r="E677" s="826"/>
      <c r="H677" s="849">
        <v>152</v>
      </c>
      <c r="I677" s="828"/>
      <c r="J677" s="827"/>
      <c r="K677" s="827"/>
      <c r="L677" s="827"/>
      <c r="M677" s="851"/>
      <c r="N677" s="827"/>
      <c r="O677" s="827"/>
      <c r="P677" s="827"/>
      <c r="Q677" s="827"/>
      <c r="R677" s="827"/>
      <c r="S677" s="827"/>
      <c r="T677" s="827"/>
      <c r="U677" s="827"/>
      <c r="V677" s="827"/>
      <c r="W677" s="827"/>
      <c r="X677" s="827"/>
      <c r="Y677" s="827"/>
      <c r="Z677" s="827"/>
      <c r="AA677" s="827"/>
      <c r="AB677" s="827"/>
      <c r="AC677" s="852"/>
      <c r="AD677" s="827"/>
      <c r="AE677" s="827"/>
      <c r="AF677" s="827"/>
      <c r="AG677" s="827"/>
      <c r="AH677" s="827"/>
      <c r="AI677" s="827"/>
      <c r="AJ677" s="827"/>
      <c r="EB677" s="846"/>
    </row>
    <row r="678" spans="5:132" ht="18" x14ac:dyDescent="0.25">
      <c r="E678" s="826"/>
      <c r="H678" s="849">
        <v>153</v>
      </c>
      <c r="I678" s="828"/>
      <c r="J678" s="827"/>
      <c r="K678" s="827"/>
      <c r="L678" s="827"/>
      <c r="M678" s="851"/>
      <c r="N678" s="827"/>
      <c r="O678" s="827"/>
      <c r="P678" s="827"/>
      <c r="Q678" s="827"/>
      <c r="R678" s="827"/>
      <c r="S678" s="827"/>
      <c r="T678" s="827"/>
      <c r="U678" s="827"/>
      <c r="V678" s="827"/>
      <c r="W678" s="827"/>
      <c r="X678" s="827"/>
      <c r="Y678" s="827"/>
      <c r="Z678" s="827"/>
      <c r="AA678" s="827"/>
      <c r="AB678" s="827"/>
      <c r="AC678" s="852"/>
      <c r="AD678" s="827"/>
      <c r="AE678" s="827"/>
      <c r="AF678" s="827"/>
      <c r="AG678" s="827"/>
      <c r="AH678" s="827"/>
      <c r="AI678" s="827"/>
      <c r="AJ678" s="827"/>
      <c r="EB678" s="846"/>
    </row>
    <row r="679" spans="5:132" ht="18" x14ac:dyDescent="0.25">
      <c r="E679" s="826"/>
      <c r="H679" s="849">
        <v>154</v>
      </c>
      <c r="I679" s="828"/>
      <c r="J679" s="827"/>
      <c r="K679" s="827"/>
      <c r="L679" s="827"/>
      <c r="M679" s="851"/>
      <c r="N679" s="827"/>
      <c r="O679" s="827"/>
      <c r="P679" s="827"/>
      <c r="Q679" s="827"/>
      <c r="R679" s="827"/>
      <c r="S679" s="827"/>
      <c r="T679" s="827"/>
      <c r="U679" s="827"/>
      <c r="V679" s="827"/>
      <c r="W679" s="827"/>
      <c r="X679" s="827"/>
      <c r="Y679" s="827"/>
      <c r="Z679" s="827"/>
      <c r="AA679" s="827"/>
      <c r="AB679" s="827"/>
      <c r="AC679" s="852"/>
      <c r="AD679" s="827"/>
      <c r="AE679" s="827"/>
      <c r="AF679" s="827"/>
      <c r="AG679" s="827"/>
      <c r="AH679" s="827"/>
      <c r="AI679" s="827"/>
      <c r="AJ679" s="827"/>
      <c r="EB679" s="846"/>
    </row>
    <row r="680" spans="5:132" ht="18" x14ac:dyDescent="0.25">
      <c r="E680" s="826"/>
      <c r="H680" s="849">
        <v>155</v>
      </c>
      <c r="I680" s="828"/>
      <c r="J680" s="827"/>
      <c r="K680" s="827"/>
      <c r="L680" s="827"/>
      <c r="M680" s="851"/>
      <c r="N680" s="827"/>
      <c r="O680" s="827"/>
      <c r="P680" s="827"/>
      <c r="Q680" s="827"/>
      <c r="R680" s="827"/>
      <c r="S680" s="827"/>
      <c r="T680" s="827"/>
      <c r="U680" s="827"/>
      <c r="V680" s="827"/>
      <c r="W680" s="827"/>
      <c r="X680" s="827"/>
      <c r="Y680" s="827"/>
      <c r="Z680" s="827"/>
      <c r="AA680" s="827"/>
      <c r="AB680" s="827"/>
      <c r="AC680" s="852"/>
      <c r="AD680" s="827"/>
      <c r="AE680" s="827"/>
      <c r="AF680" s="827"/>
      <c r="AG680" s="827"/>
      <c r="AH680" s="827"/>
      <c r="AI680" s="827"/>
      <c r="AJ680" s="827"/>
      <c r="EB680" s="846"/>
    </row>
    <row r="681" spans="5:132" ht="18" x14ac:dyDescent="0.25">
      <c r="E681" s="826"/>
      <c r="H681" s="849">
        <v>156</v>
      </c>
      <c r="I681" s="828"/>
      <c r="J681" s="827"/>
      <c r="K681" s="827"/>
      <c r="L681" s="827"/>
      <c r="M681" s="851"/>
      <c r="N681" s="827"/>
      <c r="O681" s="827"/>
      <c r="P681" s="827"/>
      <c r="Q681" s="827"/>
      <c r="R681" s="827"/>
      <c r="S681" s="827"/>
      <c r="T681" s="827"/>
      <c r="U681" s="827"/>
      <c r="V681" s="827"/>
      <c r="W681" s="827"/>
      <c r="X681" s="827"/>
      <c r="Y681" s="827"/>
      <c r="Z681" s="827"/>
      <c r="AA681" s="827"/>
      <c r="AB681" s="827"/>
      <c r="AC681" s="852"/>
      <c r="AD681" s="827"/>
      <c r="AE681" s="827"/>
      <c r="AF681" s="827"/>
      <c r="AG681" s="827"/>
      <c r="AH681" s="827"/>
      <c r="AI681" s="827"/>
      <c r="AJ681" s="827"/>
      <c r="EB681" s="846"/>
    </row>
    <row r="682" spans="5:132" ht="18" x14ac:dyDescent="0.25">
      <c r="E682" s="826"/>
      <c r="H682" s="849">
        <v>157</v>
      </c>
      <c r="I682" s="828"/>
      <c r="J682" s="827"/>
      <c r="K682" s="827"/>
      <c r="L682" s="827"/>
      <c r="M682" s="851"/>
      <c r="N682" s="827"/>
      <c r="O682" s="827"/>
      <c r="P682" s="827"/>
      <c r="Q682" s="827"/>
      <c r="R682" s="827"/>
      <c r="S682" s="827"/>
      <c r="T682" s="827"/>
      <c r="U682" s="827"/>
      <c r="V682" s="827"/>
      <c r="W682" s="827"/>
      <c r="X682" s="827"/>
      <c r="Y682" s="827"/>
      <c r="Z682" s="827"/>
      <c r="AA682" s="827"/>
      <c r="AB682" s="827"/>
      <c r="AC682" s="852"/>
      <c r="AD682" s="827"/>
      <c r="AE682" s="827"/>
      <c r="AF682" s="827"/>
      <c r="AG682" s="827"/>
      <c r="AH682" s="827"/>
      <c r="AI682" s="827"/>
      <c r="AJ682" s="827"/>
      <c r="EB682" s="846"/>
    </row>
    <row r="683" spans="5:132" ht="18" x14ac:dyDescent="0.25">
      <c r="E683" s="826"/>
      <c r="H683" s="849">
        <v>161</v>
      </c>
      <c r="I683" s="828"/>
      <c r="J683" s="827"/>
      <c r="K683" s="827"/>
      <c r="L683" s="827"/>
      <c r="M683" s="851"/>
      <c r="N683" s="827"/>
      <c r="O683" s="827"/>
      <c r="P683" s="827"/>
      <c r="Q683" s="827"/>
      <c r="R683" s="827"/>
      <c r="S683" s="827"/>
      <c r="T683" s="827"/>
      <c r="U683" s="827"/>
      <c r="V683" s="827"/>
      <c r="W683" s="827"/>
      <c r="X683" s="827"/>
      <c r="Y683" s="827"/>
      <c r="Z683" s="827"/>
      <c r="AA683" s="827"/>
      <c r="AB683" s="827"/>
      <c r="AC683" s="852"/>
      <c r="AD683" s="827"/>
      <c r="AE683" s="827"/>
      <c r="AF683" s="827"/>
      <c r="AG683" s="827"/>
      <c r="AH683" s="827"/>
      <c r="AI683" s="827"/>
      <c r="AJ683" s="827"/>
      <c r="EB683" s="846"/>
    </row>
    <row r="684" spans="5:132" ht="18" x14ac:dyDescent="0.25">
      <c r="E684" s="826"/>
      <c r="H684" s="849">
        <v>162</v>
      </c>
      <c r="I684" s="828"/>
      <c r="J684" s="827"/>
      <c r="K684" s="827"/>
      <c r="L684" s="827"/>
      <c r="M684" s="851"/>
      <c r="N684" s="827"/>
      <c r="O684" s="827"/>
      <c r="P684" s="827"/>
      <c r="Q684" s="827"/>
      <c r="R684" s="827"/>
      <c r="S684" s="827"/>
      <c r="T684" s="827"/>
      <c r="U684" s="827"/>
      <c r="V684" s="827"/>
      <c r="W684" s="827"/>
      <c r="X684" s="827"/>
      <c r="Y684" s="827"/>
      <c r="Z684" s="827"/>
      <c r="AA684" s="827"/>
      <c r="AB684" s="827"/>
      <c r="AC684" s="852"/>
      <c r="AD684" s="827"/>
      <c r="AE684" s="827"/>
      <c r="AF684" s="827"/>
      <c r="AG684" s="827"/>
      <c r="AH684" s="827"/>
      <c r="AI684" s="827"/>
      <c r="AJ684" s="827"/>
      <c r="EB684" s="846"/>
    </row>
    <row r="685" spans="5:132" ht="18" x14ac:dyDescent="0.25">
      <c r="E685" s="826"/>
      <c r="H685" s="849">
        <v>163</v>
      </c>
      <c r="I685" s="828"/>
      <c r="J685" s="827"/>
      <c r="K685" s="827"/>
      <c r="L685" s="827"/>
      <c r="M685" s="851"/>
      <c r="N685" s="827"/>
      <c r="O685" s="827"/>
      <c r="P685" s="827"/>
      <c r="Q685" s="827"/>
      <c r="R685" s="827"/>
      <c r="S685" s="827"/>
      <c r="T685" s="827"/>
      <c r="U685" s="827"/>
      <c r="V685" s="827"/>
      <c r="W685" s="827"/>
      <c r="X685" s="827"/>
      <c r="Y685" s="827"/>
      <c r="Z685" s="827"/>
      <c r="AA685" s="827"/>
      <c r="AB685" s="827"/>
      <c r="AC685" s="852"/>
      <c r="AD685" s="827"/>
      <c r="AE685" s="827"/>
      <c r="AF685" s="827"/>
      <c r="AG685" s="827"/>
      <c r="AH685" s="827"/>
      <c r="AI685" s="827"/>
      <c r="AJ685" s="827"/>
      <c r="EB685" s="846"/>
    </row>
    <row r="686" spans="5:132" ht="18" x14ac:dyDescent="0.25">
      <c r="E686" s="826"/>
      <c r="H686" s="849">
        <v>164</v>
      </c>
      <c r="I686" s="828"/>
      <c r="J686" s="827"/>
      <c r="K686" s="827"/>
      <c r="L686" s="827"/>
      <c r="M686" s="851"/>
      <c r="N686" s="827"/>
      <c r="O686" s="827"/>
      <c r="P686" s="827"/>
      <c r="Q686" s="827"/>
      <c r="R686" s="827"/>
      <c r="S686" s="827"/>
      <c r="T686" s="827"/>
      <c r="U686" s="827"/>
      <c r="V686" s="827"/>
      <c r="W686" s="827"/>
      <c r="X686" s="827"/>
      <c r="Y686" s="827"/>
      <c r="Z686" s="827"/>
      <c r="AA686" s="827"/>
      <c r="AB686" s="827"/>
      <c r="AC686" s="852"/>
      <c r="AD686" s="827"/>
      <c r="AE686" s="827"/>
      <c r="AF686" s="827"/>
      <c r="AG686" s="827"/>
      <c r="AH686" s="827"/>
      <c r="AI686" s="827"/>
      <c r="AJ686" s="827"/>
      <c r="EB686" s="846"/>
    </row>
    <row r="687" spans="5:132" ht="18" x14ac:dyDescent="0.25">
      <c r="E687" s="826"/>
      <c r="H687" s="849">
        <v>165</v>
      </c>
      <c r="I687" s="828"/>
      <c r="J687" s="827"/>
      <c r="K687" s="827"/>
      <c r="L687" s="827"/>
      <c r="M687" s="851"/>
      <c r="N687" s="827"/>
      <c r="O687" s="827"/>
      <c r="P687" s="827"/>
      <c r="Q687" s="827"/>
      <c r="R687" s="827"/>
      <c r="S687" s="827"/>
      <c r="T687" s="827"/>
      <c r="U687" s="827"/>
      <c r="V687" s="827"/>
      <c r="W687" s="827"/>
      <c r="X687" s="827"/>
      <c r="Y687" s="827"/>
      <c r="Z687" s="827"/>
      <c r="AA687" s="827"/>
      <c r="AB687" s="827"/>
      <c r="AC687" s="852"/>
      <c r="AD687" s="827"/>
      <c r="AE687" s="827"/>
      <c r="AF687" s="827"/>
      <c r="AG687" s="827"/>
      <c r="AH687" s="827"/>
      <c r="AI687" s="827"/>
      <c r="AJ687" s="827"/>
      <c r="EB687" s="846"/>
    </row>
    <row r="688" spans="5:132" ht="18" x14ac:dyDescent="0.25">
      <c r="E688" s="826"/>
      <c r="H688" s="849">
        <v>166</v>
      </c>
      <c r="I688" s="828"/>
      <c r="J688" s="827"/>
      <c r="K688" s="827"/>
      <c r="L688" s="827"/>
      <c r="M688" s="851"/>
      <c r="N688" s="827"/>
      <c r="O688" s="827"/>
      <c r="P688" s="827"/>
      <c r="Q688" s="827"/>
      <c r="R688" s="827"/>
      <c r="S688" s="827"/>
      <c r="T688" s="827"/>
      <c r="U688" s="827"/>
      <c r="V688" s="827"/>
      <c r="W688" s="827"/>
      <c r="X688" s="827"/>
      <c r="Y688" s="827"/>
      <c r="Z688" s="827"/>
      <c r="AA688" s="827"/>
      <c r="AB688" s="827"/>
      <c r="AC688" s="852"/>
      <c r="AD688" s="827"/>
      <c r="AE688" s="827"/>
      <c r="AF688" s="827"/>
      <c r="AG688" s="827"/>
      <c r="AH688" s="827"/>
      <c r="AI688" s="827"/>
      <c r="AJ688" s="827"/>
      <c r="EB688" s="846"/>
    </row>
    <row r="689" spans="5:132" ht="18" x14ac:dyDescent="0.25">
      <c r="E689" s="826"/>
      <c r="H689" s="849">
        <v>167</v>
      </c>
      <c r="I689" s="828"/>
      <c r="J689" s="827"/>
      <c r="K689" s="827"/>
      <c r="L689" s="827"/>
      <c r="M689" s="851"/>
      <c r="N689" s="827"/>
      <c r="O689" s="827"/>
      <c r="P689" s="827"/>
      <c r="Q689" s="827"/>
      <c r="R689" s="827"/>
      <c r="S689" s="827"/>
      <c r="T689" s="827"/>
      <c r="U689" s="827"/>
      <c r="V689" s="827"/>
      <c r="W689" s="827"/>
      <c r="X689" s="827"/>
      <c r="Y689" s="827"/>
      <c r="Z689" s="827"/>
      <c r="AA689" s="827"/>
      <c r="AB689" s="827"/>
      <c r="AC689" s="852"/>
      <c r="AD689" s="827"/>
      <c r="AE689" s="827"/>
      <c r="AF689" s="827"/>
      <c r="AG689" s="827"/>
      <c r="AH689" s="827"/>
      <c r="AI689" s="827"/>
      <c r="AJ689" s="827"/>
      <c r="EB689" s="846"/>
    </row>
    <row r="690" spans="5:132" ht="18" x14ac:dyDescent="0.25">
      <c r="E690" s="826"/>
      <c r="H690" s="849">
        <v>168</v>
      </c>
      <c r="I690" s="828"/>
      <c r="J690" s="827"/>
      <c r="K690" s="827"/>
      <c r="L690" s="827"/>
      <c r="M690" s="851"/>
      <c r="N690" s="827"/>
      <c r="O690" s="827"/>
      <c r="P690" s="827"/>
      <c r="Q690" s="827"/>
      <c r="R690" s="827"/>
      <c r="S690" s="827"/>
      <c r="T690" s="827"/>
      <c r="U690" s="827"/>
      <c r="V690" s="827"/>
      <c r="W690" s="827"/>
      <c r="X690" s="827"/>
      <c r="Y690" s="827"/>
      <c r="Z690" s="827"/>
      <c r="AA690" s="827"/>
      <c r="AB690" s="827"/>
      <c r="AC690" s="852"/>
      <c r="AD690" s="827"/>
      <c r="AE690" s="827"/>
      <c r="AF690" s="827"/>
      <c r="AG690" s="827"/>
      <c r="AH690" s="827"/>
      <c r="AI690" s="827"/>
      <c r="AJ690" s="827"/>
      <c r="EB690" s="846"/>
    </row>
    <row r="691" spans="5:132" ht="18" x14ac:dyDescent="0.25">
      <c r="E691" s="826"/>
      <c r="H691" s="849">
        <v>169</v>
      </c>
      <c r="I691" s="828"/>
      <c r="J691" s="827"/>
      <c r="K691" s="827"/>
      <c r="L691" s="827"/>
      <c r="M691" s="851"/>
      <c r="N691" s="827"/>
      <c r="O691" s="827"/>
      <c r="P691" s="827"/>
      <c r="Q691" s="827"/>
      <c r="R691" s="827"/>
      <c r="S691" s="827"/>
      <c r="T691" s="827"/>
      <c r="U691" s="827"/>
      <c r="V691" s="827"/>
      <c r="W691" s="827"/>
      <c r="X691" s="827"/>
      <c r="Y691" s="827"/>
      <c r="Z691" s="827"/>
      <c r="AA691" s="827"/>
      <c r="AB691" s="827"/>
      <c r="AC691" s="852"/>
      <c r="AD691" s="827"/>
      <c r="AE691" s="827"/>
      <c r="AF691" s="827"/>
      <c r="AG691" s="827"/>
      <c r="AH691" s="827"/>
      <c r="AI691" s="827"/>
      <c r="AJ691" s="827"/>
      <c r="EB691" s="846"/>
    </row>
    <row r="692" spans="5:132" ht="18" x14ac:dyDescent="0.25">
      <c r="E692" s="826"/>
      <c r="H692" s="849">
        <v>170</v>
      </c>
      <c r="I692" s="828"/>
      <c r="J692" s="827"/>
      <c r="K692" s="827"/>
      <c r="L692" s="827"/>
      <c r="M692" s="851"/>
      <c r="N692" s="827"/>
      <c r="O692" s="827"/>
      <c r="P692" s="827"/>
      <c r="Q692" s="827"/>
      <c r="R692" s="827"/>
      <c r="S692" s="827"/>
      <c r="T692" s="827"/>
      <c r="U692" s="827"/>
      <c r="V692" s="827"/>
      <c r="W692" s="827"/>
      <c r="X692" s="827"/>
      <c r="Y692" s="827"/>
      <c r="Z692" s="827"/>
      <c r="AA692" s="827"/>
      <c r="AB692" s="827"/>
      <c r="AC692" s="852"/>
      <c r="AD692" s="827"/>
      <c r="AE692" s="827"/>
      <c r="AF692" s="827"/>
      <c r="AG692" s="827"/>
      <c r="AH692" s="827"/>
      <c r="AI692" s="827"/>
      <c r="AJ692" s="827"/>
      <c r="EB692" s="846"/>
    </row>
    <row r="693" spans="5:132" ht="18" x14ac:dyDescent="0.25">
      <c r="E693" s="826"/>
      <c r="H693" s="849">
        <v>171</v>
      </c>
      <c r="I693" s="828"/>
      <c r="J693" s="827"/>
      <c r="K693" s="827"/>
      <c r="L693" s="827"/>
      <c r="M693" s="851"/>
      <c r="N693" s="827"/>
      <c r="O693" s="827"/>
      <c r="P693" s="827"/>
      <c r="Q693" s="827"/>
      <c r="R693" s="827"/>
      <c r="S693" s="827"/>
      <c r="T693" s="827"/>
      <c r="U693" s="827"/>
      <c r="V693" s="827"/>
      <c r="W693" s="827"/>
      <c r="X693" s="827"/>
      <c r="Y693" s="827"/>
      <c r="Z693" s="827"/>
      <c r="AA693" s="827"/>
      <c r="AB693" s="827"/>
      <c r="AC693" s="852"/>
      <c r="AD693" s="827"/>
      <c r="AE693" s="827"/>
      <c r="AF693" s="827"/>
      <c r="AG693" s="827"/>
      <c r="AH693" s="827"/>
      <c r="AI693" s="827"/>
      <c r="AJ693" s="827"/>
      <c r="EB693" s="846"/>
    </row>
    <row r="694" spans="5:132" ht="18" x14ac:dyDescent="0.25">
      <c r="E694" s="826"/>
      <c r="H694" s="849">
        <v>172</v>
      </c>
      <c r="I694" s="828"/>
      <c r="J694" s="827"/>
      <c r="K694" s="827"/>
      <c r="L694" s="827"/>
      <c r="M694" s="851"/>
      <c r="N694" s="827"/>
      <c r="O694" s="827"/>
      <c r="P694" s="827"/>
      <c r="Q694" s="827"/>
      <c r="R694" s="827"/>
      <c r="S694" s="827"/>
      <c r="T694" s="827"/>
      <c r="U694" s="827"/>
      <c r="V694" s="827"/>
      <c r="W694" s="827"/>
      <c r="X694" s="827"/>
      <c r="Y694" s="827"/>
      <c r="Z694" s="827"/>
      <c r="AA694" s="827"/>
      <c r="AB694" s="827"/>
      <c r="AC694" s="852"/>
      <c r="AD694" s="827"/>
      <c r="AE694" s="827"/>
      <c r="AF694" s="827"/>
      <c r="AG694" s="827"/>
      <c r="AH694" s="827"/>
      <c r="AI694" s="827"/>
      <c r="AJ694" s="827"/>
      <c r="EB694" s="846"/>
    </row>
    <row r="695" spans="5:132" ht="18" x14ac:dyDescent="0.25">
      <c r="E695" s="826"/>
      <c r="H695" s="849">
        <v>173</v>
      </c>
      <c r="I695" s="828"/>
      <c r="J695" s="827"/>
      <c r="K695" s="827"/>
      <c r="L695" s="827"/>
      <c r="M695" s="851"/>
      <c r="N695" s="827"/>
      <c r="O695" s="827"/>
      <c r="P695" s="827"/>
      <c r="Q695" s="827"/>
      <c r="R695" s="827"/>
      <c r="S695" s="827"/>
      <c r="T695" s="827"/>
      <c r="U695" s="827"/>
      <c r="V695" s="827"/>
      <c r="W695" s="827"/>
      <c r="X695" s="827"/>
      <c r="Y695" s="827"/>
      <c r="Z695" s="827"/>
      <c r="AA695" s="827"/>
      <c r="AB695" s="827"/>
      <c r="AC695" s="852"/>
      <c r="AD695" s="827"/>
      <c r="AE695" s="827"/>
      <c r="AF695" s="827"/>
      <c r="AG695" s="827"/>
      <c r="AH695" s="827"/>
      <c r="AI695" s="827"/>
      <c r="AJ695" s="827"/>
      <c r="EB695" s="846"/>
    </row>
    <row r="696" spans="5:132" ht="18" x14ac:dyDescent="0.25">
      <c r="E696" s="826"/>
      <c r="H696" s="849">
        <v>174</v>
      </c>
      <c r="I696" s="828"/>
      <c r="J696" s="827"/>
      <c r="K696" s="827"/>
      <c r="L696" s="827"/>
      <c r="M696" s="851"/>
      <c r="N696" s="827"/>
      <c r="O696" s="827"/>
      <c r="P696" s="827"/>
      <c r="Q696" s="827"/>
      <c r="R696" s="827"/>
      <c r="S696" s="827"/>
      <c r="T696" s="827"/>
      <c r="U696" s="827"/>
      <c r="V696" s="827"/>
      <c r="W696" s="827"/>
      <c r="X696" s="827"/>
      <c r="Y696" s="827"/>
      <c r="Z696" s="827"/>
      <c r="AA696" s="827"/>
      <c r="AB696" s="827"/>
      <c r="AC696" s="852"/>
      <c r="AD696" s="827"/>
      <c r="AE696" s="827"/>
      <c r="AF696" s="827"/>
      <c r="AG696" s="827"/>
      <c r="AH696" s="827"/>
      <c r="AI696" s="827"/>
      <c r="AJ696" s="827"/>
      <c r="EB696" s="846"/>
    </row>
    <row r="697" spans="5:132" ht="18" x14ac:dyDescent="0.25">
      <c r="E697" s="826"/>
      <c r="H697" s="849">
        <v>175</v>
      </c>
      <c r="I697" s="828"/>
      <c r="J697" s="827"/>
      <c r="K697" s="827"/>
      <c r="L697" s="827"/>
      <c r="M697" s="851"/>
      <c r="N697" s="827"/>
      <c r="O697" s="827"/>
      <c r="P697" s="827"/>
      <c r="Q697" s="827"/>
      <c r="R697" s="827"/>
      <c r="S697" s="827"/>
      <c r="T697" s="827"/>
      <c r="U697" s="827"/>
      <c r="V697" s="827"/>
      <c r="W697" s="827"/>
      <c r="X697" s="827"/>
      <c r="Y697" s="827"/>
      <c r="Z697" s="827"/>
      <c r="AA697" s="827"/>
      <c r="AB697" s="827"/>
      <c r="AC697" s="852"/>
      <c r="AD697" s="827"/>
      <c r="AE697" s="827"/>
      <c r="AF697" s="827"/>
      <c r="AG697" s="827"/>
      <c r="AH697" s="827"/>
      <c r="AI697" s="827"/>
      <c r="AJ697" s="827"/>
      <c r="EB697" s="846"/>
    </row>
    <row r="698" spans="5:132" ht="18" x14ac:dyDescent="0.25">
      <c r="E698" s="826"/>
      <c r="H698" s="849">
        <v>176</v>
      </c>
      <c r="I698" s="828"/>
      <c r="J698" s="827"/>
      <c r="K698" s="827"/>
      <c r="L698" s="827"/>
      <c r="M698" s="851"/>
      <c r="N698" s="827"/>
      <c r="O698" s="827"/>
      <c r="P698" s="827"/>
      <c r="Q698" s="827"/>
      <c r="R698" s="827"/>
      <c r="S698" s="827"/>
      <c r="T698" s="827"/>
      <c r="U698" s="827"/>
      <c r="V698" s="827"/>
      <c r="W698" s="827"/>
      <c r="X698" s="827"/>
      <c r="Y698" s="827"/>
      <c r="Z698" s="827"/>
      <c r="AA698" s="827"/>
      <c r="AB698" s="827"/>
      <c r="AC698" s="852"/>
      <c r="AD698" s="827"/>
      <c r="AE698" s="827"/>
      <c r="AF698" s="827"/>
      <c r="AG698" s="827"/>
      <c r="AH698" s="827"/>
      <c r="AI698" s="827"/>
      <c r="AJ698" s="827"/>
      <c r="EB698" s="846"/>
    </row>
    <row r="699" spans="5:132" ht="18" x14ac:dyDescent="0.25">
      <c r="E699" s="826"/>
      <c r="H699" s="849">
        <v>180</v>
      </c>
      <c r="I699" s="828"/>
      <c r="J699" s="827"/>
      <c r="K699" s="827"/>
      <c r="L699" s="827"/>
      <c r="M699" s="851"/>
      <c r="N699" s="827"/>
      <c r="O699" s="827"/>
      <c r="P699" s="827"/>
      <c r="Q699" s="827"/>
      <c r="R699" s="827"/>
      <c r="S699" s="827"/>
      <c r="T699" s="827"/>
      <c r="U699" s="827"/>
      <c r="V699" s="827"/>
      <c r="W699" s="827"/>
      <c r="X699" s="827"/>
      <c r="Y699" s="827"/>
      <c r="Z699" s="827"/>
      <c r="AA699" s="827"/>
      <c r="AB699" s="827"/>
      <c r="AC699" s="852"/>
      <c r="AD699" s="827"/>
      <c r="AE699" s="827"/>
      <c r="AF699" s="827"/>
      <c r="AG699" s="827"/>
      <c r="AH699" s="827"/>
      <c r="AI699" s="827"/>
      <c r="AJ699" s="827"/>
      <c r="EB699" s="846"/>
    </row>
    <row r="700" spans="5:132" ht="18" x14ac:dyDescent="0.25">
      <c r="E700" s="826"/>
      <c r="H700" s="849">
        <v>181</v>
      </c>
      <c r="I700" s="828"/>
      <c r="J700" s="827"/>
      <c r="K700" s="827"/>
      <c r="L700" s="827"/>
      <c r="M700" s="851"/>
      <c r="N700" s="827"/>
      <c r="O700" s="827"/>
      <c r="P700" s="827"/>
      <c r="Q700" s="827"/>
      <c r="R700" s="827"/>
      <c r="S700" s="827"/>
      <c r="T700" s="827"/>
      <c r="U700" s="827"/>
      <c r="V700" s="827"/>
      <c r="W700" s="827"/>
      <c r="X700" s="827"/>
      <c r="Y700" s="827"/>
      <c r="Z700" s="827"/>
      <c r="AA700" s="827"/>
      <c r="AB700" s="827"/>
      <c r="AC700" s="852"/>
      <c r="AD700" s="827"/>
      <c r="AE700" s="827"/>
      <c r="AF700" s="827"/>
      <c r="AG700" s="827"/>
      <c r="AH700" s="827"/>
      <c r="AI700" s="827"/>
      <c r="AJ700" s="827"/>
      <c r="EB700" s="846"/>
    </row>
    <row r="701" spans="5:132" ht="18" x14ac:dyDescent="0.25">
      <c r="E701" s="826"/>
      <c r="H701" s="849">
        <v>182</v>
      </c>
      <c r="I701" s="828"/>
      <c r="J701" s="827"/>
      <c r="K701" s="827"/>
      <c r="L701" s="827"/>
      <c r="M701" s="851"/>
      <c r="N701" s="827"/>
      <c r="O701" s="827"/>
      <c r="P701" s="827"/>
      <c r="Q701" s="827"/>
      <c r="R701" s="827"/>
      <c r="S701" s="827"/>
      <c r="T701" s="827"/>
      <c r="U701" s="827"/>
      <c r="V701" s="827"/>
      <c r="W701" s="827"/>
      <c r="X701" s="827"/>
      <c r="Y701" s="827"/>
      <c r="Z701" s="827"/>
      <c r="AA701" s="827"/>
      <c r="AB701" s="827"/>
      <c r="AC701" s="852"/>
      <c r="AD701" s="827"/>
      <c r="AE701" s="827"/>
      <c r="AF701" s="827"/>
      <c r="AG701" s="827"/>
      <c r="AH701" s="827"/>
      <c r="AI701" s="827"/>
      <c r="AJ701" s="827"/>
      <c r="EB701" s="846"/>
    </row>
    <row r="702" spans="5:132" ht="18" x14ac:dyDescent="0.25">
      <c r="E702" s="826"/>
      <c r="H702" s="849">
        <v>183</v>
      </c>
      <c r="I702" s="850"/>
      <c r="J702" s="827"/>
      <c r="K702" s="827"/>
      <c r="L702" s="827"/>
      <c r="M702" s="851"/>
      <c r="N702" s="827"/>
      <c r="O702" s="827"/>
      <c r="P702" s="827"/>
      <c r="Q702" s="827"/>
      <c r="R702" s="827"/>
      <c r="S702" s="827"/>
      <c r="T702" s="827"/>
      <c r="U702" s="827"/>
      <c r="V702" s="827"/>
      <c r="W702" s="827"/>
      <c r="X702" s="827"/>
      <c r="Y702" s="827"/>
      <c r="Z702" s="827"/>
      <c r="AA702" s="827"/>
      <c r="AB702" s="827"/>
      <c r="AC702" s="852"/>
      <c r="AD702" s="827"/>
      <c r="AE702" s="827"/>
      <c r="AF702" s="827"/>
      <c r="AG702" s="827"/>
      <c r="AH702" s="827"/>
      <c r="AI702" s="827"/>
      <c r="AJ702" s="827"/>
      <c r="EB702" s="846"/>
    </row>
    <row r="703" spans="5:132" ht="18" x14ac:dyDescent="0.25">
      <c r="E703" s="826"/>
      <c r="H703" s="849">
        <v>184</v>
      </c>
      <c r="I703" s="850"/>
      <c r="J703" s="827"/>
      <c r="K703" s="827"/>
      <c r="L703" s="827"/>
      <c r="M703" s="851"/>
      <c r="N703" s="827"/>
      <c r="O703" s="827"/>
      <c r="P703" s="827"/>
      <c r="Q703" s="827"/>
      <c r="R703" s="827"/>
      <c r="S703" s="827"/>
      <c r="T703" s="827"/>
      <c r="U703" s="827"/>
      <c r="V703" s="827"/>
      <c r="W703" s="827"/>
      <c r="X703" s="827"/>
      <c r="Y703" s="827"/>
      <c r="Z703" s="827"/>
      <c r="AA703" s="827"/>
      <c r="AB703" s="827"/>
      <c r="AC703" s="852"/>
      <c r="AD703" s="827"/>
      <c r="AE703" s="827"/>
      <c r="AF703" s="827"/>
      <c r="AG703" s="827"/>
      <c r="AH703" s="827"/>
      <c r="AI703" s="827"/>
      <c r="AJ703" s="827"/>
      <c r="EB703" s="846"/>
    </row>
    <row r="704" spans="5:132" ht="18" x14ac:dyDescent="0.25">
      <c r="E704" s="826"/>
      <c r="H704" s="849">
        <v>185</v>
      </c>
      <c r="I704" s="850"/>
      <c r="J704" s="827"/>
      <c r="K704" s="827"/>
      <c r="L704" s="827"/>
      <c r="M704" s="851"/>
      <c r="N704" s="827"/>
      <c r="O704" s="827"/>
      <c r="P704" s="827"/>
      <c r="Q704" s="827"/>
      <c r="R704" s="827"/>
      <c r="S704" s="827"/>
      <c r="T704" s="827"/>
      <c r="U704" s="827"/>
      <c r="V704" s="827"/>
      <c r="W704" s="827"/>
      <c r="X704" s="827"/>
      <c r="Y704" s="827"/>
      <c r="Z704" s="827"/>
      <c r="AA704" s="827"/>
      <c r="AB704" s="827"/>
      <c r="AC704" s="852"/>
      <c r="AD704" s="827"/>
      <c r="AE704" s="827"/>
      <c r="AF704" s="827"/>
      <c r="AG704" s="827"/>
      <c r="AH704" s="827"/>
      <c r="AI704" s="827"/>
      <c r="AJ704" s="827"/>
      <c r="EB704" s="846"/>
    </row>
    <row r="705" spans="5:132" ht="18" x14ac:dyDescent="0.25">
      <c r="E705" s="826"/>
      <c r="H705" s="849">
        <v>186</v>
      </c>
      <c r="I705" s="850"/>
      <c r="J705" s="827"/>
      <c r="K705" s="827"/>
      <c r="L705" s="827"/>
      <c r="M705" s="851"/>
      <c r="N705" s="827"/>
      <c r="O705" s="827"/>
      <c r="P705" s="827"/>
      <c r="Q705" s="827"/>
      <c r="R705" s="827"/>
      <c r="S705" s="827"/>
      <c r="T705" s="827"/>
      <c r="U705" s="827"/>
      <c r="V705" s="827"/>
      <c r="W705" s="827"/>
      <c r="X705" s="827"/>
      <c r="Y705" s="827"/>
      <c r="Z705" s="827"/>
      <c r="AA705" s="827"/>
      <c r="AB705" s="827"/>
      <c r="AC705" s="852"/>
      <c r="AD705" s="827"/>
      <c r="AE705" s="827"/>
      <c r="AF705" s="827"/>
      <c r="AG705" s="827"/>
      <c r="AH705" s="827"/>
      <c r="AI705" s="827"/>
      <c r="AJ705" s="827"/>
      <c r="EB705" s="846"/>
    </row>
    <row r="706" spans="5:132" ht="18" x14ac:dyDescent="0.25">
      <c r="E706" s="826"/>
      <c r="H706" s="849">
        <v>187</v>
      </c>
      <c r="I706" s="850"/>
      <c r="J706" s="827"/>
      <c r="K706" s="827"/>
      <c r="L706" s="827"/>
      <c r="M706" s="851"/>
      <c r="N706" s="827"/>
      <c r="O706" s="827"/>
      <c r="P706" s="827"/>
      <c r="Q706" s="827"/>
      <c r="R706" s="827"/>
      <c r="S706" s="827"/>
      <c r="T706" s="827"/>
      <c r="U706" s="827"/>
      <c r="V706" s="827"/>
      <c r="W706" s="827"/>
      <c r="X706" s="827"/>
      <c r="Y706" s="827"/>
      <c r="Z706" s="827"/>
      <c r="AA706" s="827"/>
      <c r="AB706" s="827"/>
      <c r="AC706" s="852"/>
      <c r="AD706" s="827"/>
      <c r="AE706" s="827"/>
      <c r="AF706" s="827"/>
      <c r="AG706" s="827"/>
      <c r="AH706" s="827"/>
      <c r="AI706" s="827"/>
      <c r="AJ706" s="827"/>
      <c r="EB706" s="846"/>
    </row>
    <row r="707" spans="5:132" ht="18" x14ac:dyDescent="0.25">
      <c r="E707" s="826"/>
      <c r="H707" s="849">
        <v>188</v>
      </c>
      <c r="I707" s="850"/>
      <c r="J707" s="827"/>
      <c r="K707" s="827"/>
      <c r="L707" s="827"/>
      <c r="M707" s="851"/>
      <c r="N707" s="827"/>
      <c r="O707" s="827"/>
      <c r="P707" s="827"/>
      <c r="Q707" s="827"/>
      <c r="R707" s="827"/>
      <c r="S707" s="827"/>
      <c r="T707" s="827"/>
      <c r="U707" s="827"/>
      <c r="V707" s="827"/>
      <c r="W707" s="827"/>
      <c r="X707" s="827"/>
      <c r="Y707" s="827"/>
      <c r="Z707" s="827"/>
      <c r="AA707" s="827"/>
      <c r="AB707" s="827"/>
      <c r="AC707" s="852"/>
      <c r="AD707" s="827"/>
      <c r="AE707" s="827"/>
      <c r="AF707" s="827"/>
      <c r="AG707" s="827"/>
      <c r="AH707" s="827"/>
      <c r="AI707" s="827"/>
      <c r="AJ707" s="827"/>
      <c r="EB707" s="846"/>
    </row>
    <row r="708" spans="5:132" ht="18" x14ac:dyDescent="0.25">
      <c r="E708" s="826"/>
      <c r="H708" s="849">
        <v>189</v>
      </c>
      <c r="I708" s="850"/>
      <c r="J708" s="827"/>
      <c r="K708" s="827"/>
      <c r="L708" s="827"/>
      <c r="M708" s="851"/>
      <c r="N708" s="827"/>
      <c r="O708" s="827"/>
      <c r="P708" s="827"/>
      <c r="Q708" s="827"/>
      <c r="R708" s="827"/>
      <c r="S708" s="827"/>
      <c r="T708" s="827"/>
      <c r="U708" s="827"/>
      <c r="V708" s="827"/>
      <c r="W708" s="827"/>
      <c r="X708" s="827"/>
      <c r="Y708" s="827"/>
      <c r="Z708" s="827"/>
      <c r="AA708" s="827"/>
      <c r="AB708" s="827"/>
      <c r="AC708" s="852"/>
      <c r="AD708" s="827"/>
      <c r="AE708" s="827"/>
      <c r="AF708" s="827"/>
      <c r="AG708" s="827"/>
      <c r="AH708" s="827"/>
      <c r="AI708" s="827"/>
      <c r="AJ708" s="827"/>
      <c r="EB708" s="846"/>
    </row>
    <row r="709" spans="5:132" ht="18" x14ac:dyDescent="0.25">
      <c r="E709" s="826"/>
      <c r="H709" s="849">
        <v>190</v>
      </c>
      <c r="I709" s="850"/>
      <c r="J709" s="827"/>
      <c r="K709" s="827"/>
      <c r="L709" s="827"/>
      <c r="M709" s="851"/>
      <c r="N709" s="827"/>
      <c r="O709" s="827"/>
      <c r="P709" s="827"/>
      <c r="Q709" s="827"/>
      <c r="R709" s="827"/>
      <c r="S709" s="827"/>
      <c r="T709" s="827"/>
      <c r="U709" s="827"/>
      <c r="V709" s="827"/>
      <c r="W709" s="827"/>
      <c r="X709" s="827"/>
      <c r="Y709" s="827"/>
      <c r="Z709" s="827"/>
      <c r="AA709" s="827"/>
      <c r="AB709" s="827"/>
      <c r="AC709" s="852"/>
      <c r="AD709" s="827"/>
      <c r="AE709" s="827"/>
      <c r="AF709" s="827"/>
      <c r="AG709" s="827"/>
      <c r="AH709" s="827"/>
      <c r="AI709" s="827"/>
      <c r="AJ709" s="827"/>
      <c r="EB709" s="846"/>
    </row>
    <row r="710" spans="5:132" ht="18" x14ac:dyDescent="0.25">
      <c r="E710" s="826"/>
      <c r="H710" s="849">
        <v>191</v>
      </c>
      <c r="I710" s="850"/>
      <c r="J710" s="827"/>
      <c r="K710" s="827"/>
      <c r="L710" s="827"/>
      <c r="M710" s="851"/>
      <c r="N710" s="827"/>
      <c r="O710" s="827"/>
      <c r="P710" s="827"/>
      <c r="Q710" s="827"/>
      <c r="R710" s="827"/>
      <c r="S710" s="827"/>
      <c r="T710" s="827"/>
      <c r="U710" s="827"/>
      <c r="V710" s="827"/>
      <c r="W710" s="827"/>
      <c r="X710" s="827"/>
      <c r="Y710" s="827"/>
      <c r="Z710" s="827"/>
      <c r="AA710" s="827"/>
      <c r="AB710" s="827"/>
      <c r="AC710" s="852"/>
      <c r="AD710" s="827"/>
      <c r="AE710" s="827"/>
      <c r="AF710" s="827"/>
      <c r="AG710" s="827"/>
      <c r="AH710" s="827"/>
      <c r="AI710" s="827"/>
      <c r="AJ710" s="827"/>
      <c r="EB710" s="846"/>
    </row>
    <row r="711" spans="5:132" ht="18" x14ac:dyDescent="0.25">
      <c r="E711" s="826"/>
      <c r="H711" s="849">
        <v>192</v>
      </c>
      <c r="I711" s="850"/>
      <c r="J711" s="827"/>
      <c r="K711" s="827"/>
      <c r="L711" s="827"/>
      <c r="M711" s="851"/>
      <c r="N711" s="827"/>
      <c r="O711" s="827"/>
      <c r="P711" s="827"/>
      <c r="Q711" s="827"/>
      <c r="R711" s="827"/>
      <c r="S711" s="827"/>
      <c r="T711" s="827"/>
      <c r="U711" s="827"/>
      <c r="V711" s="827"/>
      <c r="W711" s="827"/>
      <c r="X711" s="827"/>
      <c r="Y711" s="827"/>
      <c r="Z711" s="827"/>
      <c r="AA711" s="827"/>
      <c r="AB711" s="827"/>
      <c r="AC711" s="852"/>
      <c r="AD711" s="827"/>
      <c r="AE711" s="827"/>
      <c r="AF711" s="827"/>
      <c r="AG711" s="827"/>
      <c r="AH711" s="827"/>
      <c r="AI711" s="827"/>
      <c r="AJ711" s="827"/>
      <c r="EB711" s="846"/>
    </row>
    <row r="712" spans="5:132" ht="18" x14ac:dyDescent="0.25">
      <c r="E712" s="826"/>
      <c r="H712" s="849">
        <v>193</v>
      </c>
      <c r="I712" s="850"/>
      <c r="J712" s="827"/>
      <c r="K712" s="827"/>
      <c r="L712" s="827"/>
      <c r="M712" s="851"/>
      <c r="N712" s="827"/>
      <c r="O712" s="827"/>
      <c r="P712" s="827"/>
      <c r="Q712" s="827"/>
      <c r="R712" s="827"/>
      <c r="S712" s="827"/>
      <c r="T712" s="827"/>
      <c r="U712" s="827"/>
      <c r="V712" s="827"/>
      <c r="W712" s="827"/>
      <c r="X712" s="827"/>
      <c r="Y712" s="827"/>
      <c r="Z712" s="827"/>
      <c r="AA712" s="827"/>
      <c r="AB712" s="827"/>
      <c r="AC712" s="852"/>
      <c r="AD712" s="827"/>
      <c r="AE712" s="827"/>
      <c r="AF712" s="827"/>
      <c r="AG712" s="827"/>
      <c r="AH712" s="827"/>
      <c r="AI712" s="827"/>
      <c r="AJ712" s="827"/>
      <c r="EB712" s="846"/>
    </row>
    <row r="713" spans="5:132" ht="18" x14ac:dyDescent="0.25">
      <c r="E713" s="826"/>
      <c r="H713" s="849">
        <v>194</v>
      </c>
      <c r="I713" s="850"/>
      <c r="J713" s="827"/>
      <c r="K713" s="827"/>
      <c r="L713" s="827"/>
      <c r="M713" s="851"/>
      <c r="N713" s="827"/>
      <c r="O713" s="827"/>
      <c r="P713" s="827"/>
      <c r="Q713" s="827"/>
      <c r="R713" s="827"/>
      <c r="S713" s="827"/>
      <c r="T713" s="827"/>
      <c r="U713" s="827"/>
      <c r="V713" s="827"/>
      <c r="W713" s="827"/>
      <c r="X713" s="827"/>
      <c r="Y713" s="827"/>
      <c r="Z713" s="827"/>
      <c r="AA713" s="827"/>
      <c r="AB713" s="827"/>
      <c r="AC713" s="852"/>
      <c r="AD713" s="827"/>
      <c r="AE713" s="827"/>
      <c r="AF713" s="827"/>
      <c r="AG713" s="827"/>
      <c r="AH713" s="827"/>
      <c r="AI713" s="827"/>
      <c r="AJ713" s="827"/>
      <c r="EB713" s="846"/>
    </row>
    <row r="714" spans="5:132" ht="18" x14ac:dyDescent="0.25">
      <c r="E714" s="826"/>
      <c r="H714" s="849">
        <v>195</v>
      </c>
      <c r="I714" s="850"/>
      <c r="J714" s="827"/>
      <c r="K714" s="827"/>
      <c r="L714" s="827"/>
      <c r="M714" s="851"/>
      <c r="N714" s="827"/>
      <c r="O714" s="827"/>
      <c r="P714" s="827"/>
      <c r="Q714" s="827"/>
      <c r="R714" s="827"/>
      <c r="S714" s="827"/>
      <c r="T714" s="827"/>
      <c r="U714" s="827"/>
      <c r="V714" s="827"/>
      <c r="W714" s="827"/>
      <c r="X714" s="827"/>
      <c r="Y714" s="827"/>
      <c r="Z714" s="827"/>
      <c r="AA714" s="827"/>
      <c r="AB714" s="827"/>
      <c r="AC714" s="852"/>
      <c r="AD714" s="827"/>
      <c r="AE714" s="827"/>
      <c r="AF714" s="827"/>
      <c r="AG714" s="827"/>
      <c r="AH714" s="827"/>
      <c r="AI714" s="827"/>
      <c r="AJ714" s="827"/>
      <c r="EB714" s="846"/>
    </row>
    <row r="715" spans="5:132" ht="18" x14ac:dyDescent="0.25">
      <c r="E715" s="826"/>
      <c r="H715" s="849">
        <v>196</v>
      </c>
      <c r="I715" s="850"/>
      <c r="J715" s="827"/>
      <c r="K715" s="827"/>
      <c r="L715" s="827"/>
      <c r="M715" s="851"/>
      <c r="N715" s="827"/>
      <c r="O715" s="827"/>
      <c r="P715" s="827"/>
      <c r="Q715" s="827"/>
      <c r="R715" s="827"/>
      <c r="S715" s="827"/>
      <c r="T715" s="827"/>
      <c r="U715" s="827"/>
      <c r="V715" s="827"/>
      <c r="W715" s="827"/>
      <c r="X715" s="827"/>
      <c r="Y715" s="827"/>
      <c r="Z715" s="827"/>
      <c r="AA715" s="827"/>
      <c r="AB715" s="827"/>
      <c r="AC715" s="852"/>
      <c r="AD715" s="827"/>
      <c r="AE715" s="827"/>
      <c r="AF715" s="827"/>
      <c r="AG715" s="827"/>
      <c r="AH715" s="827"/>
      <c r="AI715" s="827"/>
      <c r="AJ715" s="827"/>
      <c r="EB715" s="846"/>
    </row>
    <row r="716" spans="5:132" ht="18" x14ac:dyDescent="0.25">
      <c r="E716" s="826"/>
      <c r="H716" s="849">
        <v>197</v>
      </c>
      <c r="I716" s="850"/>
      <c r="J716" s="827"/>
      <c r="K716" s="827"/>
      <c r="L716" s="827"/>
      <c r="M716" s="851"/>
      <c r="N716" s="827"/>
      <c r="O716" s="827"/>
      <c r="P716" s="827"/>
      <c r="Q716" s="827"/>
      <c r="R716" s="827"/>
      <c r="S716" s="827"/>
      <c r="T716" s="827"/>
      <c r="U716" s="827"/>
      <c r="V716" s="827"/>
      <c r="W716" s="827"/>
      <c r="X716" s="827"/>
      <c r="Y716" s="827"/>
      <c r="Z716" s="827"/>
      <c r="AA716" s="827"/>
      <c r="AB716" s="827"/>
      <c r="AC716" s="852"/>
      <c r="AD716" s="827"/>
      <c r="AE716" s="827"/>
      <c r="AF716" s="827"/>
      <c r="AG716" s="827"/>
      <c r="AH716" s="827"/>
      <c r="AI716" s="827"/>
      <c r="AJ716" s="827"/>
      <c r="EB716" s="846"/>
    </row>
    <row r="717" spans="5:132" ht="18" x14ac:dyDescent="0.25">
      <c r="E717" s="826"/>
      <c r="H717" s="849">
        <v>198</v>
      </c>
      <c r="I717" s="850"/>
      <c r="J717" s="827"/>
      <c r="K717" s="827"/>
      <c r="L717" s="827"/>
      <c r="M717" s="851"/>
      <c r="N717" s="827"/>
      <c r="O717" s="827"/>
      <c r="P717" s="827"/>
      <c r="Q717" s="827"/>
      <c r="R717" s="827"/>
      <c r="S717" s="827"/>
      <c r="T717" s="827"/>
      <c r="U717" s="827"/>
      <c r="V717" s="827"/>
      <c r="W717" s="827"/>
      <c r="X717" s="827"/>
      <c r="Y717" s="827"/>
      <c r="Z717" s="827"/>
      <c r="AA717" s="827"/>
      <c r="AB717" s="827"/>
      <c r="AC717" s="852"/>
      <c r="AD717" s="827"/>
      <c r="AE717" s="827"/>
      <c r="AF717" s="827"/>
      <c r="AG717" s="827"/>
      <c r="AH717" s="827"/>
      <c r="AI717" s="827"/>
      <c r="AJ717" s="827"/>
      <c r="EB717" s="846"/>
    </row>
    <row r="718" spans="5:132" ht="18" x14ac:dyDescent="0.25">
      <c r="E718" s="826"/>
      <c r="H718" s="849">
        <v>204</v>
      </c>
      <c r="I718" s="850"/>
      <c r="J718" s="827"/>
      <c r="K718" s="827"/>
      <c r="L718" s="827"/>
      <c r="M718" s="851"/>
      <c r="N718" s="827"/>
      <c r="O718" s="827"/>
      <c r="P718" s="827"/>
      <c r="Q718" s="827"/>
      <c r="R718" s="827"/>
      <c r="S718" s="827"/>
      <c r="T718" s="827"/>
      <c r="U718" s="827"/>
      <c r="V718" s="827"/>
      <c r="W718" s="827"/>
      <c r="X718" s="827"/>
      <c r="Y718" s="827"/>
      <c r="Z718" s="827"/>
      <c r="AA718" s="827"/>
      <c r="AB718" s="827"/>
      <c r="AC718" s="852"/>
      <c r="AD718" s="827"/>
      <c r="AE718" s="827"/>
      <c r="AF718" s="827"/>
      <c r="AG718" s="827"/>
      <c r="AH718" s="827"/>
      <c r="AI718" s="827"/>
      <c r="AJ718" s="827"/>
      <c r="EB718" s="846"/>
    </row>
    <row r="719" spans="5:132" ht="18" x14ac:dyDescent="0.25">
      <c r="E719" s="826"/>
      <c r="H719" s="849">
        <v>205</v>
      </c>
      <c r="I719" s="850"/>
      <c r="J719" s="827"/>
      <c r="K719" s="827"/>
      <c r="L719" s="827"/>
      <c r="M719" s="851"/>
      <c r="N719" s="827"/>
      <c r="O719" s="827"/>
      <c r="P719" s="827"/>
      <c r="Q719" s="827"/>
      <c r="R719" s="827"/>
      <c r="S719" s="827"/>
      <c r="T719" s="827"/>
      <c r="U719" s="827"/>
      <c r="V719" s="827"/>
      <c r="W719" s="827"/>
      <c r="X719" s="827"/>
      <c r="Y719" s="827"/>
      <c r="Z719" s="827"/>
      <c r="AA719" s="827"/>
      <c r="AB719" s="827"/>
      <c r="AC719" s="852"/>
      <c r="AD719" s="827"/>
      <c r="AE719" s="827"/>
      <c r="AF719" s="827"/>
      <c r="AG719" s="827"/>
      <c r="AH719" s="827"/>
      <c r="AI719" s="827"/>
      <c r="AJ719" s="827"/>
      <c r="EB719" s="846"/>
    </row>
    <row r="720" spans="5:132" ht="18" x14ac:dyDescent="0.25">
      <c r="E720" s="826"/>
      <c r="H720" s="849">
        <v>206</v>
      </c>
      <c r="I720" s="850"/>
      <c r="J720" s="827"/>
      <c r="K720" s="827"/>
      <c r="L720" s="827"/>
      <c r="M720" s="851"/>
      <c r="N720" s="827"/>
      <c r="O720" s="827"/>
      <c r="P720" s="827"/>
      <c r="Q720" s="827"/>
      <c r="R720" s="827"/>
      <c r="S720" s="827"/>
      <c r="T720" s="827"/>
      <c r="U720" s="827"/>
      <c r="V720" s="827"/>
      <c r="W720" s="827"/>
      <c r="X720" s="827"/>
      <c r="Y720" s="827"/>
      <c r="Z720" s="827"/>
      <c r="AA720" s="827"/>
      <c r="AB720" s="827"/>
      <c r="AC720" s="852"/>
      <c r="AD720" s="827"/>
      <c r="AE720" s="827"/>
      <c r="AF720" s="827"/>
      <c r="AG720" s="827"/>
      <c r="AH720" s="827"/>
      <c r="AI720" s="827"/>
      <c r="AJ720" s="827"/>
      <c r="EB720" s="846"/>
    </row>
    <row r="721" spans="5:132" ht="18" x14ac:dyDescent="0.25">
      <c r="E721" s="826"/>
      <c r="H721" s="849">
        <v>207</v>
      </c>
      <c r="I721" s="850"/>
      <c r="J721" s="827"/>
      <c r="K721" s="827"/>
      <c r="L721" s="827"/>
      <c r="M721" s="851"/>
      <c r="N721" s="827"/>
      <c r="O721" s="827"/>
      <c r="P721" s="827"/>
      <c r="Q721" s="827"/>
      <c r="R721" s="827"/>
      <c r="S721" s="827"/>
      <c r="T721" s="827"/>
      <c r="U721" s="827"/>
      <c r="V721" s="827"/>
      <c r="W721" s="827"/>
      <c r="X721" s="827"/>
      <c r="Y721" s="827"/>
      <c r="Z721" s="827"/>
      <c r="AA721" s="827"/>
      <c r="AB721" s="827"/>
      <c r="AC721" s="852"/>
      <c r="AD721" s="827"/>
      <c r="AE721" s="827"/>
      <c r="AF721" s="827"/>
      <c r="AG721" s="827"/>
      <c r="AH721" s="827"/>
      <c r="AI721" s="827"/>
      <c r="AJ721" s="827"/>
      <c r="EB721" s="846"/>
    </row>
    <row r="722" spans="5:132" ht="18" x14ac:dyDescent="0.25">
      <c r="E722" s="826"/>
      <c r="H722" s="849">
        <v>208</v>
      </c>
      <c r="I722" s="850"/>
      <c r="J722" s="827"/>
      <c r="K722" s="827"/>
      <c r="L722" s="827"/>
      <c r="M722" s="851"/>
      <c r="N722" s="827"/>
      <c r="O722" s="827"/>
      <c r="P722" s="827"/>
      <c r="Q722" s="827"/>
      <c r="R722" s="827"/>
      <c r="S722" s="827"/>
      <c r="T722" s="827"/>
      <c r="U722" s="827"/>
      <c r="V722" s="827"/>
      <c r="W722" s="827"/>
      <c r="X722" s="827"/>
      <c r="Y722" s="827"/>
      <c r="Z722" s="827"/>
      <c r="AA722" s="827"/>
      <c r="AB722" s="827"/>
      <c r="AC722" s="852"/>
      <c r="AD722" s="827"/>
      <c r="AE722" s="827"/>
      <c r="AF722" s="827"/>
      <c r="AG722" s="827"/>
      <c r="AH722" s="827"/>
      <c r="AI722" s="827"/>
      <c r="AJ722" s="827"/>
      <c r="EB722" s="846"/>
    </row>
    <row r="723" spans="5:132" ht="18" x14ac:dyDescent="0.25">
      <c r="E723" s="826"/>
      <c r="H723" s="849">
        <v>209</v>
      </c>
      <c r="I723" s="850"/>
      <c r="J723" s="827"/>
      <c r="K723" s="827"/>
      <c r="L723" s="827"/>
      <c r="M723" s="851"/>
      <c r="N723" s="827"/>
      <c r="O723" s="827"/>
      <c r="P723" s="827"/>
      <c r="Q723" s="827"/>
      <c r="R723" s="827"/>
      <c r="S723" s="827"/>
      <c r="T723" s="827"/>
      <c r="U723" s="827"/>
      <c r="V723" s="827"/>
      <c r="W723" s="827"/>
      <c r="X723" s="827"/>
      <c r="Y723" s="827"/>
      <c r="Z723" s="827"/>
      <c r="AA723" s="827"/>
      <c r="AB723" s="827"/>
      <c r="AC723" s="852"/>
      <c r="AD723" s="827"/>
      <c r="AE723" s="827"/>
      <c r="AF723" s="827"/>
      <c r="AG723" s="827"/>
      <c r="AH723" s="827"/>
      <c r="AI723" s="827"/>
      <c r="AJ723" s="827"/>
      <c r="EB723" s="846"/>
    </row>
    <row r="724" spans="5:132" ht="18" x14ac:dyDescent="0.25">
      <c r="E724" s="826"/>
      <c r="H724" s="849">
        <v>210</v>
      </c>
      <c r="I724" s="850"/>
      <c r="J724" s="827"/>
      <c r="K724" s="827"/>
      <c r="L724" s="827"/>
      <c r="M724" s="851"/>
      <c r="N724" s="827"/>
      <c r="O724" s="827"/>
      <c r="P724" s="827"/>
      <c r="Q724" s="827"/>
      <c r="R724" s="827"/>
      <c r="S724" s="827"/>
      <c r="T724" s="827"/>
      <c r="U724" s="827"/>
      <c r="V724" s="827"/>
      <c r="W724" s="827"/>
      <c r="X724" s="827"/>
      <c r="Y724" s="827"/>
      <c r="Z724" s="827"/>
      <c r="AA724" s="827"/>
      <c r="AB724" s="827"/>
      <c r="AC724" s="852"/>
      <c r="AD724" s="827"/>
      <c r="AE724" s="827"/>
      <c r="AF724" s="827"/>
      <c r="AG724" s="827"/>
      <c r="AH724" s="827"/>
      <c r="AI724" s="827"/>
      <c r="AJ724" s="827"/>
      <c r="EB724" s="846"/>
    </row>
    <row r="725" spans="5:132" ht="18" x14ac:dyDescent="0.25">
      <c r="E725" s="826"/>
      <c r="H725" s="849">
        <v>211</v>
      </c>
      <c r="I725" s="850"/>
      <c r="J725" s="827"/>
      <c r="K725" s="827"/>
      <c r="L725" s="827"/>
      <c r="M725" s="851"/>
      <c r="N725" s="827"/>
      <c r="O725" s="827"/>
      <c r="P725" s="827"/>
      <c r="Q725" s="827"/>
      <c r="R725" s="827"/>
      <c r="S725" s="827"/>
      <c r="T725" s="827"/>
      <c r="U725" s="827"/>
      <c r="V725" s="827"/>
      <c r="W725" s="827"/>
      <c r="X725" s="827"/>
      <c r="Y725" s="827"/>
      <c r="Z725" s="827"/>
      <c r="AA725" s="827"/>
      <c r="AB725" s="827"/>
      <c r="AC725" s="852"/>
      <c r="AD725" s="827"/>
      <c r="AE725" s="827"/>
      <c r="AF725" s="827"/>
      <c r="AG725" s="827"/>
      <c r="AH725" s="827"/>
      <c r="AI725" s="827"/>
      <c r="AJ725" s="827"/>
      <c r="EB725" s="846"/>
    </row>
    <row r="726" spans="5:132" ht="18" x14ac:dyDescent="0.25">
      <c r="E726" s="826"/>
      <c r="H726" s="849">
        <v>212</v>
      </c>
      <c r="I726" s="850"/>
      <c r="J726" s="827"/>
      <c r="K726" s="827"/>
      <c r="L726" s="827"/>
      <c r="M726" s="851"/>
      <c r="N726" s="827"/>
      <c r="O726" s="827"/>
      <c r="P726" s="827"/>
      <c r="Q726" s="827"/>
      <c r="R726" s="827"/>
      <c r="S726" s="827"/>
      <c r="T726" s="827"/>
      <c r="U726" s="827"/>
      <c r="V726" s="827"/>
      <c r="W726" s="827"/>
      <c r="X726" s="827"/>
      <c r="Y726" s="827"/>
      <c r="Z726" s="827"/>
      <c r="AA726" s="827"/>
      <c r="AB726" s="827"/>
      <c r="AC726" s="852"/>
      <c r="AD726" s="827"/>
      <c r="AE726" s="827"/>
      <c r="AF726" s="827"/>
      <c r="AG726" s="827"/>
      <c r="AH726" s="827"/>
      <c r="AI726" s="827"/>
      <c r="AJ726" s="827"/>
      <c r="EB726" s="846"/>
    </row>
    <row r="727" spans="5:132" ht="18" x14ac:dyDescent="0.25">
      <c r="E727" s="826"/>
      <c r="H727" s="849">
        <v>213</v>
      </c>
      <c r="I727" s="850"/>
      <c r="J727" s="827"/>
      <c r="K727" s="827"/>
      <c r="L727" s="827"/>
      <c r="M727" s="851"/>
      <c r="N727" s="827"/>
      <c r="O727" s="827"/>
      <c r="P727" s="827"/>
      <c r="Q727" s="827"/>
      <c r="R727" s="827"/>
      <c r="S727" s="827"/>
      <c r="T727" s="827"/>
      <c r="U727" s="827"/>
      <c r="V727" s="827"/>
      <c r="W727" s="827"/>
      <c r="X727" s="827"/>
      <c r="Y727" s="827"/>
      <c r="Z727" s="827"/>
      <c r="AA727" s="827"/>
      <c r="AB727" s="827"/>
      <c r="AC727" s="852"/>
      <c r="AD727" s="827"/>
      <c r="AE727" s="827"/>
      <c r="AF727" s="827"/>
      <c r="AG727" s="827"/>
      <c r="AH727" s="827"/>
      <c r="AI727" s="827"/>
      <c r="AJ727" s="827"/>
      <c r="EB727" s="846"/>
    </row>
    <row r="728" spans="5:132" ht="18" x14ac:dyDescent="0.25">
      <c r="E728" s="826"/>
      <c r="H728" s="849">
        <v>214</v>
      </c>
      <c r="I728" s="850"/>
      <c r="J728" s="827"/>
      <c r="K728" s="827"/>
      <c r="L728" s="827"/>
      <c r="M728" s="851"/>
      <c r="N728" s="827"/>
      <c r="O728" s="827"/>
      <c r="P728" s="827"/>
      <c r="Q728" s="827"/>
      <c r="R728" s="827"/>
      <c r="S728" s="827"/>
      <c r="T728" s="827"/>
      <c r="U728" s="827"/>
      <c r="V728" s="827"/>
      <c r="W728" s="827"/>
      <c r="X728" s="827"/>
      <c r="Y728" s="827"/>
      <c r="Z728" s="827"/>
      <c r="AA728" s="827"/>
      <c r="AB728" s="827"/>
      <c r="AC728" s="852"/>
      <c r="AD728" s="827"/>
      <c r="AE728" s="827"/>
      <c r="AF728" s="827"/>
      <c r="AG728" s="827"/>
      <c r="AH728" s="827"/>
      <c r="AI728" s="827"/>
      <c r="AJ728" s="827"/>
      <c r="EB728" s="846"/>
    </row>
    <row r="729" spans="5:132" ht="18" x14ac:dyDescent="0.25">
      <c r="E729" s="826"/>
      <c r="H729" s="849">
        <v>215</v>
      </c>
      <c r="I729" s="850"/>
      <c r="J729" s="827"/>
      <c r="K729" s="827"/>
      <c r="L729" s="827"/>
      <c r="M729" s="851"/>
      <c r="N729" s="827"/>
      <c r="O729" s="827"/>
      <c r="P729" s="827"/>
      <c r="Q729" s="827"/>
      <c r="R729" s="827"/>
      <c r="S729" s="827"/>
      <c r="T729" s="827"/>
      <c r="U729" s="827"/>
      <c r="V729" s="827"/>
      <c r="W729" s="827"/>
      <c r="X729" s="827"/>
      <c r="Y729" s="827"/>
      <c r="Z729" s="827"/>
      <c r="AA729" s="827"/>
      <c r="AB729" s="827"/>
      <c r="AC729" s="852"/>
      <c r="AD729" s="827"/>
      <c r="AE729" s="827"/>
      <c r="AF729" s="827"/>
      <c r="AG729" s="827"/>
      <c r="AH729" s="827"/>
      <c r="AI729" s="827"/>
      <c r="AJ729" s="827"/>
      <c r="EB729" s="846"/>
    </row>
    <row r="730" spans="5:132" ht="18" x14ac:dyDescent="0.25">
      <c r="E730" s="826"/>
      <c r="H730" s="849">
        <v>216</v>
      </c>
      <c r="I730" s="850"/>
      <c r="J730" s="827"/>
      <c r="K730" s="827"/>
      <c r="L730" s="827"/>
      <c r="M730" s="851"/>
      <c r="N730" s="827"/>
      <c r="O730" s="827"/>
      <c r="P730" s="827"/>
      <c r="Q730" s="827"/>
      <c r="R730" s="827"/>
      <c r="S730" s="827"/>
      <c r="T730" s="827"/>
      <c r="U730" s="827"/>
      <c r="V730" s="827"/>
      <c r="W730" s="827"/>
      <c r="X730" s="827"/>
      <c r="Y730" s="827"/>
      <c r="Z730" s="827"/>
      <c r="AA730" s="827"/>
      <c r="AB730" s="827"/>
      <c r="AC730" s="852"/>
      <c r="AD730" s="827"/>
      <c r="AE730" s="827"/>
      <c r="AF730" s="827"/>
      <c r="AG730" s="827"/>
      <c r="AH730" s="827"/>
      <c r="AI730" s="827"/>
      <c r="AJ730" s="827"/>
      <c r="EB730" s="846"/>
    </row>
    <row r="731" spans="5:132" ht="18" x14ac:dyDescent="0.25">
      <c r="E731" s="826"/>
      <c r="H731" s="849">
        <v>217</v>
      </c>
      <c r="I731" s="850"/>
      <c r="J731" s="827"/>
      <c r="K731" s="827"/>
      <c r="L731" s="827"/>
      <c r="M731" s="851"/>
      <c r="N731" s="827"/>
      <c r="O731" s="827"/>
      <c r="P731" s="827"/>
      <c r="Q731" s="827"/>
      <c r="R731" s="827"/>
      <c r="S731" s="827"/>
      <c r="T731" s="827"/>
      <c r="U731" s="827"/>
      <c r="V731" s="827"/>
      <c r="W731" s="827"/>
      <c r="X731" s="827"/>
      <c r="Y731" s="827"/>
      <c r="Z731" s="827"/>
      <c r="AA731" s="827"/>
      <c r="AB731" s="827"/>
      <c r="AC731" s="852"/>
      <c r="AD731" s="827"/>
      <c r="AE731" s="827"/>
      <c r="AF731" s="827"/>
      <c r="AG731" s="827"/>
      <c r="AH731" s="827"/>
      <c r="AI731" s="827"/>
      <c r="AJ731" s="827"/>
      <c r="EB731" s="846"/>
    </row>
    <row r="732" spans="5:132" ht="18" x14ac:dyDescent="0.25">
      <c r="E732" s="826"/>
      <c r="H732" s="849">
        <v>218</v>
      </c>
      <c r="I732" s="850"/>
      <c r="J732" s="827"/>
      <c r="K732" s="827"/>
      <c r="L732" s="827"/>
      <c r="M732" s="851"/>
      <c r="N732" s="827"/>
      <c r="O732" s="827"/>
      <c r="P732" s="827"/>
      <c r="Q732" s="827"/>
      <c r="R732" s="827"/>
      <c r="S732" s="827"/>
      <c r="T732" s="827"/>
      <c r="U732" s="827"/>
      <c r="V732" s="827"/>
      <c r="W732" s="827"/>
      <c r="X732" s="827"/>
      <c r="Y732" s="827"/>
      <c r="Z732" s="827"/>
      <c r="AA732" s="827"/>
      <c r="AB732" s="827"/>
      <c r="AC732" s="852"/>
      <c r="AD732" s="827"/>
      <c r="AE732" s="827"/>
      <c r="AF732" s="827"/>
      <c r="AG732" s="827"/>
      <c r="AH732" s="827"/>
      <c r="AI732" s="827"/>
      <c r="AJ732" s="827"/>
      <c r="EB732" s="846"/>
    </row>
    <row r="733" spans="5:132" ht="18" x14ac:dyDescent="0.25">
      <c r="E733" s="826"/>
      <c r="H733" s="849">
        <v>219</v>
      </c>
      <c r="I733" s="850"/>
      <c r="J733" s="827"/>
      <c r="K733" s="827"/>
      <c r="L733" s="827"/>
      <c r="M733" s="851"/>
      <c r="N733" s="827"/>
      <c r="O733" s="827"/>
      <c r="P733" s="827"/>
      <c r="Q733" s="827"/>
      <c r="R733" s="827"/>
      <c r="S733" s="827"/>
      <c r="T733" s="827"/>
      <c r="U733" s="827"/>
      <c r="V733" s="827"/>
      <c r="W733" s="827"/>
      <c r="X733" s="827"/>
      <c r="Y733" s="827"/>
      <c r="Z733" s="827"/>
      <c r="AA733" s="827"/>
      <c r="AB733" s="827"/>
      <c r="AC733" s="852"/>
      <c r="AD733" s="827"/>
      <c r="AE733" s="827"/>
      <c r="AF733" s="827"/>
      <c r="AG733" s="827"/>
      <c r="AH733" s="827"/>
      <c r="AI733" s="827"/>
      <c r="AJ733" s="827"/>
      <c r="EB733" s="846"/>
    </row>
    <row r="734" spans="5:132" ht="18" x14ac:dyDescent="0.25">
      <c r="E734" s="826"/>
      <c r="H734" s="849">
        <v>220</v>
      </c>
      <c r="I734" s="850"/>
      <c r="J734" s="827"/>
      <c r="K734" s="827"/>
      <c r="L734" s="827"/>
      <c r="M734" s="851"/>
      <c r="N734" s="827"/>
      <c r="O734" s="827"/>
      <c r="P734" s="827"/>
      <c r="Q734" s="827"/>
      <c r="R734" s="827"/>
      <c r="S734" s="827"/>
      <c r="T734" s="827"/>
      <c r="U734" s="827"/>
      <c r="V734" s="827"/>
      <c r="W734" s="827"/>
      <c r="X734" s="827"/>
      <c r="Y734" s="827"/>
      <c r="Z734" s="827"/>
      <c r="AA734" s="827"/>
      <c r="AB734" s="827"/>
      <c r="AC734" s="852"/>
      <c r="AD734" s="827"/>
      <c r="AE734" s="827"/>
      <c r="AF734" s="827"/>
      <c r="AG734" s="827"/>
      <c r="AH734" s="827"/>
      <c r="AI734" s="827"/>
      <c r="AJ734" s="827"/>
      <c r="EB734" s="846"/>
    </row>
    <row r="735" spans="5:132" ht="18" x14ac:dyDescent="0.25">
      <c r="E735" s="826"/>
      <c r="H735" s="849">
        <v>221</v>
      </c>
      <c r="I735" s="850"/>
      <c r="J735" s="827"/>
      <c r="K735" s="827"/>
      <c r="L735" s="827"/>
      <c r="M735" s="851"/>
      <c r="N735" s="827"/>
      <c r="O735" s="827"/>
      <c r="P735" s="827"/>
      <c r="Q735" s="827"/>
      <c r="R735" s="827"/>
      <c r="S735" s="827"/>
      <c r="T735" s="827"/>
      <c r="U735" s="827"/>
      <c r="V735" s="827"/>
      <c r="W735" s="827"/>
      <c r="X735" s="827"/>
      <c r="Y735" s="827"/>
      <c r="Z735" s="827"/>
      <c r="AA735" s="827"/>
      <c r="AB735" s="827"/>
      <c r="AC735" s="852"/>
      <c r="AD735" s="827"/>
      <c r="AE735" s="827"/>
      <c r="AF735" s="827"/>
      <c r="AG735" s="827"/>
      <c r="AH735" s="827"/>
      <c r="AI735" s="827"/>
      <c r="AJ735" s="827"/>
      <c r="EB735" s="846"/>
    </row>
    <row r="736" spans="5:132" ht="18" x14ac:dyDescent="0.25">
      <c r="E736" s="826"/>
      <c r="H736" s="849">
        <v>222</v>
      </c>
      <c r="I736" s="850"/>
      <c r="J736" s="827"/>
      <c r="K736" s="827"/>
      <c r="L736" s="827"/>
      <c r="M736" s="851"/>
      <c r="N736" s="827"/>
      <c r="O736" s="827"/>
      <c r="P736" s="827"/>
      <c r="Q736" s="827"/>
      <c r="R736" s="827"/>
      <c r="S736" s="827"/>
      <c r="T736" s="827"/>
      <c r="U736" s="827"/>
      <c r="V736" s="827"/>
      <c r="W736" s="827"/>
      <c r="X736" s="827"/>
      <c r="Y736" s="827"/>
      <c r="Z736" s="827"/>
      <c r="AA736" s="827"/>
      <c r="AB736" s="827"/>
      <c r="AC736" s="852"/>
      <c r="AD736" s="827"/>
      <c r="AE736" s="827"/>
      <c r="AF736" s="827"/>
      <c r="AG736" s="827"/>
      <c r="AH736" s="827"/>
      <c r="AI736" s="827"/>
      <c r="AJ736" s="827"/>
      <c r="EB736" s="846"/>
    </row>
    <row r="737" spans="5:132" ht="18" x14ac:dyDescent="0.25">
      <c r="E737" s="826"/>
      <c r="H737" s="849">
        <v>223</v>
      </c>
      <c r="I737" s="850"/>
      <c r="J737" s="827"/>
      <c r="K737" s="827"/>
      <c r="L737" s="827"/>
      <c r="M737" s="851"/>
      <c r="N737" s="827"/>
      <c r="O737" s="827"/>
      <c r="P737" s="827"/>
      <c r="Q737" s="827"/>
      <c r="R737" s="827"/>
      <c r="S737" s="827"/>
      <c r="T737" s="827"/>
      <c r="U737" s="827"/>
      <c r="V737" s="827"/>
      <c r="W737" s="827"/>
      <c r="X737" s="827"/>
      <c r="Y737" s="827"/>
      <c r="Z737" s="827"/>
      <c r="AA737" s="827"/>
      <c r="AB737" s="827"/>
      <c r="AC737" s="852"/>
      <c r="AD737" s="827"/>
      <c r="AE737" s="827"/>
      <c r="AF737" s="827"/>
      <c r="AG737" s="827"/>
      <c r="AH737" s="827"/>
      <c r="AI737" s="827"/>
      <c r="AJ737" s="827"/>
      <c r="EB737" s="846"/>
    </row>
    <row r="738" spans="5:132" ht="18" x14ac:dyDescent="0.25">
      <c r="E738" s="826"/>
      <c r="H738" s="849">
        <v>224</v>
      </c>
      <c r="I738" s="850"/>
      <c r="J738" s="827"/>
      <c r="K738" s="827"/>
      <c r="L738" s="827"/>
      <c r="M738" s="851"/>
      <c r="N738" s="827"/>
      <c r="O738" s="827"/>
      <c r="P738" s="827"/>
      <c r="Q738" s="827"/>
      <c r="R738" s="827"/>
      <c r="S738" s="827"/>
      <c r="T738" s="827"/>
      <c r="U738" s="827"/>
      <c r="V738" s="827"/>
      <c r="W738" s="827"/>
      <c r="X738" s="827"/>
      <c r="Y738" s="827"/>
      <c r="Z738" s="827"/>
      <c r="AA738" s="827"/>
      <c r="AB738" s="827"/>
      <c r="AC738" s="852"/>
      <c r="AD738" s="827"/>
      <c r="AE738" s="827"/>
      <c r="AF738" s="827"/>
      <c r="AG738" s="827"/>
      <c r="AH738" s="827"/>
      <c r="AI738" s="827"/>
      <c r="AJ738" s="827"/>
      <c r="EB738" s="846"/>
    </row>
    <row r="739" spans="5:132" ht="18" x14ac:dyDescent="0.25">
      <c r="E739" s="826"/>
      <c r="H739" s="849">
        <v>225</v>
      </c>
      <c r="I739" s="850"/>
      <c r="J739" s="827"/>
      <c r="K739" s="827"/>
      <c r="L739" s="827"/>
      <c r="M739" s="851"/>
      <c r="N739" s="827"/>
      <c r="O739" s="827"/>
      <c r="P739" s="827"/>
      <c r="Q739" s="827"/>
      <c r="R739" s="827"/>
      <c r="S739" s="827"/>
      <c r="T739" s="827"/>
      <c r="U739" s="827"/>
      <c r="V739" s="827"/>
      <c r="W739" s="827"/>
      <c r="X739" s="827"/>
      <c r="Y739" s="827"/>
      <c r="Z739" s="827"/>
      <c r="AA739" s="827"/>
      <c r="AB739" s="827"/>
      <c r="AC739" s="852"/>
      <c r="AD739" s="827"/>
      <c r="AE739" s="827"/>
      <c r="AF739" s="827"/>
      <c r="AG739" s="827"/>
      <c r="AH739" s="827"/>
      <c r="AI739" s="827"/>
      <c r="AJ739" s="827"/>
      <c r="EB739" s="846"/>
    </row>
    <row r="740" spans="5:132" ht="18" x14ac:dyDescent="0.25">
      <c r="E740" s="826"/>
      <c r="H740" s="849">
        <v>226</v>
      </c>
      <c r="I740" s="850"/>
      <c r="J740" s="827"/>
      <c r="K740" s="827"/>
      <c r="L740" s="827"/>
      <c r="M740" s="851"/>
      <c r="N740" s="827"/>
      <c r="O740" s="827"/>
      <c r="P740" s="827"/>
      <c r="Q740" s="827"/>
      <c r="R740" s="827"/>
      <c r="S740" s="827"/>
      <c r="T740" s="827"/>
      <c r="U740" s="827"/>
      <c r="V740" s="827"/>
      <c r="W740" s="827"/>
      <c r="X740" s="827"/>
      <c r="Y740" s="827"/>
      <c r="Z740" s="827"/>
      <c r="AA740" s="827"/>
      <c r="AB740" s="827"/>
      <c r="AC740" s="852"/>
      <c r="AD740" s="827"/>
      <c r="AE740" s="827"/>
      <c r="AF740" s="827"/>
      <c r="AG740" s="827"/>
      <c r="AH740" s="827"/>
      <c r="AI740" s="827"/>
      <c r="AJ740" s="827"/>
      <c r="EB740" s="846"/>
    </row>
    <row r="741" spans="5:132" ht="18" x14ac:dyDescent="0.25">
      <c r="E741" s="826"/>
      <c r="H741" s="849">
        <v>227</v>
      </c>
      <c r="I741" s="850"/>
      <c r="J741" s="827"/>
      <c r="K741" s="827"/>
      <c r="L741" s="827"/>
      <c r="M741" s="851"/>
      <c r="N741" s="827"/>
      <c r="O741" s="827"/>
      <c r="P741" s="827"/>
      <c r="Q741" s="827"/>
      <c r="R741" s="827"/>
      <c r="S741" s="827"/>
      <c r="T741" s="827"/>
      <c r="U741" s="827"/>
      <c r="V741" s="827"/>
      <c r="W741" s="827"/>
      <c r="X741" s="827"/>
      <c r="Y741" s="827"/>
      <c r="Z741" s="827"/>
      <c r="AA741" s="827"/>
      <c r="AB741" s="827"/>
      <c r="AC741" s="852"/>
      <c r="AD741" s="827"/>
      <c r="AE741" s="827"/>
      <c r="AF741" s="827"/>
      <c r="AG741" s="827"/>
      <c r="AH741" s="827"/>
      <c r="AI741" s="827"/>
      <c r="AJ741" s="827"/>
      <c r="EB741" s="846"/>
    </row>
    <row r="742" spans="5:132" ht="18" x14ac:dyDescent="0.25">
      <c r="E742" s="826"/>
      <c r="H742" s="849">
        <v>228</v>
      </c>
      <c r="I742" s="850"/>
      <c r="J742" s="827"/>
      <c r="K742" s="827"/>
      <c r="L742" s="827"/>
      <c r="M742" s="851"/>
      <c r="N742" s="827"/>
      <c r="O742" s="827"/>
      <c r="P742" s="827"/>
      <c r="Q742" s="827"/>
      <c r="R742" s="827"/>
      <c r="S742" s="827"/>
      <c r="T742" s="827"/>
      <c r="U742" s="827"/>
      <c r="V742" s="827"/>
      <c r="W742" s="827"/>
      <c r="X742" s="827"/>
      <c r="Y742" s="827"/>
      <c r="Z742" s="827"/>
      <c r="AA742" s="827"/>
      <c r="AB742" s="827"/>
      <c r="AC742" s="852"/>
      <c r="AD742" s="827"/>
      <c r="AE742" s="827"/>
      <c r="AF742" s="827"/>
      <c r="AG742" s="827"/>
      <c r="AH742" s="827"/>
      <c r="AI742" s="827"/>
      <c r="AJ742" s="827"/>
      <c r="EB742" s="846"/>
    </row>
    <row r="743" spans="5:132" ht="18" x14ac:dyDescent="0.25">
      <c r="E743" s="826"/>
      <c r="H743" s="849">
        <v>229</v>
      </c>
      <c r="I743" s="850"/>
      <c r="J743" s="827"/>
      <c r="K743" s="827"/>
      <c r="L743" s="827"/>
      <c r="M743" s="851"/>
      <c r="N743" s="827"/>
      <c r="O743" s="827"/>
      <c r="P743" s="827"/>
      <c r="Q743" s="827"/>
      <c r="R743" s="827"/>
      <c r="S743" s="827"/>
      <c r="T743" s="827"/>
      <c r="U743" s="827"/>
      <c r="V743" s="827"/>
      <c r="W743" s="827"/>
      <c r="X743" s="827"/>
      <c r="Y743" s="827"/>
      <c r="Z743" s="827"/>
      <c r="AA743" s="827"/>
      <c r="AB743" s="827"/>
      <c r="AC743" s="852"/>
      <c r="AD743" s="827"/>
      <c r="AE743" s="827"/>
      <c r="AF743" s="827"/>
      <c r="AG743" s="827"/>
      <c r="AH743" s="827"/>
      <c r="AI743" s="827"/>
      <c r="AJ743" s="827"/>
      <c r="EB743" s="846"/>
    </row>
    <row r="744" spans="5:132" ht="18" x14ac:dyDescent="0.25">
      <c r="E744" s="826"/>
      <c r="H744" s="849">
        <v>230</v>
      </c>
      <c r="I744" s="850"/>
      <c r="J744" s="827"/>
      <c r="K744" s="827"/>
      <c r="L744" s="827"/>
      <c r="M744" s="851"/>
      <c r="N744" s="827"/>
      <c r="O744" s="827"/>
      <c r="P744" s="827"/>
      <c r="Q744" s="827"/>
      <c r="R744" s="827"/>
      <c r="S744" s="827"/>
      <c r="T744" s="827"/>
      <c r="U744" s="827"/>
      <c r="V744" s="827"/>
      <c r="W744" s="827"/>
      <c r="X744" s="827"/>
      <c r="Y744" s="827"/>
      <c r="Z744" s="827"/>
      <c r="AA744" s="827"/>
      <c r="AB744" s="827"/>
      <c r="AC744" s="852"/>
      <c r="AD744" s="827"/>
      <c r="AE744" s="827"/>
      <c r="AF744" s="827"/>
      <c r="AG744" s="827"/>
      <c r="AH744" s="827"/>
      <c r="AI744" s="827"/>
      <c r="AJ744" s="827"/>
      <c r="EB744" s="846"/>
    </row>
    <row r="745" spans="5:132" ht="18" x14ac:dyDescent="0.25">
      <c r="E745" s="826"/>
      <c r="H745" s="849">
        <v>231</v>
      </c>
      <c r="I745" s="850"/>
      <c r="J745" s="827"/>
      <c r="K745" s="827"/>
      <c r="L745" s="827"/>
      <c r="M745" s="851"/>
      <c r="N745" s="827"/>
      <c r="O745" s="827"/>
      <c r="P745" s="827"/>
      <c r="Q745" s="827"/>
      <c r="R745" s="827"/>
      <c r="S745" s="827"/>
      <c r="T745" s="827"/>
      <c r="U745" s="827"/>
      <c r="V745" s="827"/>
      <c r="W745" s="827"/>
      <c r="X745" s="827"/>
      <c r="Y745" s="827"/>
      <c r="Z745" s="827"/>
      <c r="AA745" s="827"/>
      <c r="AB745" s="827"/>
      <c r="AC745" s="852"/>
      <c r="AD745" s="827"/>
      <c r="AE745" s="827"/>
      <c r="AF745" s="827"/>
      <c r="AG745" s="827"/>
      <c r="AH745" s="827"/>
      <c r="AI745" s="827"/>
      <c r="AJ745" s="827"/>
      <c r="EB745" s="846"/>
    </row>
    <row r="746" spans="5:132" ht="18" x14ac:dyDescent="0.25">
      <c r="E746" s="826"/>
      <c r="H746" s="849">
        <v>232</v>
      </c>
      <c r="I746" s="850"/>
      <c r="J746" s="827"/>
      <c r="K746" s="827"/>
      <c r="L746" s="827"/>
      <c r="M746" s="851"/>
      <c r="N746" s="827"/>
      <c r="O746" s="827"/>
      <c r="P746" s="827"/>
      <c r="Q746" s="827"/>
      <c r="R746" s="827"/>
      <c r="S746" s="827"/>
      <c r="T746" s="827"/>
      <c r="U746" s="827"/>
      <c r="V746" s="827"/>
      <c r="W746" s="827"/>
      <c r="X746" s="827"/>
      <c r="Y746" s="827"/>
      <c r="Z746" s="827"/>
      <c r="AA746" s="827"/>
      <c r="AB746" s="827"/>
      <c r="AC746" s="852"/>
      <c r="AD746" s="827"/>
      <c r="AE746" s="827"/>
      <c r="AF746" s="827"/>
      <c r="AG746" s="827"/>
      <c r="AH746" s="827"/>
      <c r="AI746" s="827"/>
      <c r="AJ746" s="827"/>
      <c r="EB746" s="846"/>
    </row>
    <row r="747" spans="5:132" ht="18" x14ac:dyDescent="0.25">
      <c r="E747" s="826"/>
      <c r="H747" s="849">
        <v>233</v>
      </c>
      <c r="I747" s="850"/>
      <c r="J747" s="827"/>
      <c r="K747" s="827"/>
      <c r="L747" s="827"/>
      <c r="M747" s="851"/>
      <c r="N747" s="827"/>
      <c r="O747" s="827"/>
      <c r="P747" s="827"/>
      <c r="Q747" s="827"/>
      <c r="R747" s="827"/>
      <c r="S747" s="827"/>
      <c r="T747" s="827"/>
      <c r="U747" s="827"/>
      <c r="V747" s="827"/>
      <c r="W747" s="827"/>
      <c r="X747" s="827"/>
      <c r="Y747" s="827"/>
      <c r="Z747" s="827"/>
      <c r="AA747" s="827"/>
      <c r="AB747" s="827"/>
      <c r="AC747" s="852"/>
      <c r="AD747" s="827"/>
      <c r="AE747" s="827"/>
      <c r="AF747" s="827"/>
      <c r="AG747" s="827"/>
      <c r="AH747" s="827"/>
      <c r="AI747" s="827"/>
      <c r="AJ747" s="827"/>
      <c r="EB747" s="846"/>
    </row>
    <row r="748" spans="5:132" ht="18" x14ac:dyDescent="0.25">
      <c r="E748" s="826"/>
      <c r="H748" s="849">
        <v>234</v>
      </c>
      <c r="I748" s="850"/>
      <c r="J748" s="827"/>
      <c r="K748" s="827"/>
      <c r="L748" s="827"/>
      <c r="M748" s="851"/>
      <c r="N748" s="827"/>
      <c r="O748" s="827"/>
      <c r="P748" s="827"/>
      <c r="Q748" s="827"/>
      <c r="R748" s="827"/>
      <c r="S748" s="827"/>
      <c r="T748" s="827"/>
      <c r="U748" s="827"/>
      <c r="V748" s="827"/>
      <c r="W748" s="827"/>
      <c r="X748" s="827"/>
      <c r="Y748" s="827"/>
      <c r="Z748" s="827"/>
      <c r="AA748" s="827"/>
      <c r="AB748" s="827"/>
      <c r="AC748" s="852"/>
      <c r="AD748" s="827"/>
      <c r="AE748" s="827"/>
      <c r="AF748" s="827"/>
      <c r="AG748" s="827"/>
      <c r="AH748" s="827"/>
      <c r="AI748" s="827"/>
      <c r="AJ748" s="827"/>
      <c r="EB748" s="846"/>
    </row>
    <row r="749" spans="5:132" ht="18" x14ac:dyDescent="0.25">
      <c r="E749" s="826"/>
      <c r="H749" s="849">
        <v>235</v>
      </c>
      <c r="I749" s="850"/>
      <c r="J749" s="827"/>
      <c r="K749" s="827"/>
      <c r="L749" s="827"/>
      <c r="M749" s="851"/>
      <c r="N749" s="827"/>
      <c r="O749" s="827"/>
      <c r="P749" s="827"/>
      <c r="Q749" s="827"/>
      <c r="R749" s="827"/>
      <c r="S749" s="827"/>
      <c r="T749" s="827"/>
      <c r="U749" s="827"/>
      <c r="V749" s="827"/>
      <c r="W749" s="827"/>
      <c r="X749" s="827"/>
      <c r="Y749" s="827"/>
      <c r="Z749" s="827"/>
      <c r="AA749" s="827"/>
      <c r="AB749" s="827"/>
      <c r="AC749" s="852"/>
      <c r="AD749" s="827"/>
      <c r="AE749" s="827"/>
      <c r="AF749" s="827"/>
      <c r="AG749" s="827"/>
      <c r="AH749" s="827"/>
      <c r="AI749" s="827"/>
      <c r="AJ749" s="827"/>
      <c r="EB749" s="846"/>
    </row>
    <row r="750" spans="5:132" ht="18" x14ac:dyDescent="0.25">
      <c r="E750" s="826"/>
      <c r="H750" s="849">
        <v>236</v>
      </c>
      <c r="I750" s="850"/>
      <c r="J750" s="827"/>
      <c r="K750" s="827"/>
      <c r="L750" s="827"/>
      <c r="M750" s="851"/>
      <c r="N750" s="827"/>
      <c r="O750" s="827"/>
      <c r="P750" s="827"/>
      <c r="Q750" s="827"/>
      <c r="R750" s="827"/>
      <c r="S750" s="827"/>
      <c r="T750" s="827"/>
      <c r="U750" s="827"/>
      <c r="V750" s="827"/>
      <c r="W750" s="827"/>
      <c r="X750" s="827"/>
      <c r="Y750" s="827"/>
      <c r="Z750" s="827"/>
      <c r="AA750" s="827"/>
      <c r="AB750" s="827"/>
      <c r="AC750" s="852"/>
      <c r="AD750" s="827"/>
      <c r="AE750" s="827"/>
      <c r="AF750" s="827"/>
      <c r="AG750" s="827"/>
      <c r="AH750" s="827"/>
      <c r="AI750" s="827"/>
      <c r="AJ750" s="827"/>
      <c r="EB750" s="846"/>
    </row>
    <row r="751" spans="5:132" ht="18" x14ac:dyDescent="0.25">
      <c r="E751" s="826"/>
      <c r="H751" s="849">
        <v>237</v>
      </c>
      <c r="I751" s="850"/>
      <c r="J751" s="827"/>
      <c r="K751" s="827"/>
      <c r="L751" s="827"/>
      <c r="M751" s="851"/>
      <c r="N751" s="827"/>
      <c r="O751" s="827"/>
      <c r="P751" s="827"/>
      <c r="Q751" s="827"/>
      <c r="R751" s="827"/>
      <c r="S751" s="827"/>
      <c r="T751" s="827"/>
      <c r="U751" s="827"/>
      <c r="V751" s="827"/>
      <c r="W751" s="827"/>
      <c r="X751" s="827"/>
      <c r="Y751" s="827"/>
      <c r="Z751" s="827"/>
      <c r="AA751" s="827"/>
      <c r="AB751" s="827"/>
      <c r="AC751" s="852"/>
      <c r="AD751" s="827"/>
      <c r="AE751" s="827"/>
      <c r="AF751" s="827"/>
      <c r="AG751" s="827"/>
      <c r="AH751" s="827"/>
      <c r="AI751" s="827"/>
      <c r="AJ751" s="827"/>
      <c r="EB751" s="846"/>
    </row>
    <row r="752" spans="5:132" ht="18" x14ac:dyDescent="0.25">
      <c r="E752" s="826"/>
      <c r="H752" s="849">
        <v>238</v>
      </c>
      <c r="I752" s="850"/>
      <c r="J752" s="827"/>
      <c r="K752" s="827"/>
      <c r="L752" s="827"/>
      <c r="M752" s="851"/>
      <c r="N752" s="827"/>
      <c r="O752" s="827"/>
      <c r="P752" s="827"/>
      <c r="Q752" s="827"/>
      <c r="R752" s="827"/>
      <c r="S752" s="827"/>
      <c r="T752" s="827"/>
      <c r="U752" s="827"/>
      <c r="V752" s="827"/>
      <c r="W752" s="827"/>
      <c r="X752" s="827"/>
      <c r="Y752" s="827"/>
      <c r="Z752" s="827"/>
      <c r="AA752" s="827"/>
      <c r="AB752" s="827"/>
      <c r="AC752" s="852"/>
      <c r="AD752" s="827"/>
      <c r="AE752" s="827"/>
      <c r="AF752" s="827"/>
      <c r="AG752" s="827"/>
      <c r="AH752" s="827"/>
      <c r="AI752" s="827"/>
      <c r="AJ752" s="827"/>
      <c r="EB752" s="846"/>
    </row>
    <row r="753" spans="5:132" ht="18" x14ac:dyDescent="0.25">
      <c r="E753" s="826"/>
      <c r="H753" s="849">
        <v>239</v>
      </c>
      <c r="I753" s="850"/>
      <c r="J753" s="827"/>
      <c r="K753" s="827"/>
      <c r="L753" s="827"/>
      <c r="M753" s="851"/>
      <c r="N753" s="827"/>
      <c r="O753" s="827"/>
      <c r="P753" s="827"/>
      <c r="Q753" s="827"/>
      <c r="R753" s="827"/>
      <c r="S753" s="827"/>
      <c r="T753" s="827"/>
      <c r="U753" s="827"/>
      <c r="V753" s="827"/>
      <c r="W753" s="827"/>
      <c r="X753" s="827"/>
      <c r="Y753" s="827"/>
      <c r="Z753" s="827"/>
      <c r="AA753" s="827"/>
      <c r="AB753" s="827"/>
      <c r="AC753" s="852"/>
      <c r="AD753" s="827"/>
      <c r="AE753" s="827"/>
      <c r="AF753" s="827"/>
      <c r="AG753" s="827"/>
      <c r="AH753" s="827"/>
      <c r="AI753" s="827"/>
      <c r="AJ753" s="827"/>
      <c r="EB753" s="846"/>
    </row>
    <row r="754" spans="5:132" ht="18" x14ac:dyDescent="0.25">
      <c r="E754" s="826"/>
      <c r="H754" s="849">
        <v>240</v>
      </c>
      <c r="I754" s="850"/>
      <c r="J754" s="827"/>
      <c r="K754" s="827"/>
      <c r="L754" s="827"/>
      <c r="M754" s="851"/>
      <c r="N754" s="827"/>
      <c r="O754" s="827"/>
      <c r="P754" s="827"/>
      <c r="Q754" s="827"/>
      <c r="R754" s="827"/>
      <c r="S754" s="827"/>
      <c r="T754" s="827"/>
      <c r="U754" s="827"/>
      <c r="V754" s="827"/>
      <c r="W754" s="827"/>
      <c r="X754" s="827"/>
      <c r="Y754" s="827"/>
      <c r="Z754" s="827"/>
      <c r="AA754" s="827"/>
      <c r="AB754" s="827"/>
      <c r="AC754" s="852"/>
      <c r="AD754" s="827"/>
      <c r="AE754" s="827"/>
      <c r="AF754" s="827"/>
      <c r="AG754" s="827"/>
      <c r="AH754" s="827"/>
      <c r="AI754" s="827"/>
      <c r="AJ754" s="827"/>
      <c r="EB754" s="846"/>
    </row>
    <row r="755" spans="5:132" ht="18" x14ac:dyDescent="0.25">
      <c r="E755" s="826"/>
      <c r="H755" s="849">
        <v>241</v>
      </c>
      <c r="I755" s="850"/>
      <c r="J755" s="827"/>
      <c r="K755" s="827"/>
      <c r="L755" s="827"/>
      <c r="M755" s="851"/>
      <c r="N755" s="827"/>
      <c r="O755" s="827"/>
      <c r="P755" s="827"/>
      <c r="Q755" s="827"/>
      <c r="R755" s="827"/>
      <c r="S755" s="827"/>
      <c r="T755" s="827"/>
      <c r="U755" s="827"/>
      <c r="V755" s="827"/>
      <c r="W755" s="827"/>
      <c r="X755" s="827"/>
      <c r="Y755" s="827"/>
      <c r="Z755" s="827"/>
      <c r="AA755" s="827"/>
      <c r="AB755" s="827"/>
      <c r="AC755" s="852"/>
      <c r="AD755" s="827"/>
      <c r="AE755" s="827"/>
      <c r="AF755" s="827"/>
      <c r="AG755" s="827"/>
      <c r="AH755" s="827"/>
      <c r="AI755" s="827"/>
      <c r="AJ755" s="827"/>
      <c r="EB755" s="846"/>
    </row>
    <row r="756" spans="5:132" ht="18" x14ac:dyDescent="0.25">
      <c r="E756" s="826"/>
      <c r="H756" s="849">
        <v>242</v>
      </c>
      <c r="I756" s="850"/>
      <c r="J756" s="827"/>
      <c r="K756" s="827"/>
      <c r="L756" s="827"/>
      <c r="M756" s="851"/>
      <c r="N756" s="827"/>
      <c r="O756" s="827"/>
      <c r="P756" s="827"/>
      <c r="Q756" s="827"/>
      <c r="R756" s="827"/>
      <c r="S756" s="827"/>
      <c r="T756" s="827"/>
      <c r="U756" s="827"/>
      <c r="V756" s="827"/>
      <c r="W756" s="827"/>
      <c r="X756" s="827"/>
      <c r="Y756" s="827"/>
      <c r="Z756" s="827"/>
      <c r="AA756" s="827"/>
      <c r="AB756" s="827"/>
      <c r="AC756" s="852"/>
      <c r="AD756" s="827"/>
      <c r="AE756" s="827"/>
      <c r="AF756" s="827"/>
      <c r="AG756" s="827"/>
      <c r="AH756" s="827"/>
      <c r="AI756" s="827"/>
      <c r="AJ756" s="827"/>
      <c r="EB756" s="846"/>
    </row>
    <row r="757" spans="5:132" ht="18" x14ac:dyDescent="0.25">
      <c r="E757" s="826"/>
      <c r="H757" s="849">
        <v>243</v>
      </c>
      <c r="I757" s="850"/>
      <c r="J757" s="827"/>
      <c r="K757" s="827"/>
      <c r="L757" s="827"/>
      <c r="M757" s="851"/>
      <c r="N757" s="827"/>
      <c r="O757" s="827"/>
      <c r="P757" s="827"/>
      <c r="Q757" s="827"/>
      <c r="R757" s="827"/>
      <c r="S757" s="827"/>
      <c r="T757" s="827"/>
      <c r="U757" s="827"/>
      <c r="V757" s="827"/>
      <c r="W757" s="827"/>
      <c r="X757" s="827"/>
      <c r="Y757" s="827"/>
      <c r="Z757" s="827"/>
      <c r="AA757" s="827"/>
      <c r="AB757" s="827"/>
      <c r="AC757" s="852"/>
      <c r="AD757" s="827"/>
      <c r="AE757" s="827"/>
      <c r="AF757" s="827"/>
      <c r="AG757" s="827"/>
      <c r="AH757" s="827"/>
      <c r="AI757" s="827"/>
      <c r="AJ757" s="827"/>
      <c r="EB757" s="846"/>
    </row>
    <row r="758" spans="5:132" ht="18" x14ac:dyDescent="0.25">
      <c r="E758" s="826"/>
      <c r="H758" s="849">
        <v>244</v>
      </c>
      <c r="I758" s="850"/>
      <c r="J758" s="827"/>
      <c r="K758" s="827"/>
      <c r="L758" s="827"/>
      <c r="M758" s="851"/>
      <c r="N758" s="827"/>
      <c r="O758" s="827"/>
      <c r="P758" s="827"/>
      <c r="Q758" s="827"/>
      <c r="R758" s="827"/>
      <c r="S758" s="827"/>
      <c r="T758" s="827"/>
      <c r="U758" s="827"/>
      <c r="V758" s="827"/>
      <c r="W758" s="827"/>
      <c r="X758" s="827"/>
      <c r="Y758" s="827"/>
      <c r="Z758" s="827"/>
      <c r="AA758" s="827"/>
      <c r="AB758" s="827"/>
      <c r="AC758" s="852"/>
      <c r="AD758" s="827"/>
      <c r="AE758" s="827"/>
      <c r="AF758" s="827"/>
      <c r="AG758" s="827"/>
      <c r="AH758" s="827"/>
      <c r="AI758" s="827"/>
      <c r="AJ758" s="827"/>
      <c r="EB758" s="846"/>
    </row>
    <row r="759" spans="5:132" ht="18" x14ac:dyDescent="0.25">
      <c r="E759" s="826"/>
      <c r="H759" s="849">
        <v>245</v>
      </c>
      <c r="I759" s="850"/>
      <c r="J759" s="827"/>
      <c r="K759" s="827"/>
      <c r="L759" s="827"/>
      <c r="M759" s="851"/>
      <c r="N759" s="827"/>
      <c r="O759" s="827"/>
      <c r="P759" s="827"/>
      <c r="Q759" s="827"/>
      <c r="R759" s="827"/>
      <c r="S759" s="827"/>
      <c r="T759" s="827"/>
      <c r="U759" s="827"/>
      <c r="V759" s="827"/>
      <c r="W759" s="827"/>
      <c r="X759" s="827"/>
      <c r="Y759" s="827"/>
      <c r="Z759" s="827"/>
      <c r="AA759" s="827"/>
      <c r="AB759" s="827"/>
      <c r="AC759" s="852"/>
      <c r="AD759" s="827"/>
      <c r="AE759" s="827"/>
      <c r="AF759" s="827"/>
      <c r="AG759" s="827"/>
      <c r="AH759" s="827"/>
      <c r="AI759" s="827"/>
      <c r="AJ759" s="827"/>
      <c r="EB759" s="846"/>
    </row>
    <row r="760" spans="5:132" ht="18" x14ac:dyDescent="0.25">
      <c r="E760" s="826"/>
      <c r="H760" s="849">
        <v>246</v>
      </c>
      <c r="I760" s="850"/>
      <c r="J760" s="827"/>
      <c r="K760" s="827"/>
      <c r="L760" s="827"/>
      <c r="M760" s="851"/>
      <c r="N760" s="827"/>
      <c r="O760" s="827"/>
      <c r="P760" s="827"/>
      <c r="Q760" s="827"/>
      <c r="R760" s="827"/>
      <c r="S760" s="827"/>
      <c r="T760" s="827"/>
      <c r="U760" s="827"/>
      <c r="V760" s="827"/>
      <c r="W760" s="827"/>
      <c r="X760" s="827"/>
      <c r="Y760" s="827"/>
      <c r="Z760" s="827"/>
      <c r="AA760" s="827"/>
      <c r="AB760" s="827"/>
      <c r="AC760" s="852"/>
      <c r="AD760" s="827"/>
      <c r="AE760" s="827"/>
      <c r="AF760" s="827"/>
      <c r="AG760" s="827"/>
      <c r="AH760" s="827"/>
      <c r="AI760" s="827"/>
      <c r="AJ760" s="827"/>
      <c r="EB760" s="846"/>
    </row>
    <row r="761" spans="5:132" ht="18" x14ac:dyDescent="0.25">
      <c r="E761" s="826"/>
      <c r="H761" s="849">
        <v>248</v>
      </c>
      <c r="I761" s="850"/>
      <c r="J761" s="827"/>
      <c r="K761" s="827"/>
      <c r="L761" s="827"/>
      <c r="M761" s="851"/>
      <c r="N761" s="827"/>
      <c r="O761" s="827"/>
      <c r="P761" s="827"/>
      <c r="Q761" s="827"/>
      <c r="R761" s="827"/>
      <c r="S761" s="827"/>
      <c r="T761" s="827"/>
      <c r="U761" s="827"/>
      <c r="V761" s="827"/>
      <c r="W761" s="827"/>
      <c r="X761" s="827"/>
      <c r="Y761" s="827"/>
      <c r="Z761" s="827"/>
      <c r="AA761" s="827"/>
      <c r="AB761" s="827"/>
      <c r="AC761" s="852"/>
      <c r="AD761" s="827"/>
      <c r="AE761" s="827"/>
      <c r="AF761" s="827"/>
      <c r="AG761" s="827"/>
      <c r="AH761" s="827"/>
      <c r="AI761" s="827"/>
      <c r="AJ761" s="827"/>
      <c r="EB761" s="846"/>
    </row>
    <row r="762" spans="5:132" ht="18" x14ac:dyDescent="0.25">
      <c r="E762" s="826"/>
      <c r="H762" s="849">
        <v>249</v>
      </c>
      <c r="I762" s="850"/>
      <c r="J762" s="827"/>
      <c r="K762" s="827"/>
      <c r="L762" s="827"/>
      <c r="M762" s="851"/>
      <c r="N762" s="827"/>
      <c r="O762" s="827"/>
      <c r="P762" s="827"/>
      <c r="Q762" s="827"/>
      <c r="R762" s="827"/>
      <c r="S762" s="827"/>
      <c r="T762" s="827"/>
      <c r="U762" s="827"/>
      <c r="V762" s="827"/>
      <c r="W762" s="827"/>
      <c r="X762" s="827"/>
      <c r="Y762" s="827"/>
      <c r="Z762" s="827"/>
      <c r="AA762" s="827"/>
      <c r="AB762" s="827"/>
      <c r="AC762" s="852"/>
      <c r="AD762" s="827"/>
      <c r="AE762" s="827"/>
      <c r="AF762" s="827"/>
      <c r="AG762" s="827"/>
      <c r="AH762" s="827"/>
      <c r="AI762" s="827"/>
      <c r="AJ762" s="827"/>
      <c r="EB762" s="846"/>
    </row>
    <row r="763" spans="5:132" ht="18" x14ac:dyDescent="0.25">
      <c r="E763" s="826"/>
      <c r="H763" s="849">
        <v>250</v>
      </c>
      <c r="I763" s="850"/>
      <c r="J763" s="827"/>
      <c r="K763" s="827"/>
      <c r="L763" s="827"/>
      <c r="M763" s="851"/>
      <c r="N763" s="827"/>
      <c r="O763" s="827"/>
      <c r="P763" s="827"/>
      <c r="Q763" s="827"/>
      <c r="R763" s="827"/>
      <c r="S763" s="827"/>
      <c r="T763" s="827"/>
      <c r="U763" s="827"/>
      <c r="V763" s="827"/>
      <c r="W763" s="827"/>
      <c r="X763" s="827"/>
      <c r="Y763" s="827"/>
      <c r="Z763" s="827"/>
      <c r="AA763" s="827"/>
      <c r="AB763" s="827"/>
      <c r="AC763" s="852"/>
      <c r="AD763" s="827"/>
      <c r="AE763" s="827"/>
      <c r="AF763" s="827"/>
      <c r="AG763" s="827"/>
      <c r="AH763" s="827"/>
      <c r="AI763" s="827"/>
      <c r="AJ763" s="827"/>
      <c r="EB763" s="846"/>
    </row>
    <row r="764" spans="5:132" ht="18" x14ac:dyDescent="0.25">
      <c r="E764" s="826"/>
      <c r="H764" s="849">
        <v>251</v>
      </c>
      <c r="I764" s="850"/>
      <c r="J764" s="827"/>
      <c r="K764" s="827"/>
      <c r="L764" s="827"/>
      <c r="M764" s="851"/>
      <c r="N764" s="827"/>
      <c r="O764" s="827"/>
      <c r="P764" s="827"/>
      <c r="Q764" s="827"/>
      <c r="R764" s="827"/>
      <c r="S764" s="827"/>
      <c r="T764" s="827"/>
      <c r="U764" s="827"/>
      <c r="V764" s="827"/>
      <c r="W764" s="827"/>
      <c r="X764" s="827"/>
      <c r="Y764" s="827"/>
      <c r="Z764" s="827"/>
      <c r="AA764" s="827"/>
      <c r="AB764" s="827"/>
      <c r="AC764" s="852"/>
      <c r="AD764" s="827"/>
      <c r="AE764" s="827"/>
      <c r="AF764" s="827"/>
      <c r="AG764" s="827"/>
      <c r="AH764" s="827"/>
      <c r="AI764" s="827"/>
      <c r="AJ764" s="827"/>
      <c r="EB764" s="846"/>
    </row>
    <row r="765" spans="5:132" ht="18" x14ac:dyDescent="0.25">
      <c r="E765" s="826"/>
      <c r="H765" s="849">
        <v>252</v>
      </c>
      <c r="I765" s="850"/>
      <c r="J765" s="827"/>
      <c r="K765" s="827"/>
      <c r="L765" s="827"/>
      <c r="M765" s="851"/>
      <c r="N765" s="827"/>
      <c r="O765" s="827"/>
      <c r="P765" s="827"/>
      <c r="Q765" s="827"/>
      <c r="R765" s="827"/>
      <c r="S765" s="827"/>
      <c r="T765" s="827"/>
      <c r="U765" s="827"/>
      <c r="V765" s="827"/>
      <c r="W765" s="827"/>
      <c r="X765" s="827"/>
      <c r="Y765" s="827"/>
      <c r="Z765" s="827"/>
      <c r="AA765" s="827"/>
      <c r="AB765" s="827"/>
      <c r="AC765" s="852"/>
      <c r="AD765" s="827"/>
      <c r="AE765" s="827"/>
      <c r="AF765" s="827"/>
      <c r="AG765" s="827"/>
      <c r="AH765" s="827"/>
      <c r="AI765" s="827"/>
      <c r="AJ765" s="827"/>
      <c r="EB765" s="846"/>
    </row>
    <row r="766" spans="5:132" ht="18" x14ac:dyDescent="0.25">
      <c r="E766" s="826"/>
      <c r="H766" s="849">
        <v>253</v>
      </c>
      <c r="I766" s="850"/>
      <c r="J766" s="827"/>
      <c r="K766" s="827"/>
      <c r="L766" s="827"/>
      <c r="M766" s="851"/>
      <c r="N766" s="827"/>
      <c r="O766" s="827"/>
      <c r="P766" s="827"/>
      <c r="Q766" s="827"/>
      <c r="R766" s="827"/>
      <c r="S766" s="827"/>
      <c r="T766" s="827"/>
      <c r="U766" s="827"/>
      <c r="V766" s="827"/>
      <c r="W766" s="827"/>
      <c r="X766" s="827"/>
      <c r="Y766" s="827"/>
      <c r="Z766" s="827"/>
      <c r="AA766" s="827"/>
      <c r="AB766" s="827"/>
      <c r="AC766" s="852"/>
      <c r="AD766" s="827"/>
      <c r="AE766" s="827"/>
      <c r="AF766" s="827"/>
      <c r="AG766" s="827"/>
      <c r="AH766" s="827"/>
      <c r="AI766" s="827"/>
      <c r="AJ766" s="827"/>
      <c r="EB766" s="846"/>
    </row>
    <row r="767" spans="5:132" ht="18" x14ac:dyDescent="0.25">
      <c r="E767" s="826"/>
      <c r="H767" s="849">
        <v>254</v>
      </c>
      <c r="I767" s="850"/>
      <c r="J767" s="827"/>
      <c r="K767" s="827"/>
      <c r="L767" s="827"/>
      <c r="M767" s="851"/>
      <c r="N767" s="827"/>
      <c r="O767" s="827"/>
      <c r="P767" s="827"/>
      <c r="Q767" s="827"/>
      <c r="R767" s="827"/>
      <c r="S767" s="827"/>
      <c r="T767" s="827"/>
      <c r="U767" s="827"/>
      <c r="V767" s="827"/>
      <c r="W767" s="827"/>
      <c r="X767" s="827"/>
      <c r="Y767" s="827"/>
      <c r="Z767" s="827"/>
      <c r="AA767" s="827"/>
      <c r="AB767" s="827"/>
      <c r="AC767" s="852"/>
      <c r="AD767" s="827"/>
      <c r="AE767" s="827"/>
      <c r="AF767" s="827"/>
      <c r="AG767" s="827"/>
      <c r="AH767" s="827"/>
      <c r="AI767" s="827"/>
      <c r="AJ767" s="827"/>
      <c r="EB767" s="846"/>
    </row>
    <row r="768" spans="5:132" ht="18" x14ac:dyDescent="0.25">
      <c r="E768" s="826"/>
      <c r="H768" s="849">
        <v>255</v>
      </c>
      <c r="I768" s="850"/>
      <c r="J768" s="827"/>
      <c r="K768" s="827"/>
      <c r="L768" s="827"/>
      <c r="M768" s="851"/>
      <c r="N768" s="827"/>
      <c r="O768" s="827"/>
      <c r="P768" s="827"/>
      <c r="Q768" s="827"/>
      <c r="R768" s="827"/>
      <c r="S768" s="827"/>
      <c r="T768" s="827"/>
      <c r="U768" s="827"/>
      <c r="V768" s="827"/>
      <c r="W768" s="827"/>
      <c r="X768" s="827"/>
      <c r="Y768" s="827"/>
      <c r="Z768" s="827"/>
      <c r="AA768" s="827"/>
      <c r="AB768" s="827"/>
      <c r="AC768" s="852"/>
      <c r="AD768" s="827"/>
      <c r="AE768" s="827"/>
      <c r="AF768" s="827"/>
      <c r="AG768" s="827"/>
      <c r="AH768" s="827"/>
      <c r="AI768" s="827"/>
      <c r="AJ768" s="827"/>
      <c r="EB768" s="846"/>
    </row>
    <row r="769" spans="5:132" ht="18" x14ac:dyDescent="0.25">
      <c r="E769" s="826"/>
      <c r="H769" s="849">
        <v>256</v>
      </c>
      <c r="I769" s="850"/>
      <c r="J769" s="827"/>
      <c r="K769" s="827"/>
      <c r="L769" s="827"/>
      <c r="M769" s="851"/>
      <c r="N769" s="827"/>
      <c r="O769" s="827"/>
      <c r="P769" s="827"/>
      <c r="Q769" s="827"/>
      <c r="R769" s="827"/>
      <c r="S769" s="827"/>
      <c r="T769" s="827"/>
      <c r="U769" s="827"/>
      <c r="V769" s="827"/>
      <c r="W769" s="827"/>
      <c r="X769" s="827"/>
      <c r="Y769" s="827"/>
      <c r="Z769" s="827"/>
      <c r="AA769" s="827"/>
      <c r="AB769" s="827"/>
      <c r="AC769" s="852"/>
      <c r="AD769" s="827"/>
      <c r="AE769" s="827"/>
      <c r="AF769" s="827"/>
      <c r="AG769" s="827"/>
      <c r="AH769" s="827"/>
      <c r="AI769" s="827"/>
      <c r="AJ769" s="827"/>
      <c r="EB769" s="846"/>
    </row>
    <row r="770" spans="5:132" ht="18" x14ac:dyDescent="0.25">
      <c r="E770" s="826"/>
      <c r="H770" s="849">
        <v>258</v>
      </c>
      <c r="I770" s="850"/>
      <c r="J770" s="827"/>
      <c r="K770" s="827"/>
      <c r="L770" s="827"/>
      <c r="M770" s="851"/>
      <c r="N770" s="827"/>
      <c r="O770" s="827"/>
      <c r="P770" s="827"/>
      <c r="Q770" s="827"/>
      <c r="R770" s="827"/>
      <c r="S770" s="827"/>
      <c r="T770" s="827"/>
      <c r="U770" s="827"/>
      <c r="V770" s="827"/>
      <c r="W770" s="827"/>
      <c r="X770" s="827"/>
      <c r="Y770" s="827"/>
      <c r="Z770" s="827"/>
      <c r="AA770" s="827"/>
      <c r="AB770" s="827"/>
      <c r="AC770" s="852"/>
      <c r="AD770" s="827"/>
      <c r="AE770" s="827"/>
      <c r="AF770" s="827"/>
      <c r="AG770" s="827"/>
      <c r="AH770" s="827"/>
      <c r="AI770" s="827"/>
      <c r="AJ770" s="827"/>
      <c r="EB770" s="846"/>
    </row>
    <row r="771" spans="5:132" ht="18" x14ac:dyDescent="0.25">
      <c r="E771" s="826"/>
      <c r="H771" s="849">
        <v>259</v>
      </c>
      <c r="I771" s="850"/>
      <c r="J771" s="827"/>
      <c r="K771" s="827"/>
      <c r="L771" s="827"/>
      <c r="M771" s="851"/>
      <c r="N771" s="827"/>
      <c r="O771" s="827"/>
      <c r="P771" s="827"/>
      <c r="Q771" s="827"/>
      <c r="R771" s="827"/>
      <c r="S771" s="827"/>
      <c r="T771" s="827"/>
      <c r="U771" s="827"/>
      <c r="V771" s="827"/>
      <c r="W771" s="827"/>
      <c r="X771" s="827"/>
      <c r="Y771" s="827"/>
      <c r="Z771" s="827"/>
      <c r="AA771" s="827"/>
      <c r="AB771" s="827"/>
      <c r="AC771" s="852"/>
      <c r="AD771" s="827"/>
      <c r="AE771" s="827"/>
      <c r="AF771" s="827"/>
      <c r="AG771" s="827"/>
      <c r="AH771" s="827"/>
      <c r="AI771" s="827"/>
      <c r="AJ771" s="827"/>
      <c r="EB771" s="846"/>
    </row>
    <row r="772" spans="5:132" ht="18" x14ac:dyDescent="0.25">
      <c r="E772" s="826"/>
      <c r="H772" s="849">
        <v>261</v>
      </c>
      <c r="I772" s="850"/>
      <c r="J772" s="827"/>
      <c r="K772" s="827"/>
      <c r="L772" s="827"/>
      <c r="M772" s="851"/>
      <c r="N772" s="827"/>
      <c r="O772" s="827"/>
      <c r="P772" s="827"/>
      <c r="Q772" s="827"/>
      <c r="R772" s="827"/>
      <c r="S772" s="827"/>
      <c r="T772" s="827"/>
      <c r="U772" s="827"/>
      <c r="V772" s="827"/>
      <c r="W772" s="827"/>
      <c r="X772" s="827"/>
      <c r="Y772" s="827"/>
      <c r="Z772" s="827"/>
      <c r="AA772" s="827"/>
      <c r="AB772" s="827"/>
      <c r="AC772" s="852"/>
      <c r="AD772" s="827"/>
      <c r="AE772" s="827"/>
      <c r="AF772" s="827"/>
      <c r="AG772" s="827"/>
      <c r="AH772" s="827"/>
      <c r="AI772" s="827"/>
      <c r="AJ772" s="827"/>
      <c r="EB772" s="846"/>
    </row>
    <row r="773" spans="5:132" ht="18" x14ac:dyDescent="0.25">
      <c r="E773" s="826"/>
      <c r="H773" s="849">
        <v>262</v>
      </c>
      <c r="I773" s="850"/>
      <c r="J773" s="827"/>
      <c r="K773" s="827"/>
      <c r="L773" s="827"/>
      <c r="M773" s="851"/>
      <c r="N773" s="827"/>
      <c r="O773" s="827"/>
      <c r="P773" s="827"/>
      <c r="Q773" s="827"/>
      <c r="R773" s="827"/>
      <c r="S773" s="827"/>
      <c r="T773" s="827"/>
      <c r="U773" s="827"/>
      <c r="V773" s="827"/>
      <c r="W773" s="827"/>
      <c r="X773" s="827"/>
      <c r="Y773" s="827"/>
      <c r="Z773" s="827"/>
      <c r="AA773" s="827"/>
      <c r="AB773" s="827"/>
      <c r="AC773" s="852"/>
      <c r="AD773" s="827"/>
      <c r="AE773" s="827"/>
      <c r="AF773" s="827"/>
      <c r="AG773" s="827"/>
      <c r="AH773" s="827"/>
      <c r="AI773" s="827"/>
      <c r="AJ773" s="827"/>
      <c r="EB773" s="846"/>
    </row>
    <row r="774" spans="5:132" ht="18" x14ac:dyDescent="0.25">
      <c r="E774" s="826"/>
      <c r="H774" s="849">
        <v>263</v>
      </c>
      <c r="I774" s="850"/>
      <c r="J774" s="827"/>
      <c r="K774" s="827"/>
      <c r="L774" s="827"/>
      <c r="M774" s="851"/>
      <c r="N774" s="827"/>
      <c r="O774" s="827"/>
      <c r="P774" s="827"/>
      <c r="Q774" s="827"/>
      <c r="R774" s="827"/>
      <c r="S774" s="827"/>
      <c r="T774" s="827"/>
      <c r="U774" s="827"/>
      <c r="V774" s="827"/>
      <c r="W774" s="827"/>
      <c r="X774" s="827"/>
      <c r="Y774" s="827"/>
      <c r="Z774" s="827"/>
      <c r="AA774" s="827"/>
      <c r="AB774" s="827"/>
      <c r="AC774" s="852"/>
      <c r="AD774" s="827"/>
      <c r="AE774" s="827"/>
      <c r="AF774" s="827"/>
      <c r="AG774" s="827"/>
      <c r="AH774" s="827"/>
      <c r="AI774" s="827"/>
      <c r="AJ774" s="827"/>
      <c r="EB774" s="846"/>
    </row>
    <row r="775" spans="5:132" ht="18" x14ac:dyDescent="0.25">
      <c r="E775" s="826"/>
      <c r="H775" s="849">
        <v>264</v>
      </c>
      <c r="I775" s="850"/>
      <c r="J775" s="827"/>
      <c r="K775" s="827"/>
      <c r="L775" s="827"/>
      <c r="M775" s="851"/>
      <c r="N775" s="827"/>
      <c r="O775" s="827"/>
      <c r="P775" s="827"/>
      <c r="Q775" s="827"/>
      <c r="R775" s="827"/>
      <c r="S775" s="827"/>
      <c r="T775" s="827"/>
      <c r="U775" s="827"/>
      <c r="V775" s="827"/>
      <c r="W775" s="827"/>
      <c r="X775" s="827"/>
      <c r="Y775" s="827"/>
      <c r="Z775" s="827"/>
      <c r="AA775" s="827"/>
      <c r="AB775" s="827"/>
      <c r="AC775" s="852"/>
      <c r="AD775" s="827"/>
      <c r="AE775" s="827"/>
      <c r="AF775" s="827"/>
      <c r="AG775" s="827"/>
      <c r="AH775" s="827"/>
      <c r="AI775" s="827"/>
      <c r="AJ775" s="827"/>
      <c r="EB775" s="846"/>
    </row>
    <row r="776" spans="5:132" ht="18" x14ac:dyDescent="0.25">
      <c r="E776" s="826"/>
      <c r="H776" s="849">
        <v>265</v>
      </c>
      <c r="I776" s="850"/>
      <c r="J776" s="827"/>
      <c r="K776" s="827"/>
      <c r="L776" s="827"/>
      <c r="M776" s="851"/>
      <c r="N776" s="827"/>
      <c r="O776" s="827"/>
      <c r="P776" s="827"/>
      <c r="Q776" s="827"/>
      <c r="R776" s="827"/>
      <c r="S776" s="827"/>
      <c r="T776" s="827"/>
      <c r="U776" s="827"/>
      <c r="V776" s="827"/>
      <c r="W776" s="827"/>
      <c r="X776" s="827"/>
      <c r="Y776" s="827"/>
      <c r="Z776" s="827"/>
      <c r="AA776" s="827"/>
      <c r="AB776" s="827"/>
      <c r="AC776" s="852"/>
      <c r="AD776" s="827"/>
      <c r="AE776" s="827"/>
      <c r="AF776" s="827"/>
      <c r="AG776" s="827"/>
      <c r="AH776" s="827"/>
      <c r="AI776" s="827"/>
      <c r="AJ776" s="827"/>
      <c r="EB776" s="846"/>
    </row>
    <row r="777" spans="5:132" ht="18" x14ac:dyDescent="0.25">
      <c r="E777" s="826"/>
      <c r="H777" s="849">
        <v>266</v>
      </c>
      <c r="I777" s="850"/>
      <c r="J777" s="827"/>
      <c r="K777" s="827"/>
      <c r="L777" s="827"/>
      <c r="M777" s="851"/>
      <c r="N777" s="827"/>
      <c r="O777" s="827"/>
      <c r="P777" s="827"/>
      <c r="Q777" s="827"/>
      <c r="R777" s="827"/>
      <c r="S777" s="827"/>
      <c r="T777" s="827"/>
      <c r="U777" s="827"/>
      <c r="V777" s="827"/>
      <c r="W777" s="827"/>
      <c r="X777" s="827"/>
      <c r="Y777" s="827"/>
      <c r="Z777" s="827"/>
      <c r="AA777" s="827"/>
      <c r="AB777" s="827"/>
      <c r="AC777" s="852"/>
      <c r="AD777" s="827"/>
      <c r="AE777" s="827"/>
      <c r="AF777" s="827"/>
      <c r="AG777" s="827"/>
      <c r="AH777" s="827"/>
      <c r="AI777" s="827"/>
      <c r="AJ777" s="827"/>
      <c r="EB777" s="846"/>
    </row>
    <row r="778" spans="5:132" ht="18" x14ac:dyDescent="0.25">
      <c r="E778" s="826"/>
      <c r="H778" s="849">
        <v>267</v>
      </c>
      <c r="I778" s="850"/>
      <c r="J778" s="827"/>
      <c r="K778" s="827"/>
      <c r="L778" s="827"/>
      <c r="M778" s="851"/>
      <c r="N778" s="827"/>
      <c r="O778" s="827"/>
      <c r="P778" s="827"/>
      <c r="Q778" s="827"/>
      <c r="R778" s="827"/>
      <c r="S778" s="827"/>
      <c r="T778" s="827"/>
      <c r="U778" s="827"/>
      <c r="V778" s="827"/>
      <c r="W778" s="827"/>
      <c r="X778" s="827"/>
      <c r="Y778" s="827"/>
      <c r="Z778" s="827"/>
      <c r="AA778" s="827"/>
      <c r="AB778" s="827"/>
      <c r="AC778" s="852"/>
      <c r="AD778" s="827"/>
      <c r="AE778" s="827"/>
      <c r="AF778" s="827"/>
      <c r="AG778" s="827"/>
      <c r="AH778" s="827"/>
      <c r="AI778" s="827"/>
      <c r="AJ778" s="827"/>
      <c r="EB778" s="846"/>
    </row>
    <row r="779" spans="5:132" ht="18" x14ac:dyDescent="0.25">
      <c r="E779" s="826"/>
      <c r="H779" s="849">
        <v>268</v>
      </c>
      <c r="I779" s="850"/>
      <c r="J779" s="827"/>
      <c r="K779" s="827"/>
      <c r="L779" s="827"/>
      <c r="M779" s="851"/>
      <c r="N779" s="827"/>
      <c r="O779" s="827"/>
      <c r="P779" s="827"/>
      <c r="Q779" s="827"/>
      <c r="R779" s="827"/>
      <c r="S779" s="827"/>
      <c r="T779" s="827"/>
      <c r="U779" s="827"/>
      <c r="V779" s="827"/>
      <c r="W779" s="827"/>
      <c r="X779" s="827"/>
      <c r="Y779" s="827"/>
      <c r="Z779" s="827"/>
      <c r="AA779" s="827"/>
      <c r="AB779" s="827"/>
      <c r="AC779" s="852"/>
      <c r="AD779" s="827"/>
      <c r="AE779" s="827"/>
      <c r="AF779" s="827"/>
      <c r="AG779" s="827"/>
      <c r="AH779" s="827"/>
      <c r="AI779" s="827"/>
      <c r="AJ779" s="827"/>
      <c r="EB779" s="846"/>
    </row>
    <row r="780" spans="5:132" ht="18" x14ac:dyDescent="0.25">
      <c r="E780" s="826"/>
      <c r="H780" s="849">
        <v>270</v>
      </c>
      <c r="I780" s="850"/>
      <c r="J780" s="827"/>
      <c r="K780" s="827"/>
      <c r="L780" s="827"/>
      <c r="M780" s="851"/>
      <c r="N780" s="827"/>
      <c r="O780" s="827"/>
      <c r="P780" s="827"/>
      <c r="Q780" s="827"/>
      <c r="R780" s="827"/>
      <c r="S780" s="827"/>
      <c r="T780" s="827"/>
      <c r="U780" s="827"/>
      <c r="V780" s="827"/>
      <c r="W780" s="827"/>
      <c r="X780" s="827"/>
      <c r="Y780" s="827"/>
      <c r="Z780" s="827"/>
      <c r="AA780" s="827"/>
      <c r="AB780" s="827"/>
      <c r="AC780" s="852"/>
      <c r="AD780" s="827"/>
      <c r="AE780" s="827"/>
      <c r="AF780" s="827"/>
      <c r="AG780" s="827"/>
      <c r="AH780" s="827"/>
      <c r="AI780" s="827"/>
      <c r="AJ780" s="827"/>
      <c r="EB780" s="846"/>
    </row>
    <row r="781" spans="5:132" ht="18" x14ac:dyDescent="0.25">
      <c r="E781" s="826"/>
      <c r="H781" s="849">
        <v>271</v>
      </c>
      <c r="I781" s="850"/>
      <c r="J781" s="827"/>
      <c r="K781" s="827"/>
      <c r="L781" s="827"/>
      <c r="M781" s="851"/>
      <c r="N781" s="827"/>
      <c r="O781" s="827"/>
      <c r="P781" s="827"/>
      <c r="Q781" s="827"/>
      <c r="R781" s="827"/>
      <c r="S781" s="827"/>
      <c r="T781" s="827"/>
      <c r="U781" s="827"/>
      <c r="V781" s="827"/>
      <c r="W781" s="827"/>
      <c r="X781" s="827"/>
      <c r="Y781" s="827"/>
      <c r="Z781" s="827"/>
      <c r="AA781" s="827"/>
      <c r="AB781" s="827"/>
      <c r="AC781" s="852"/>
      <c r="AD781" s="827"/>
      <c r="AE781" s="827"/>
      <c r="AF781" s="827"/>
      <c r="AG781" s="827"/>
      <c r="AH781" s="827"/>
      <c r="AI781" s="827"/>
      <c r="AJ781" s="827"/>
      <c r="EB781" s="846"/>
    </row>
    <row r="782" spans="5:132" ht="18" x14ac:dyDescent="0.25">
      <c r="E782" s="826"/>
      <c r="H782" s="849">
        <v>272</v>
      </c>
      <c r="I782" s="850"/>
      <c r="J782" s="827"/>
      <c r="K782" s="827"/>
      <c r="L782" s="827"/>
      <c r="M782" s="851"/>
      <c r="N782" s="827"/>
      <c r="O782" s="827"/>
      <c r="P782" s="827"/>
      <c r="Q782" s="827"/>
      <c r="R782" s="827"/>
      <c r="S782" s="827"/>
      <c r="T782" s="827"/>
      <c r="U782" s="827"/>
      <c r="V782" s="827"/>
      <c r="W782" s="827"/>
      <c r="X782" s="827"/>
      <c r="Y782" s="827"/>
      <c r="Z782" s="827"/>
      <c r="AA782" s="827"/>
      <c r="AB782" s="827"/>
      <c r="AC782" s="852"/>
      <c r="AD782" s="827"/>
      <c r="AE782" s="827"/>
      <c r="AF782" s="827"/>
      <c r="AG782" s="827"/>
      <c r="AH782" s="827"/>
      <c r="AI782" s="827"/>
      <c r="AJ782" s="827"/>
      <c r="EB782" s="846"/>
    </row>
    <row r="783" spans="5:132" ht="18" x14ac:dyDescent="0.25">
      <c r="E783" s="826"/>
      <c r="H783" s="849">
        <v>273</v>
      </c>
      <c r="I783" s="850"/>
      <c r="J783" s="827"/>
      <c r="K783" s="827"/>
      <c r="L783" s="827"/>
      <c r="M783" s="851"/>
      <c r="N783" s="827"/>
      <c r="O783" s="827"/>
      <c r="P783" s="827"/>
      <c r="Q783" s="827"/>
      <c r="R783" s="827"/>
      <c r="S783" s="827"/>
      <c r="T783" s="827"/>
      <c r="U783" s="827"/>
      <c r="V783" s="827"/>
      <c r="W783" s="827"/>
      <c r="X783" s="827"/>
      <c r="Y783" s="827"/>
      <c r="Z783" s="827"/>
      <c r="AA783" s="827"/>
      <c r="AB783" s="827"/>
      <c r="AC783" s="852"/>
      <c r="AD783" s="827"/>
      <c r="AE783" s="827"/>
      <c r="AF783" s="827"/>
      <c r="AG783" s="827"/>
      <c r="AH783" s="827"/>
      <c r="AI783" s="827"/>
      <c r="AJ783" s="827"/>
      <c r="EB783" s="846"/>
    </row>
    <row r="784" spans="5:132" ht="18" x14ac:dyDescent="0.25">
      <c r="E784" s="826"/>
      <c r="H784" s="849">
        <v>274</v>
      </c>
      <c r="I784" s="850"/>
      <c r="J784" s="827"/>
      <c r="K784" s="827"/>
      <c r="L784" s="827"/>
      <c r="M784" s="851"/>
      <c r="N784" s="827"/>
      <c r="O784" s="827"/>
      <c r="P784" s="827"/>
      <c r="Q784" s="827"/>
      <c r="R784" s="827"/>
      <c r="S784" s="827"/>
      <c r="T784" s="827"/>
      <c r="U784" s="827"/>
      <c r="V784" s="827"/>
      <c r="W784" s="827"/>
      <c r="X784" s="827"/>
      <c r="Y784" s="827"/>
      <c r="Z784" s="827"/>
      <c r="AA784" s="827"/>
      <c r="AB784" s="827"/>
      <c r="AC784" s="852"/>
      <c r="AD784" s="827"/>
      <c r="AE784" s="827"/>
      <c r="AF784" s="827"/>
      <c r="AG784" s="827"/>
      <c r="AH784" s="827"/>
      <c r="AI784" s="827"/>
      <c r="AJ784" s="827"/>
      <c r="EB784" s="846"/>
    </row>
    <row r="785" spans="5:132" ht="18" x14ac:dyDescent="0.25">
      <c r="E785" s="826"/>
      <c r="H785" s="849">
        <v>275</v>
      </c>
      <c r="I785" s="850"/>
      <c r="J785" s="827"/>
      <c r="K785" s="827"/>
      <c r="L785" s="827"/>
      <c r="M785" s="851"/>
      <c r="N785" s="827"/>
      <c r="O785" s="827"/>
      <c r="P785" s="827"/>
      <c r="Q785" s="827"/>
      <c r="R785" s="827"/>
      <c r="S785" s="827"/>
      <c r="T785" s="827"/>
      <c r="U785" s="827"/>
      <c r="V785" s="827"/>
      <c r="W785" s="827"/>
      <c r="X785" s="827"/>
      <c r="Y785" s="827"/>
      <c r="Z785" s="827"/>
      <c r="AA785" s="827"/>
      <c r="AB785" s="827"/>
      <c r="AC785" s="852"/>
      <c r="AD785" s="827"/>
      <c r="AE785" s="827"/>
      <c r="AF785" s="827"/>
      <c r="AG785" s="827"/>
      <c r="AH785" s="827"/>
      <c r="AI785" s="827"/>
      <c r="AJ785" s="827"/>
      <c r="EB785" s="846"/>
    </row>
    <row r="786" spans="5:132" ht="18" x14ac:dyDescent="0.25">
      <c r="E786" s="826"/>
      <c r="H786" s="849">
        <v>276</v>
      </c>
      <c r="I786" s="850"/>
      <c r="J786" s="827"/>
      <c r="K786" s="827"/>
      <c r="L786" s="827"/>
      <c r="M786" s="851"/>
      <c r="N786" s="827"/>
      <c r="O786" s="827"/>
      <c r="P786" s="827"/>
      <c r="Q786" s="827"/>
      <c r="R786" s="827"/>
      <c r="S786" s="827"/>
      <c r="T786" s="827"/>
      <c r="U786" s="827"/>
      <c r="V786" s="827"/>
      <c r="W786" s="827"/>
      <c r="X786" s="827"/>
      <c r="Y786" s="827"/>
      <c r="Z786" s="827"/>
      <c r="AA786" s="827"/>
      <c r="AB786" s="827"/>
      <c r="AC786" s="852"/>
      <c r="AD786" s="827"/>
      <c r="AE786" s="827"/>
      <c r="AF786" s="827"/>
      <c r="AG786" s="827"/>
      <c r="AH786" s="827"/>
      <c r="AI786" s="827"/>
      <c r="AJ786" s="827"/>
      <c r="EB786" s="846"/>
    </row>
    <row r="787" spans="5:132" ht="18" x14ac:dyDescent="0.25">
      <c r="E787" s="826"/>
      <c r="H787" s="849">
        <v>277</v>
      </c>
      <c r="I787" s="850"/>
      <c r="J787" s="827"/>
      <c r="K787" s="827"/>
      <c r="L787" s="827"/>
      <c r="M787" s="851"/>
      <c r="N787" s="827"/>
      <c r="O787" s="827"/>
      <c r="P787" s="827"/>
      <c r="Q787" s="827"/>
      <c r="R787" s="827"/>
      <c r="S787" s="827"/>
      <c r="T787" s="827"/>
      <c r="U787" s="827"/>
      <c r="V787" s="827"/>
      <c r="W787" s="827"/>
      <c r="X787" s="827"/>
      <c r="Y787" s="827"/>
      <c r="Z787" s="827"/>
      <c r="AA787" s="827"/>
      <c r="AB787" s="827"/>
      <c r="AC787" s="852"/>
      <c r="AD787" s="827"/>
      <c r="AE787" s="827"/>
      <c r="AF787" s="827"/>
      <c r="AG787" s="827"/>
      <c r="AH787" s="827"/>
      <c r="AI787" s="827"/>
      <c r="AJ787" s="827"/>
      <c r="EB787" s="846"/>
    </row>
    <row r="788" spans="5:132" ht="18" x14ac:dyDescent="0.25">
      <c r="E788" s="826"/>
      <c r="H788" s="849">
        <v>278</v>
      </c>
      <c r="I788" s="850"/>
      <c r="J788" s="827"/>
      <c r="K788" s="827"/>
      <c r="L788" s="827"/>
      <c r="M788" s="851"/>
      <c r="N788" s="827"/>
      <c r="O788" s="827"/>
      <c r="P788" s="827"/>
      <c r="Q788" s="827"/>
      <c r="R788" s="827"/>
      <c r="S788" s="827"/>
      <c r="T788" s="827"/>
      <c r="U788" s="827"/>
      <c r="V788" s="827"/>
      <c r="W788" s="827"/>
      <c r="X788" s="827"/>
      <c r="Y788" s="827"/>
      <c r="Z788" s="827"/>
      <c r="AA788" s="827"/>
      <c r="AB788" s="827"/>
      <c r="AC788" s="852"/>
      <c r="AD788" s="827"/>
      <c r="AE788" s="827"/>
      <c r="AF788" s="827"/>
      <c r="AG788" s="827"/>
      <c r="AH788" s="827"/>
      <c r="AI788" s="827"/>
      <c r="AJ788" s="827"/>
      <c r="EB788" s="846"/>
    </row>
    <row r="789" spans="5:132" ht="18" x14ac:dyDescent="0.25">
      <c r="E789" s="826"/>
      <c r="H789" s="849">
        <v>279</v>
      </c>
      <c r="I789" s="850"/>
      <c r="J789" s="827"/>
      <c r="K789" s="827"/>
      <c r="L789" s="827"/>
      <c r="M789" s="851"/>
      <c r="N789" s="827"/>
      <c r="O789" s="827"/>
      <c r="P789" s="827"/>
      <c r="Q789" s="827"/>
      <c r="R789" s="827"/>
      <c r="S789" s="827"/>
      <c r="T789" s="827"/>
      <c r="U789" s="827"/>
      <c r="V789" s="827"/>
      <c r="W789" s="827"/>
      <c r="X789" s="827"/>
      <c r="Y789" s="827"/>
      <c r="Z789" s="827"/>
      <c r="AA789" s="827"/>
      <c r="AB789" s="827"/>
      <c r="AC789" s="852"/>
      <c r="AD789" s="827"/>
      <c r="AE789" s="827"/>
      <c r="AF789" s="827"/>
      <c r="AG789" s="827"/>
      <c r="AH789" s="827"/>
      <c r="AI789" s="827"/>
      <c r="AJ789" s="827"/>
      <c r="EB789" s="846"/>
    </row>
    <row r="790" spans="5:132" ht="18" x14ac:dyDescent="0.25">
      <c r="E790" s="826"/>
      <c r="H790" s="849">
        <v>280</v>
      </c>
      <c r="I790" s="850"/>
      <c r="J790" s="827"/>
      <c r="K790" s="827"/>
      <c r="L790" s="827"/>
      <c r="M790" s="851"/>
      <c r="N790" s="827"/>
      <c r="O790" s="827"/>
      <c r="P790" s="827"/>
      <c r="Q790" s="827"/>
      <c r="R790" s="827"/>
      <c r="S790" s="827"/>
      <c r="T790" s="827"/>
      <c r="U790" s="827"/>
      <c r="V790" s="827"/>
      <c r="W790" s="827"/>
      <c r="X790" s="827"/>
      <c r="Y790" s="827"/>
      <c r="Z790" s="827"/>
      <c r="AA790" s="827"/>
      <c r="AB790" s="827"/>
      <c r="AC790" s="852"/>
      <c r="AD790" s="827"/>
      <c r="AE790" s="827"/>
      <c r="AF790" s="827"/>
      <c r="AG790" s="827"/>
      <c r="AH790" s="827"/>
      <c r="AI790" s="827"/>
      <c r="AJ790" s="827"/>
      <c r="EB790" s="846"/>
    </row>
    <row r="791" spans="5:132" ht="18" x14ac:dyDescent="0.25">
      <c r="E791" s="826"/>
      <c r="H791" s="849">
        <v>281</v>
      </c>
      <c r="I791" s="850"/>
      <c r="J791" s="827"/>
      <c r="K791" s="827"/>
      <c r="L791" s="827"/>
      <c r="M791" s="851"/>
      <c r="N791" s="827"/>
      <c r="O791" s="827"/>
      <c r="P791" s="827"/>
      <c r="Q791" s="827"/>
      <c r="R791" s="827"/>
      <c r="S791" s="827"/>
      <c r="T791" s="827"/>
      <c r="U791" s="827"/>
      <c r="V791" s="827"/>
      <c r="W791" s="827"/>
      <c r="X791" s="827"/>
      <c r="Y791" s="827"/>
      <c r="Z791" s="827"/>
      <c r="AA791" s="827"/>
      <c r="AB791" s="827"/>
      <c r="AC791" s="852"/>
      <c r="AD791" s="827"/>
      <c r="AE791" s="827"/>
      <c r="AF791" s="827"/>
      <c r="AG791" s="827"/>
      <c r="AH791" s="827"/>
      <c r="AI791" s="827"/>
      <c r="AJ791" s="827"/>
      <c r="EB791" s="846"/>
    </row>
    <row r="792" spans="5:132" ht="18" x14ac:dyDescent="0.25">
      <c r="E792" s="826"/>
      <c r="H792" s="849">
        <v>282</v>
      </c>
      <c r="I792" s="850"/>
      <c r="J792" s="827"/>
      <c r="K792" s="827"/>
      <c r="L792" s="827"/>
      <c r="M792" s="851"/>
      <c r="N792" s="827"/>
      <c r="O792" s="827"/>
      <c r="P792" s="827"/>
      <c r="Q792" s="827"/>
      <c r="R792" s="827"/>
      <c r="S792" s="827"/>
      <c r="T792" s="827"/>
      <c r="U792" s="827"/>
      <c r="V792" s="827"/>
      <c r="W792" s="827"/>
      <c r="X792" s="827"/>
      <c r="Y792" s="827"/>
      <c r="Z792" s="827"/>
      <c r="AA792" s="827"/>
      <c r="AB792" s="827"/>
      <c r="AC792" s="852"/>
      <c r="AD792" s="827"/>
      <c r="AE792" s="827"/>
      <c r="AF792" s="827"/>
      <c r="AG792" s="827"/>
      <c r="AH792" s="827"/>
      <c r="AI792" s="827"/>
      <c r="AJ792" s="827"/>
      <c r="EB792" s="846"/>
    </row>
    <row r="793" spans="5:132" ht="18" x14ac:dyDescent="0.25">
      <c r="E793" s="826"/>
      <c r="H793" s="849">
        <v>283</v>
      </c>
      <c r="I793" s="850"/>
      <c r="J793" s="827"/>
      <c r="K793" s="827"/>
      <c r="L793" s="827"/>
      <c r="M793" s="851"/>
      <c r="N793" s="827"/>
      <c r="O793" s="827"/>
      <c r="P793" s="827"/>
      <c r="Q793" s="827"/>
      <c r="R793" s="827"/>
      <c r="S793" s="827"/>
      <c r="T793" s="827"/>
      <c r="U793" s="827"/>
      <c r="V793" s="827"/>
      <c r="W793" s="827"/>
      <c r="X793" s="827"/>
      <c r="Y793" s="827"/>
      <c r="Z793" s="827"/>
      <c r="AA793" s="827"/>
      <c r="AB793" s="827"/>
      <c r="AC793" s="852"/>
      <c r="AD793" s="827"/>
      <c r="AE793" s="827"/>
      <c r="AF793" s="827"/>
      <c r="AG793" s="827"/>
      <c r="AH793" s="827"/>
      <c r="AI793" s="827"/>
      <c r="AJ793" s="827"/>
      <c r="EB793" s="846"/>
    </row>
    <row r="794" spans="5:132" ht="18" x14ac:dyDescent="0.25">
      <c r="E794" s="826"/>
      <c r="H794" s="849">
        <v>284</v>
      </c>
      <c r="I794" s="850"/>
      <c r="J794" s="827"/>
      <c r="K794" s="827"/>
      <c r="L794" s="827"/>
      <c r="M794" s="851"/>
      <c r="N794" s="827"/>
      <c r="O794" s="827"/>
      <c r="P794" s="827"/>
      <c r="Q794" s="827"/>
      <c r="R794" s="827"/>
      <c r="S794" s="827"/>
      <c r="T794" s="827"/>
      <c r="U794" s="827"/>
      <c r="V794" s="827"/>
      <c r="W794" s="827"/>
      <c r="X794" s="827"/>
      <c r="Y794" s="827"/>
      <c r="Z794" s="827"/>
      <c r="AA794" s="827"/>
      <c r="AB794" s="827"/>
      <c r="AC794" s="852"/>
      <c r="AD794" s="827"/>
      <c r="AE794" s="827"/>
      <c r="AF794" s="827"/>
      <c r="AG794" s="827"/>
      <c r="AH794" s="827"/>
      <c r="AI794" s="827"/>
      <c r="AJ794" s="827"/>
      <c r="EB794" s="846"/>
    </row>
    <row r="795" spans="5:132" ht="18" x14ac:dyDescent="0.25">
      <c r="E795" s="826"/>
      <c r="H795" s="849">
        <v>285</v>
      </c>
      <c r="I795" s="850"/>
      <c r="J795" s="827"/>
      <c r="K795" s="827"/>
      <c r="L795" s="827"/>
      <c r="M795" s="851"/>
      <c r="N795" s="827"/>
      <c r="O795" s="827"/>
      <c r="P795" s="827"/>
      <c r="Q795" s="827"/>
      <c r="R795" s="827"/>
      <c r="S795" s="827"/>
      <c r="T795" s="827"/>
      <c r="U795" s="827"/>
      <c r="V795" s="827"/>
      <c r="W795" s="827"/>
      <c r="X795" s="827"/>
      <c r="Y795" s="827"/>
      <c r="Z795" s="827"/>
      <c r="AA795" s="827"/>
      <c r="AB795" s="827"/>
      <c r="AC795" s="852"/>
      <c r="AD795" s="827"/>
      <c r="AE795" s="827"/>
      <c r="AF795" s="827"/>
      <c r="AG795" s="827"/>
      <c r="AH795" s="827"/>
      <c r="AI795" s="827"/>
      <c r="AJ795" s="827"/>
      <c r="EB795" s="846"/>
    </row>
    <row r="796" spans="5:132" ht="18" x14ac:dyDescent="0.25">
      <c r="E796" s="826"/>
      <c r="H796" s="849">
        <v>286</v>
      </c>
      <c r="I796" s="850"/>
      <c r="J796" s="827"/>
      <c r="K796" s="827"/>
      <c r="L796" s="827"/>
      <c r="M796" s="851"/>
      <c r="N796" s="827"/>
      <c r="O796" s="827"/>
      <c r="P796" s="827"/>
      <c r="Q796" s="827"/>
      <c r="R796" s="827"/>
      <c r="S796" s="827"/>
      <c r="T796" s="827"/>
      <c r="U796" s="827"/>
      <c r="V796" s="827"/>
      <c r="W796" s="827"/>
      <c r="X796" s="827"/>
      <c r="Y796" s="827"/>
      <c r="Z796" s="827"/>
      <c r="AA796" s="827"/>
      <c r="AB796" s="827"/>
      <c r="AC796" s="852"/>
      <c r="AD796" s="827"/>
      <c r="AE796" s="827"/>
      <c r="AF796" s="827"/>
      <c r="AG796" s="827"/>
      <c r="AH796" s="827"/>
      <c r="AI796" s="827"/>
      <c r="AJ796" s="827"/>
      <c r="EB796" s="846"/>
    </row>
    <row r="797" spans="5:132" ht="18" x14ac:dyDescent="0.25">
      <c r="E797" s="826"/>
      <c r="H797" s="849">
        <v>287</v>
      </c>
      <c r="I797" s="850"/>
      <c r="J797" s="827"/>
      <c r="K797" s="827"/>
      <c r="L797" s="827"/>
      <c r="M797" s="851"/>
      <c r="N797" s="827"/>
      <c r="O797" s="827"/>
      <c r="P797" s="827"/>
      <c r="Q797" s="827"/>
      <c r="R797" s="827"/>
      <c r="S797" s="827"/>
      <c r="T797" s="827"/>
      <c r="U797" s="827"/>
      <c r="V797" s="827"/>
      <c r="W797" s="827"/>
      <c r="X797" s="827"/>
      <c r="Y797" s="827"/>
      <c r="Z797" s="827"/>
      <c r="AA797" s="827"/>
      <c r="AB797" s="827"/>
      <c r="AC797" s="852"/>
      <c r="AD797" s="827"/>
      <c r="AE797" s="827"/>
      <c r="AF797" s="827"/>
      <c r="AG797" s="827"/>
      <c r="AH797" s="827"/>
      <c r="AI797" s="827"/>
      <c r="AJ797" s="827"/>
      <c r="EB797" s="846"/>
    </row>
    <row r="798" spans="5:132" ht="18" x14ac:dyDescent="0.25">
      <c r="E798" s="826"/>
      <c r="H798" s="849">
        <v>288</v>
      </c>
      <c r="I798" s="850"/>
      <c r="J798" s="827"/>
      <c r="K798" s="827"/>
      <c r="L798" s="827"/>
      <c r="M798" s="851"/>
      <c r="N798" s="827"/>
      <c r="O798" s="827"/>
      <c r="P798" s="827"/>
      <c r="Q798" s="827"/>
      <c r="R798" s="827"/>
      <c r="S798" s="827"/>
      <c r="T798" s="827"/>
      <c r="U798" s="827"/>
      <c r="V798" s="827"/>
      <c r="W798" s="827"/>
      <c r="X798" s="827"/>
      <c r="Y798" s="827"/>
      <c r="Z798" s="827"/>
      <c r="AA798" s="827"/>
      <c r="AB798" s="827"/>
      <c r="AC798" s="852"/>
      <c r="AD798" s="827"/>
      <c r="AE798" s="827"/>
      <c r="AF798" s="827"/>
      <c r="AG798" s="827"/>
      <c r="AH798" s="827"/>
      <c r="AI798" s="827"/>
      <c r="AJ798" s="827"/>
      <c r="EB798" s="846"/>
    </row>
    <row r="799" spans="5:132" ht="18" x14ac:dyDescent="0.25">
      <c r="E799" s="826"/>
      <c r="H799" s="849">
        <v>289</v>
      </c>
      <c r="I799" s="850"/>
      <c r="J799" s="827"/>
      <c r="K799" s="827"/>
      <c r="L799" s="827"/>
      <c r="M799" s="851"/>
      <c r="N799" s="827"/>
      <c r="O799" s="827"/>
      <c r="P799" s="827"/>
      <c r="Q799" s="827"/>
      <c r="R799" s="827"/>
      <c r="S799" s="827"/>
      <c r="T799" s="827"/>
      <c r="U799" s="827"/>
      <c r="V799" s="827"/>
      <c r="W799" s="827"/>
      <c r="X799" s="827"/>
      <c r="Y799" s="827"/>
      <c r="Z799" s="827"/>
      <c r="AA799" s="827"/>
      <c r="AB799" s="827"/>
      <c r="AC799" s="852"/>
      <c r="AD799" s="827"/>
      <c r="AE799" s="827"/>
      <c r="AF799" s="827"/>
      <c r="AG799" s="827"/>
      <c r="AH799" s="827"/>
      <c r="AI799" s="827"/>
      <c r="AJ799" s="827"/>
      <c r="EB799" s="846"/>
    </row>
    <row r="800" spans="5:132" ht="18" x14ac:dyDescent="0.25">
      <c r="E800" s="826"/>
      <c r="H800" s="849">
        <v>290</v>
      </c>
      <c r="I800" s="850"/>
      <c r="J800" s="827"/>
      <c r="K800" s="827"/>
      <c r="L800" s="827"/>
      <c r="M800" s="851"/>
      <c r="N800" s="827"/>
      <c r="O800" s="827"/>
      <c r="P800" s="827"/>
      <c r="Q800" s="827"/>
      <c r="R800" s="827"/>
      <c r="S800" s="827"/>
      <c r="T800" s="827"/>
      <c r="U800" s="827"/>
      <c r="V800" s="827"/>
      <c r="W800" s="827"/>
      <c r="X800" s="827"/>
      <c r="Y800" s="827"/>
      <c r="Z800" s="827"/>
      <c r="AA800" s="827"/>
      <c r="AB800" s="827"/>
      <c r="AC800" s="852"/>
      <c r="AD800" s="827"/>
      <c r="AE800" s="827"/>
      <c r="AF800" s="827"/>
      <c r="AG800" s="827"/>
      <c r="AH800" s="827"/>
      <c r="AI800" s="827"/>
      <c r="AJ800" s="827"/>
      <c r="EB800" s="846"/>
    </row>
    <row r="801" spans="5:132" ht="18" x14ac:dyDescent="0.25">
      <c r="E801" s="826"/>
      <c r="H801" s="849">
        <v>291</v>
      </c>
      <c r="I801" s="850"/>
      <c r="J801" s="827"/>
      <c r="K801" s="827"/>
      <c r="L801" s="827"/>
      <c r="M801" s="851"/>
      <c r="N801" s="827"/>
      <c r="O801" s="827"/>
      <c r="P801" s="827"/>
      <c r="Q801" s="827"/>
      <c r="R801" s="827"/>
      <c r="S801" s="827"/>
      <c r="T801" s="827"/>
      <c r="U801" s="827"/>
      <c r="V801" s="827"/>
      <c r="W801" s="827"/>
      <c r="X801" s="827"/>
      <c r="Y801" s="827"/>
      <c r="Z801" s="827"/>
      <c r="AA801" s="827"/>
      <c r="AB801" s="827"/>
      <c r="AC801" s="852"/>
      <c r="AD801" s="827"/>
      <c r="AE801" s="827"/>
      <c r="AF801" s="827"/>
      <c r="AG801" s="827"/>
      <c r="AH801" s="827"/>
      <c r="AI801" s="827"/>
      <c r="AJ801" s="827"/>
      <c r="EB801" s="846"/>
    </row>
    <row r="802" spans="5:132" ht="18" x14ac:dyDescent="0.25">
      <c r="E802" s="826"/>
      <c r="H802" s="849">
        <v>292</v>
      </c>
      <c r="I802" s="850"/>
      <c r="J802" s="827"/>
      <c r="K802" s="827"/>
      <c r="L802" s="827"/>
      <c r="M802" s="851"/>
      <c r="N802" s="827"/>
      <c r="O802" s="827"/>
      <c r="P802" s="827"/>
      <c r="Q802" s="827"/>
      <c r="R802" s="827"/>
      <c r="S802" s="827"/>
      <c r="T802" s="827"/>
      <c r="U802" s="827"/>
      <c r="V802" s="827"/>
      <c r="W802" s="827"/>
      <c r="X802" s="827"/>
      <c r="Y802" s="827"/>
      <c r="Z802" s="827"/>
      <c r="AA802" s="827"/>
      <c r="AB802" s="827"/>
      <c r="AC802" s="852"/>
      <c r="AD802" s="827"/>
      <c r="AE802" s="827"/>
      <c r="AF802" s="827"/>
      <c r="AG802" s="827"/>
      <c r="AH802" s="827"/>
      <c r="AI802" s="827"/>
      <c r="AJ802" s="827"/>
      <c r="EB802" s="846"/>
    </row>
    <row r="803" spans="5:132" ht="18" x14ac:dyDescent="0.25">
      <c r="E803" s="826"/>
      <c r="H803" s="849">
        <v>293</v>
      </c>
      <c r="I803" s="850"/>
      <c r="J803" s="827"/>
      <c r="K803" s="827"/>
      <c r="L803" s="827"/>
      <c r="M803" s="851"/>
      <c r="N803" s="827"/>
      <c r="O803" s="827"/>
      <c r="P803" s="827"/>
      <c r="Q803" s="827"/>
      <c r="R803" s="827"/>
      <c r="S803" s="827"/>
      <c r="T803" s="827"/>
      <c r="U803" s="827"/>
      <c r="V803" s="827"/>
      <c r="W803" s="827"/>
      <c r="X803" s="827"/>
      <c r="Y803" s="827"/>
      <c r="Z803" s="827"/>
      <c r="AA803" s="827"/>
      <c r="AB803" s="827"/>
      <c r="AC803" s="852"/>
      <c r="AD803" s="827"/>
      <c r="AE803" s="827"/>
      <c r="AF803" s="827"/>
      <c r="AG803" s="827"/>
      <c r="AH803" s="827"/>
      <c r="AI803" s="827"/>
      <c r="AJ803" s="827"/>
      <c r="EB803" s="846"/>
    </row>
    <row r="804" spans="5:132" ht="18" x14ac:dyDescent="0.25">
      <c r="E804" s="826"/>
      <c r="H804" s="849">
        <v>294</v>
      </c>
      <c r="I804" s="850"/>
      <c r="J804" s="827"/>
      <c r="K804" s="827"/>
      <c r="L804" s="827"/>
      <c r="M804" s="851"/>
      <c r="N804" s="827"/>
      <c r="O804" s="827"/>
      <c r="P804" s="827"/>
      <c r="Q804" s="827"/>
      <c r="R804" s="827"/>
      <c r="S804" s="827"/>
      <c r="T804" s="827"/>
      <c r="U804" s="827"/>
      <c r="V804" s="827"/>
      <c r="W804" s="827"/>
      <c r="X804" s="827"/>
      <c r="Y804" s="827"/>
      <c r="Z804" s="827"/>
      <c r="AA804" s="827"/>
      <c r="AB804" s="827"/>
      <c r="AC804" s="852"/>
      <c r="AD804" s="827"/>
      <c r="AE804" s="827"/>
      <c r="AF804" s="827"/>
      <c r="AG804" s="827"/>
      <c r="AH804" s="827"/>
      <c r="AI804" s="827"/>
      <c r="AJ804" s="827"/>
      <c r="EB804" s="846"/>
    </row>
    <row r="805" spans="5:132" ht="18" x14ac:dyDescent="0.25">
      <c r="E805" s="826"/>
      <c r="H805" s="849">
        <v>295</v>
      </c>
      <c r="I805" s="850"/>
      <c r="J805" s="827"/>
      <c r="K805" s="827"/>
      <c r="L805" s="827"/>
      <c r="M805" s="851"/>
      <c r="N805" s="827"/>
      <c r="O805" s="827"/>
      <c r="P805" s="827"/>
      <c r="Q805" s="827"/>
      <c r="R805" s="827"/>
      <c r="S805" s="827"/>
      <c r="T805" s="827"/>
      <c r="U805" s="827"/>
      <c r="V805" s="827"/>
      <c r="W805" s="827"/>
      <c r="X805" s="827"/>
      <c r="Y805" s="827"/>
      <c r="Z805" s="827"/>
      <c r="AA805" s="827"/>
      <c r="AB805" s="827"/>
      <c r="AC805" s="852"/>
      <c r="AD805" s="827"/>
      <c r="AE805" s="827"/>
      <c r="AF805" s="827"/>
      <c r="AG805" s="827"/>
      <c r="AH805" s="827"/>
      <c r="AI805" s="827"/>
      <c r="AJ805" s="827"/>
      <c r="EB805" s="846"/>
    </row>
    <row r="806" spans="5:132" ht="18" x14ac:dyDescent="0.25">
      <c r="E806" s="826"/>
      <c r="H806" s="849">
        <v>296</v>
      </c>
      <c r="I806" s="850"/>
      <c r="J806" s="827"/>
      <c r="K806" s="827"/>
      <c r="L806" s="827"/>
      <c r="M806" s="851"/>
      <c r="N806" s="827"/>
      <c r="O806" s="827"/>
      <c r="P806" s="827"/>
      <c r="Q806" s="827"/>
      <c r="R806" s="827"/>
      <c r="S806" s="827"/>
      <c r="T806" s="827"/>
      <c r="U806" s="827"/>
      <c r="V806" s="827"/>
      <c r="W806" s="827"/>
      <c r="X806" s="827"/>
      <c r="Y806" s="827"/>
      <c r="Z806" s="827"/>
      <c r="AA806" s="827"/>
      <c r="AB806" s="827"/>
      <c r="AC806" s="852"/>
      <c r="AD806" s="827"/>
      <c r="AE806" s="827"/>
      <c r="AF806" s="827"/>
      <c r="AG806" s="827"/>
      <c r="AH806" s="827"/>
      <c r="AI806" s="827"/>
      <c r="AJ806" s="827"/>
      <c r="EB806" s="846"/>
    </row>
    <row r="807" spans="5:132" ht="18" x14ac:dyDescent="0.25">
      <c r="E807" s="826"/>
      <c r="H807" s="849">
        <v>297</v>
      </c>
      <c r="I807" s="850"/>
      <c r="J807" s="827"/>
      <c r="K807" s="827"/>
      <c r="L807" s="827"/>
      <c r="M807" s="851"/>
      <c r="N807" s="827"/>
      <c r="O807" s="827"/>
      <c r="P807" s="827"/>
      <c r="Q807" s="827"/>
      <c r="R807" s="827"/>
      <c r="S807" s="827"/>
      <c r="T807" s="827"/>
      <c r="U807" s="827"/>
      <c r="V807" s="827"/>
      <c r="W807" s="827"/>
      <c r="X807" s="827"/>
      <c r="Y807" s="827"/>
      <c r="Z807" s="827"/>
      <c r="AA807" s="827"/>
      <c r="AB807" s="827"/>
      <c r="AC807" s="852"/>
      <c r="AD807" s="827"/>
      <c r="AE807" s="827"/>
      <c r="AF807" s="827"/>
      <c r="AG807" s="827"/>
      <c r="AH807" s="827"/>
      <c r="AI807" s="827"/>
      <c r="AJ807" s="827"/>
      <c r="EB807" s="846"/>
    </row>
    <row r="808" spans="5:132" ht="18" x14ac:dyDescent="0.25">
      <c r="E808" s="826"/>
      <c r="H808" s="849">
        <v>298</v>
      </c>
      <c r="I808" s="850"/>
      <c r="J808" s="827"/>
      <c r="K808" s="827"/>
      <c r="L808" s="827"/>
      <c r="M808" s="851"/>
      <c r="N808" s="827"/>
      <c r="O808" s="827"/>
      <c r="P808" s="827"/>
      <c r="Q808" s="827"/>
      <c r="R808" s="827"/>
      <c r="S808" s="827"/>
      <c r="T808" s="827"/>
      <c r="U808" s="827"/>
      <c r="V808" s="827"/>
      <c r="W808" s="827"/>
      <c r="X808" s="827"/>
      <c r="Y808" s="827"/>
      <c r="Z808" s="827"/>
      <c r="AA808" s="827"/>
      <c r="AB808" s="827"/>
      <c r="AC808" s="852"/>
      <c r="AD808" s="827"/>
      <c r="AE808" s="827"/>
      <c r="AF808" s="827"/>
      <c r="AG808" s="827"/>
      <c r="AH808" s="827"/>
      <c r="AI808" s="827"/>
      <c r="AJ808" s="827"/>
      <c r="EB808" s="846"/>
    </row>
    <row r="809" spans="5:132" ht="18" x14ac:dyDescent="0.25">
      <c r="E809" s="826"/>
      <c r="H809" s="849">
        <v>299</v>
      </c>
      <c r="I809" s="850"/>
      <c r="J809" s="827"/>
      <c r="K809" s="827"/>
      <c r="L809" s="827"/>
      <c r="M809" s="851"/>
      <c r="N809" s="827"/>
      <c r="O809" s="827"/>
      <c r="P809" s="827"/>
      <c r="Q809" s="827"/>
      <c r="R809" s="827"/>
      <c r="S809" s="827"/>
      <c r="T809" s="827"/>
      <c r="U809" s="827"/>
      <c r="V809" s="827"/>
      <c r="W809" s="827"/>
      <c r="X809" s="827"/>
      <c r="Y809" s="827"/>
      <c r="Z809" s="827"/>
      <c r="AA809" s="827"/>
      <c r="AB809" s="827"/>
      <c r="AC809" s="852"/>
      <c r="AD809" s="827"/>
      <c r="AE809" s="827"/>
      <c r="AF809" s="827"/>
      <c r="AG809" s="827"/>
      <c r="AH809" s="827"/>
      <c r="AI809" s="827"/>
      <c r="AJ809" s="827"/>
      <c r="EB809" s="846"/>
    </row>
    <row r="810" spans="5:132" ht="18" x14ac:dyDescent="0.25">
      <c r="E810" s="826"/>
      <c r="H810" s="849">
        <v>300</v>
      </c>
      <c r="I810" s="850"/>
      <c r="J810" s="827"/>
      <c r="K810" s="827"/>
      <c r="L810" s="827"/>
      <c r="M810" s="851"/>
      <c r="N810" s="827"/>
      <c r="O810" s="827"/>
      <c r="P810" s="827"/>
      <c r="Q810" s="827"/>
      <c r="R810" s="827"/>
      <c r="S810" s="827"/>
      <c r="T810" s="827"/>
      <c r="U810" s="827"/>
      <c r="V810" s="827"/>
      <c r="W810" s="827"/>
      <c r="X810" s="827"/>
      <c r="Y810" s="827"/>
      <c r="Z810" s="827"/>
      <c r="AA810" s="827"/>
      <c r="AB810" s="827"/>
      <c r="AC810" s="852"/>
      <c r="AD810" s="827"/>
      <c r="AE810" s="827"/>
      <c r="AF810" s="827"/>
      <c r="AG810" s="827"/>
      <c r="AH810" s="827"/>
      <c r="AI810" s="827"/>
      <c r="AJ810" s="827"/>
      <c r="EB810" s="846"/>
    </row>
    <row r="811" spans="5:132" ht="18" x14ac:dyDescent="0.25">
      <c r="E811" s="826"/>
      <c r="H811" s="849">
        <v>301</v>
      </c>
      <c r="I811" s="850"/>
      <c r="J811" s="827"/>
      <c r="K811" s="827"/>
      <c r="L811" s="827"/>
      <c r="M811" s="851"/>
      <c r="N811" s="827"/>
      <c r="O811" s="827"/>
      <c r="P811" s="827"/>
      <c r="Q811" s="827"/>
      <c r="R811" s="827"/>
      <c r="S811" s="827"/>
      <c r="T811" s="827"/>
      <c r="U811" s="827"/>
      <c r="V811" s="827"/>
      <c r="W811" s="827"/>
      <c r="X811" s="827"/>
      <c r="Y811" s="827"/>
      <c r="Z811" s="827"/>
      <c r="AA811" s="827"/>
      <c r="AB811" s="827"/>
      <c r="AC811" s="852"/>
      <c r="AD811" s="827"/>
      <c r="AE811" s="827"/>
      <c r="AF811" s="827"/>
      <c r="AG811" s="827"/>
      <c r="AH811" s="827"/>
      <c r="AI811" s="827"/>
      <c r="AJ811" s="827"/>
      <c r="EB811" s="846"/>
    </row>
    <row r="812" spans="5:132" ht="18" x14ac:dyDescent="0.25">
      <c r="E812" s="826"/>
      <c r="H812" s="849">
        <v>302</v>
      </c>
      <c r="I812" s="850"/>
      <c r="J812" s="827"/>
      <c r="K812" s="827"/>
      <c r="L812" s="827"/>
      <c r="M812" s="851"/>
      <c r="N812" s="827"/>
      <c r="O812" s="827"/>
      <c r="P812" s="827"/>
      <c r="Q812" s="827"/>
      <c r="R812" s="827"/>
      <c r="S812" s="827"/>
      <c r="T812" s="827"/>
      <c r="U812" s="827"/>
      <c r="V812" s="827"/>
      <c r="W812" s="827"/>
      <c r="X812" s="827"/>
      <c r="Y812" s="827"/>
      <c r="Z812" s="827"/>
      <c r="AA812" s="827"/>
      <c r="AB812" s="827"/>
      <c r="AC812" s="852"/>
      <c r="AD812" s="827"/>
      <c r="AE812" s="827"/>
      <c r="AF812" s="827"/>
      <c r="AG812" s="827"/>
      <c r="AH812" s="827"/>
      <c r="AI812" s="827"/>
      <c r="AJ812" s="827"/>
      <c r="EB812" s="846"/>
    </row>
    <row r="813" spans="5:132" ht="18" x14ac:dyDescent="0.25">
      <c r="E813" s="826"/>
      <c r="H813" s="849">
        <v>303</v>
      </c>
      <c r="I813" s="850"/>
      <c r="J813" s="827"/>
      <c r="K813" s="827"/>
      <c r="L813" s="827"/>
      <c r="M813" s="851"/>
      <c r="N813" s="827"/>
      <c r="O813" s="827"/>
      <c r="P813" s="827"/>
      <c r="Q813" s="827"/>
      <c r="R813" s="827"/>
      <c r="S813" s="827"/>
      <c r="T813" s="827"/>
      <c r="U813" s="827"/>
      <c r="V813" s="827"/>
      <c r="W813" s="827"/>
      <c r="X813" s="827"/>
      <c r="Y813" s="827"/>
      <c r="Z813" s="827"/>
      <c r="AA813" s="827"/>
      <c r="AB813" s="827"/>
      <c r="AC813" s="852"/>
      <c r="AD813" s="827"/>
      <c r="AE813" s="827"/>
      <c r="AF813" s="827"/>
      <c r="AG813" s="827"/>
      <c r="AH813" s="827"/>
      <c r="AI813" s="827"/>
      <c r="AJ813" s="827"/>
      <c r="EB813" s="846"/>
    </row>
    <row r="814" spans="5:132" ht="18" x14ac:dyDescent="0.25">
      <c r="E814" s="826"/>
      <c r="H814" s="849">
        <v>304</v>
      </c>
      <c r="I814" s="850"/>
      <c r="J814" s="827"/>
      <c r="K814" s="827"/>
      <c r="L814" s="827"/>
      <c r="M814" s="851"/>
      <c r="N814" s="827"/>
      <c r="O814" s="827"/>
      <c r="P814" s="827"/>
      <c r="Q814" s="827"/>
      <c r="R814" s="827"/>
      <c r="S814" s="827"/>
      <c r="T814" s="827"/>
      <c r="U814" s="827"/>
      <c r="V814" s="827"/>
      <c r="W814" s="827"/>
      <c r="X814" s="827"/>
      <c r="Y814" s="827"/>
      <c r="Z814" s="827"/>
      <c r="AA814" s="827"/>
      <c r="AB814" s="827"/>
      <c r="AC814" s="852"/>
      <c r="AD814" s="827"/>
      <c r="AE814" s="827"/>
      <c r="AF814" s="827"/>
      <c r="AG814" s="827"/>
      <c r="AH814" s="827"/>
      <c r="AI814" s="827"/>
      <c r="AJ814" s="827"/>
      <c r="EB814" s="846"/>
    </row>
    <row r="815" spans="5:132" ht="18" x14ac:dyDescent="0.25">
      <c r="E815" s="826"/>
      <c r="H815" s="849">
        <v>305</v>
      </c>
      <c r="I815" s="850"/>
      <c r="J815" s="827"/>
      <c r="K815" s="827"/>
      <c r="L815" s="827"/>
      <c r="M815" s="851"/>
      <c r="N815" s="827"/>
      <c r="O815" s="827"/>
      <c r="P815" s="827"/>
      <c r="Q815" s="827"/>
      <c r="R815" s="827"/>
      <c r="S815" s="827"/>
      <c r="T815" s="827"/>
      <c r="U815" s="827"/>
      <c r="V815" s="827"/>
      <c r="W815" s="827"/>
      <c r="X815" s="827"/>
      <c r="Y815" s="827"/>
      <c r="Z815" s="827"/>
      <c r="AA815" s="827"/>
      <c r="AB815" s="827"/>
      <c r="AC815" s="852"/>
      <c r="AD815" s="827"/>
      <c r="AE815" s="827"/>
      <c r="AF815" s="827"/>
      <c r="AG815" s="827"/>
      <c r="AH815" s="827"/>
      <c r="AI815" s="827"/>
      <c r="AJ815" s="827"/>
      <c r="EB815" s="846"/>
    </row>
    <row r="816" spans="5:132" ht="18" x14ac:dyDescent="0.25">
      <c r="E816" s="826"/>
      <c r="H816" s="849">
        <v>306</v>
      </c>
      <c r="I816" s="850"/>
      <c r="J816" s="827"/>
      <c r="K816" s="827"/>
      <c r="L816" s="827"/>
      <c r="M816" s="851"/>
      <c r="N816" s="827"/>
      <c r="O816" s="827"/>
      <c r="P816" s="827"/>
      <c r="Q816" s="827"/>
      <c r="R816" s="827"/>
      <c r="S816" s="827"/>
      <c r="T816" s="827"/>
      <c r="U816" s="827"/>
      <c r="V816" s="827"/>
      <c r="W816" s="827"/>
      <c r="X816" s="827"/>
      <c r="Y816" s="827"/>
      <c r="Z816" s="827"/>
      <c r="AA816" s="827"/>
      <c r="AB816" s="827"/>
      <c r="AC816" s="852"/>
      <c r="AD816" s="827"/>
      <c r="AE816" s="827"/>
      <c r="AF816" s="827"/>
      <c r="AG816" s="827"/>
      <c r="AH816" s="827"/>
      <c r="AI816" s="827"/>
      <c r="AJ816" s="827"/>
      <c r="EB816" s="846"/>
    </row>
    <row r="817" spans="5:132" ht="18" x14ac:dyDescent="0.25">
      <c r="E817" s="826"/>
      <c r="H817" s="849">
        <v>307</v>
      </c>
      <c r="I817" s="850"/>
      <c r="J817" s="827"/>
      <c r="K817" s="827"/>
      <c r="L817" s="827"/>
      <c r="M817" s="851"/>
      <c r="N817" s="827"/>
      <c r="O817" s="827"/>
      <c r="P817" s="827"/>
      <c r="Q817" s="827"/>
      <c r="R817" s="827"/>
      <c r="S817" s="827"/>
      <c r="T817" s="827"/>
      <c r="U817" s="827"/>
      <c r="V817" s="827"/>
      <c r="W817" s="827"/>
      <c r="X817" s="827"/>
      <c r="Y817" s="827"/>
      <c r="Z817" s="827"/>
      <c r="AA817" s="827"/>
      <c r="AB817" s="827"/>
      <c r="AC817" s="852"/>
      <c r="AD817" s="827"/>
      <c r="AE817" s="827"/>
      <c r="AF817" s="827"/>
      <c r="AG817" s="827"/>
      <c r="AH817" s="827"/>
      <c r="AI817" s="827"/>
      <c r="AJ817" s="827"/>
      <c r="EB817" s="846"/>
    </row>
    <row r="818" spans="5:132" ht="18" x14ac:dyDescent="0.25">
      <c r="E818" s="826"/>
      <c r="H818" s="849">
        <v>308</v>
      </c>
      <c r="I818" s="850"/>
      <c r="J818" s="827"/>
      <c r="K818" s="827"/>
      <c r="L818" s="827"/>
      <c r="M818" s="851"/>
      <c r="N818" s="827"/>
      <c r="O818" s="827"/>
      <c r="P818" s="827"/>
      <c r="Q818" s="827"/>
      <c r="R818" s="827"/>
      <c r="S818" s="827"/>
      <c r="T818" s="827"/>
      <c r="U818" s="827"/>
      <c r="V818" s="827"/>
      <c r="W818" s="827"/>
      <c r="X818" s="827"/>
      <c r="Y818" s="827"/>
      <c r="Z818" s="827"/>
      <c r="AA818" s="827"/>
      <c r="AB818" s="827"/>
      <c r="AC818" s="852"/>
      <c r="AD818" s="827"/>
      <c r="AE818" s="827"/>
      <c r="AF818" s="827"/>
      <c r="AG818" s="827"/>
      <c r="AH818" s="827"/>
      <c r="AI818" s="827"/>
      <c r="AJ818" s="827"/>
      <c r="EB818" s="846"/>
    </row>
    <row r="819" spans="5:132" ht="18" x14ac:dyDescent="0.25">
      <c r="E819" s="826"/>
      <c r="H819" s="849">
        <v>309</v>
      </c>
      <c r="I819" s="850"/>
      <c r="J819" s="827"/>
      <c r="K819" s="827"/>
      <c r="L819" s="827"/>
      <c r="M819" s="851"/>
      <c r="N819" s="827"/>
      <c r="O819" s="827"/>
      <c r="P819" s="827"/>
      <c r="Q819" s="827"/>
      <c r="R819" s="827"/>
      <c r="S819" s="827"/>
      <c r="T819" s="827"/>
      <c r="U819" s="827"/>
      <c r="V819" s="827"/>
      <c r="W819" s="827"/>
      <c r="X819" s="827"/>
      <c r="Y819" s="827"/>
      <c r="Z819" s="827"/>
      <c r="AA819" s="827"/>
      <c r="AB819" s="827"/>
      <c r="AC819" s="852"/>
      <c r="AD819" s="827"/>
      <c r="AE819" s="827"/>
      <c r="AF819" s="827"/>
      <c r="AG819" s="827"/>
      <c r="AH819" s="827"/>
      <c r="AI819" s="827"/>
      <c r="AJ819" s="827"/>
      <c r="EB819" s="846"/>
    </row>
    <row r="820" spans="5:132" ht="18" x14ac:dyDescent="0.25">
      <c r="E820" s="826"/>
      <c r="H820" s="849">
        <v>310</v>
      </c>
      <c r="I820" s="850"/>
      <c r="J820" s="827"/>
      <c r="K820" s="827"/>
      <c r="L820" s="827"/>
      <c r="M820" s="851"/>
      <c r="N820" s="827"/>
      <c r="O820" s="827"/>
      <c r="P820" s="827"/>
      <c r="Q820" s="827"/>
      <c r="R820" s="827"/>
      <c r="S820" s="827"/>
      <c r="T820" s="827"/>
      <c r="U820" s="827"/>
      <c r="V820" s="827"/>
      <c r="W820" s="827"/>
      <c r="X820" s="827"/>
      <c r="Y820" s="827"/>
      <c r="Z820" s="827"/>
      <c r="AA820" s="827"/>
      <c r="AB820" s="827"/>
      <c r="AC820" s="852"/>
      <c r="AD820" s="827"/>
      <c r="AE820" s="827"/>
      <c r="AF820" s="827"/>
      <c r="AG820" s="827"/>
      <c r="AH820" s="827"/>
      <c r="AI820" s="827"/>
      <c r="AJ820" s="827"/>
      <c r="EB820" s="846"/>
    </row>
    <row r="821" spans="5:132" ht="18" x14ac:dyDescent="0.25">
      <c r="E821" s="826"/>
      <c r="H821" s="849">
        <v>311</v>
      </c>
      <c r="I821" s="850"/>
      <c r="J821" s="827"/>
      <c r="K821" s="827"/>
      <c r="L821" s="827"/>
      <c r="M821" s="851"/>
      <c r="N821" s="827"/>
      <c r="O821" s="827"/>
      <c r="P821" s="827"/>
      <c r="Q821" s="827"/>
      <c r="R821" s="827"/>
      <c r="S821" s="827"/>
      <c r="T821" s="827"/>
      <c r="U821" s="827"/>
      <c r="V821" s="827"/>
      <c r="W821" s="827"/>
      <c r="X821" s="827"/>
      <c r="Y821" s="827"/>
      <c r="Z821" s="827"/>
      <c r="AA821" s="827"/>
      <c r="AB821" s="827"/>
      <c r="AC821" s="852"/>
      <c r="AD821" s="827"/>
      <c r="AE821" s="827"/>
      <c r="AF821" s="827"/>
      <c r="AG821" s="827"/>
      <c r="AH821" s="827"/>
      <c r="AI821" s="827"/>
      <c r="AJ821" s="827"/>
      <c r="EB821" s="846"/>
    </row>
    <row r="822" spans="5:132" ht="18" x14ac:dyDescent="0.25">
      <c r="E822" s="826"/>
      <c r="H822" s="849">
        <v>312</v>
      </c>
      <c r="I822" s="850"/>
      <c r="J822" s="827"/>
      <c r="K822" s="827"/>
      <c r="L822" s="827"/>
      <c r="M822" s="851"/>
      <c r="N822" s="827"/>
      <c r="O822" s="827"/>
      <c r="P822" s="827"/>
      <c r="Q822" s="827"/>
      <c r="R822" s="827"/>
      <c r="S822" s="827"/>
      <c r="T822" s="827"/>
      <c r="U822" s="827"/>
      <c r="V822" s="827"/>
      <c r="W822" s="827"/>
      <c r="X822" s="827"/>
      <c r="Y822" s="827"/>
      <c r="Z822" s="827"/>
      <c r="AA822" s="827"/>
      <c r="AB822" s="827"/>
      <c r="AC822" s="852"/>
      <c r="AD822" s="827"/>
      <c r="AE822" s="827"/>
      <c r="AF822" s="827"/>
      <c r="AG822" s="827"/>
      <c r="AH822" s="827"/>
      <c r="AI822" s="827"/>
      <c r="AJ822" s="827"/>
      <c r="EB822" s="846"/>
    </row>
    <row r="823" spans="5:132" ht="18" x14ac:dyDescent="0.25">
      <c r="E823" s="826"/>
      <c r="H823" s="849">
        <v>313</v>
      </c>
      <c r="I823" s="850"/>
      <c r="J823" s="827"/>
      <c r="K823" s="827"/>
      <c r="L823" s="827"/>
      <c r="M823" s="851"/>
      <c r="N823" s="827"/>
      <c r="O823" s="827"/>
      <c r="P823" s="827"/>
      <c r="Q823" s="827"/>
      <c r="R823" s="827"/>
      <c r="S823" s="827"/>
      <c r="T823" s="827"/>
      <c r="U823" s="827"/>
      <c r="V823" s="827"/>
      <c r="W823" s="827"/>
      <c r="X823" s="827"/>
      <c r="Y823" s="827"/>
      <c r="Z823" s="827"/>
      <c r="AA823" s="827"/>
      <c r="AB823" s="827"/>
      <c r="AC823" s="852"/>
      <c r="AD823" s="827"/>
      <c r="AE823" s="827"/>
      <c r="AF823" s="827"/>
      <c r="AG823" s="827"/>
      <c r="AH823" s="827"/>
      <c r="AI823" s="827"/>
      <c r="AJ823" s="827"/>
      <c r="EB823" s="846"/>
    </row>
    <row r="824" spans="5:132" ht="18" x14ac:dyDescent="0.25">
      <c r="E824" s="826"/>
      <c r="H824" s="849">
        <v>314</v>
      </c>
      <c r="I824" s="850"/>
      <c r="J824" s="827"/>
      <c r="K824" s="827"/>
      <c r="L824" s="827"/>
      <c r="M824" s="851"/>
      <c r="N824" s="827"/>
      <c r="O824" s="827"/>
      <c r="P824" s="827"/>
      <c r="Q824" s="827"/>
      <c r="R824" s="827"/>
      <c r="S824" s="827"/>
      <c r="T824" s="827"/>
      <c r="U824" s="827"/>
      <c r="V824" s="827"/>
      <c r="W824" s="827"/>
      <c r="X824" s="827"/>
      <c r="Y824" s="827"/>
      <c r="Z824" s="827"/>
      <c r="AA824" s="827"/>
      <c r="AB824" s="827"/>
      <c r="AC824" s="852"/>
      <c r="AD824" s="827"/>
      <c r="AE824" s="827"/>
      <c r="AF824" s="827"/>
      <c r="AG824" s="827"/>
      <c r="AH824" s="827"/>
      <c r="AI824" s="827"/>
      <c r="AJ824" s="827"/>
      <c r="EB824" s="846"/>
    </row>
    <row r="825" spans="5:132" ht="18" x14ac:dyDescent="0.25">
      <c r="E825" s="826"/>
      <c r="H825" s="849">
        <v>315</v>
      </c>
      <c r="I825" s="850"/>
      <c r="J825" s="827"/>
      <c r="K825" s="827"/>
      <c r="L825" s="827"/>
      <c r="M825" s="851"/>
      <c r="N825" s="827"/>
      <c r="O825" s="827"/>
      <c r="P825" s="827"/>
      <c r="Q825" s="827"/>
      <c r="R825" s="827"/>
      <c r="S825" s="827"/>
      <c r="T825" s="827"/>
      <c r="U825" s="827"/>
      <c r="V825" s="827"/>
      <c r="W825" s="827"/>
      <c r="X825" s="827"/>
      <c r="Y825" s="827"/>
      <c r="Z825" s="827"/>
      <c r="AA825" s="827"/>
      <c r="AB825" s="827"/>
      <c r="AC825" s="852"/>
      <c r="AD825" s="827"/>
      <c r="AE825" s="827"/>
      <c r="AF825" s="827"/>
      <c r="AG825" s="827"/>
      <c r="AH825" s="827"/>
      <c r="AI825" s="827"/>
      <c r="AJ825" s="827"/>
      <c r="EB825" s="846"/>
    </row>
    <row r="826" spans="5:132" ht="18" x14ac:dyDescent="0.25">
      <c r="E826" s="826"/>
      <c r="H826" s="849">
        <v>316</v>
      </c>
      <c r="I826" s="850"/>
      <c r="J826" s="827"/>
      <c r="K826" s="827"/>
      <c r="L826" s="827"/>
      <c r="M826" s="851"/>
      <c r="N826" s="827"/>
      <c r="O826" s="827"/>
      <c r="P826" s="827"/>
      <c r="Q826" s="827"/>
      <c r="R826" s="827"/>
      <c r="S826" s="827"/>
      <c r="T826" s="827"/>
      <c r="U826" s="827"/>
      <c r="V826" s="827"/>
      <c r="W826" s="827"/>
      <c r="X826" s="827"/>
      <c r="Y826" s="827"/>
      <c r="Z826" s="827"/>
      <c r="AA826" s="827"/>
      <c r="AB826" s="827"/>
      <c r="AC826" s="852"/>
      <c r="AD826" s="827"/>
      <c r="AE826" s="827"/>
      <c r="AF826" s="827"/>
      <c r="AG826" s="827"/>
      <c r="AH826" s="827"/>
      <c r="AI826" s="827"/>
      <c r="AJ826" s="827"/>
      <c r="EB826" s="846"/>
    </row>
    <row r="827" spans="5:132" ht="18" x14ac:dyDescent="0.25">
      <c r="E827" s="826"/>
      <c r="H827" s="849">
        <v>317</v>
      </c>
      <c r="I827" s="850"/>
      <c r="J827" s="827"/>
      <c r="K827" s="827"/>
      <c r="L827" s="827"/>
      <c r="M827" s="851"/>
      <c r="N827" s="827"/>
      <c r="O827" s="827"/>
      <c r="P827" s="827"/>
      <c r="Q827" s="827"/>
      <c r="R827" s="827"/>
      <c r="S827" s="827"/>
      <c r="T827" s="827"/>
      <c r="U827" s="827"/>
      <c r="V827" s="827"/>
      <c r="W827" s="827"/>
      <c r="X827" s="827"/>
      <c r="Y827" s="827"/>
      <c r="Z827" s="827"/>
      <c r="AA827" s="827"/>
      <c r="AB827" s="827"/>
      <c r="AC827" s="852"/>
      <c r="AD827" s="827"/>
      <c r="AE827" s="827"/>
      <c r="AF827" s="827"/>
      <c r="AG827" s="827"/>
      <c r="AH827" s="827"/>
      <c r="AI827" s="827"/>
      <c r="AJ827" s="827"/>
      <c r="EB827" s="846"/>
    </row>
    <row r="828" spans="5:132" ht="18" x14ac:dyDescent="0.25">
      <c r="E828" s="826"/>
      <c r="H828" s="849">
        <v>318</v>
      </c>
      <c r="I828" s="850"/>
      <c r="J828" s="827"/>
      <c r="K828" s="827"/>
      <c r="L828" s="827"/>
      <c r="M828" s="851"/>
      <c r="N828" s="827"/>
      <c r="O828" s="827"/>
      <c r="P828" s="827"/>
      <c r="Q828" s="827"/>
      <c r="R828" s="827"/>
      <c r="S828" s="827"/>
      <c r="T828" s="827"/>
      <c r="U828" s="827"/>
      <c r="V828" s="827"/>
      <c r="W828" s="827"/>
      <c r="X828" s="827"/>
      <c r="Y828" s="827"/>
      <c r="Z828" s="827"/>
      <c r="AA828" s="827"/>
      <c r="AB828" s="827"/>
      <c r="AC828" s="852"/>
      <c r="AD828" s="827"/>
      <c r="AE828" s="827"/>
      <c r="AF828" s="827"/>
      <c r="AG828" s="827"/>
      <c r="AH828" s="827"/>
      <c r="AI828" s="827"/>
      <c r="AJ828" s="827"/>
      <c r="EB828" s="846"/>
    </row>
    <row r="829" spans="5:132" ht="18" x14ac:dyDescent="0.25">
      <c r="E829" s="826"/>
      <c r="H829" s="849">
        <v>319</v>
      </c>
      <c r="I829" s="850"/>
      <c r="J829" s="827"/>
      <c r="K829" s="827"/>
      <c r="L829" s="827"/>
      <c r="M829" s="851"/>
      <c r="N829" s="827"/>
      <c r="O829" s="827"/>
      <c r="P829" s="827"/>
      <c r="Q829" s="827"/>
      <c r="R829" s="827"/>
      <c r="S829" s="827"/>
      <c r="T829" s="827"/>
      <c r="U829" s="827"/>
      <c r="V829" s="827"/>
      <c r="W829" s="827"/>
      <c r="X829" s="827"/>
      <c r="Y829" s="827"/>
      <c r="Z829" s="827"/>
      <c r="AA829" s="827"/>
      <c r="AB829" s="827"/>
      <c r="AC829" s="852"/>
      <c r="AD829" s="827"/>
      <c r="AE829" s="827"/>
      <c r="AF829" s="827"/>
      <c r="AG829" s="827"/>
      <c r="AH829" s="827"/>
      <c r="AI829" s="827"/>
      <c r="AJ829" s="827"/>
      <c r="EB829" s="846"/>
    </row>
    <row r="830" spans="5:132" ht="18" x14ac:dyDescent="0.25">
      <c r="E830" s="826"/>
      <c r="H830" s="849">
        <v>320</v>
      </c>
      <c r="I830" s="850"/>
      <c r="J830" s="827"/>
      <c r="K830" s="827"/>
      <c r="L830" s="827"/>
      <c r="M830" s="851"/>
      <c r="N830" s="827"/>
      <c r="O830" s="827"/>
      <c r="P830" s="827"/>
      <c r="Q830" s="827"/>
      <c r="R830" s="827"/>
      <c r="S830" s="827"/>
      <c r="T830" s="827"/>
      <c r="U830" s="827"/>
      <c r="V830" s="827"/>
      <c r="W830" s="827"/>
      <c r="X830" s="827"/>
      <c r="Y830" s="827"/>
      <c r="Z830" s="827"/>
      <c r="AA830" s="827"/>
      <c r="AB830" s="827"/>
      <c r="AC830" s="852"/>
      <c r="AD830" s="827"/>
      <c r="AE830" s="827"/>
      <c r="AF830" s="827"/>
      <c r="AG830" s="827"/>
      <c r="AH830" s="827"/>
      <c r="AI830" s="827"/>
      <c r="AJ830" s="827"/>
      <c r="EB830" s="846"/>
    </row>
    <row r="831" spans="5:132" ht="18" x14ac:dyDescent="0.25">
      <c r="E831" s="826"/>
      <c r="H831" s="849">
        <v>321</v>
      </c>
      <c r="I831" s="850"/>
      <c r="J831" s="827"/>
      <c r="K831" s="827"/>
      <c r="L831" s="827"/>
      <c r="M831" s="851"/>
      <c r="N831" s="827"/>
      <c r="O831" s="827"/>
      <c r="P831" s="827"/>
      <c r="Q831" s="827"/>
      <c r="R831" s="827"/>
      <c r="S831" s="827"/>
      <c r="T831" s="827"/>
      <c r="U831" s="827"/>
      <c r="V831" s="827"/>
      <c r="W831" s="827"/>
      <c r="X831" s="827"/>
      <c r="Y831" s="827"/>
      <c r="Z831" s="827"/>
      <c r="AA831" s="827"/>
      <c r="AB831" s="827"/>
      <c r="AC831" s="852"/>
      <c r="AD831" s="827"/>
      <c r="AE831" s="827"/>
      <c r="AF831" s="827"/>
      <c r="AG831" s="827"/>
      <c r="AH831" s="827"/>
      <c r="AI831" s="827"/>
      <c r="AJ831" s="827"/>
      <c r="EB831" s="846"/>
    </row>
    <row r="832" spans="5:132" ht="18" x14ac:dyDescent="0.25">
      <c r="E832" s="826"/>
      <c r="H832" s="849">
        <v>322</v>
      </c>
      <c r="I832" s="850"/>
      <c r="J832" s="827"/>
      <c r="K832" s="827"/>
      <c r="L832" s="827"/>
      <c r="M832" s="851"/>
      <c r="N832" s="827"/>
      <c r="O832" s="827"/>
      <c r="P832" s="827"/>
      <c r="Q832" s="827"/>
      <c r="R832" s="827"/>
      <c r="S832" s="827"/>
      <c r="T832" s="827"/>
      <c r="U832" s="827"/>
      <c r="V832" s="827"/>
      <c r="W832" s="827"/>
      <c r="X832" s="827"/>
      <c r="Y832" s="827"/>
      <c r="Z832" s="827"/>
      <c r="AA832" s="827"/>
      <c r="AB832" s="827"/>
      <c r="AC832" s="852"/>
      <c r="AD832" s="827"/>
      <c r="AE832" s="827"/>
      <c r="AF832" s="827"/>
      <c r="AG832" s="827"/>
      <c r="AH832" s="827"/>
      <c r="AI832" s="827"/>
      <c r="AJ832" s="827"/>
      <c r="EB832" s="846"/>
    </row>
    <row r="833" spans="5:132" ht="18" x14ac:dyDescent="0.25">
      <c r="E833" s="826"/>
      <c r="H833" s="849">
        <v>323</v>
      </c>
      <c r="I833" s="850"/>
      <c r="J833" s="827"/>
      <c r="K833" s="827"/>
      <c r="L833" s="827"/>
      <c r="M833" s="851"/>
      <c r="N833" s="827"/>
      <c r="O833" s="827"/>
      <c r="P833" s="827"/>
      <c r="Q833" s="827"/>
      <c r="R833" s="827"/>
      <c r="S833" s="827"/>
      <c r="T833" s="827"/>
      <c r="U833" s="827"/>
      <c r="V833" s="827"/>
      <c r="W833" s="827"/>
      <c r="X833" s="827"/>
      <c r="Y833" s="827"/>
      <c r="Z833" s="827"/>
      <c r="AA833" s="827"/>
      <c r="AB833" s="827"/>
      <c r="AC833" s="852"/>
      <c r="AD833" s="827"/>
      <c r="AE833" s="827"/>
      <c r="AF833" s="827"/>
      <c r="AG833" s="827"/>
      <c r="AH833" s="827"/>
      <c r="AI833" s="827"/>
      <c r="AJ833" s="827"/>
      <c r="EB833" s="846"/>
    </row>
    <row r="834" spans="5:132" ht="18" x14ac:dyDescent="0.25">
      <c r="E834" s="826"/>
      <c r="H834" s="849">
        <v>324</v>
      </c>
      <c r="I834" s="850"/>
      <c r="J834" s="827"/>
      <c r="K834" s="827"/>
      <c r="L834" s="827"/>
      <c r="M834" s="851"/>
      <c r="N834" s="827"/>
      <c r="O834" s="827"/>
      <c r="P834" s="827"/>
      <c r="Q834" s="827"/>
      <c r="R834" s="827"/>
      <c r="S834" s="827"/>
      <c r="T834" s="827"/>
      <c r="U834" s="827"/>
      <c r="V834" s="827"/>
      <c r="W834" s="827"/>
      <c r="X834" s="827"/>
      <c r="Y834" s="827"/>
      <c r="Z834" s="827"/>
      <c r="AA834" s="827"/>
      <c r="AB834" s="827"/>
      <c r="AC834" s="852"/>
      <c r="AD834" s="827"/>
      <c r="AE834" s="827"/>
      <c r="AF834" s="827"/>
      <c r="AG834" s="827"/>
      <c r="AH834" s="827"/>
      <c r="AI834" s="827"/>
      <c r="AJ834" s="827"/>
      <c r="EB834" s="846"/>
    </row>
    <row r="835" spans="5:132" ht="18" x14ac:dyDescent="0.25">
      <c r="E835" s="826"/>
      <c r="H835" s="849">
        <v>325</v>
      </c>
      <c r="I835" s="850"/>
      <c r="J835" s="827"/>
      <c r="K835" s="827"/>
      <c r="L835" s="827"/>
      <c r="M835" s="851"/>
      <c r="N835" s="827"/>
      <c r="O835" s="827"/>
      <c r="P835" s="827"/>
      <c r="Q835" s="827"/>
      <c r="R835" s="827"/>
      <c r="S835" s="827"/>
      <c r="T835" s="827"/>
      <c r="U835" s="827"/>
      <c r="V835" s="827"/>
      <c r="W835" s="827"/>
      <c r="X835" s="827"/>
      <c r="Y835" s="827"/>
      <c r="Z835" s="827"/>
      <c r="AA835" s="827"/>
      <c r="AB835" s="827"/>
      <c r="AC835" s="852"/>
      <c r="AD835" s="827"/>
      <c r="AE835" s="827"/>
      <c r="AF835" s="827"/>
      <c r="AG835" s="827"/>
      <c r="AH835" s="827"/>
      <c r="AI835" s="827"/>
      <c r="AJ835" s="827"/>
      <c r="EB835" s="846"/>
    </row>
    <row r="836" spans="5:132" ht="18" x14ac:dyDescent="0.25">
      <c r="E836" s="826"/>
      <c r="H836" s="849">
        <v>326</v>
      </c>
      <c r="I836" s="850"/>
      <c r="J836" s="827"/>
      <c r="K836" s="827"/>
      <c r="L836" s="827"/>
      <c r="M836" s="851"/>
      <c r="N836" s="827"/>
      <c r="O836" s="827"/>
      <c r="P836" s="827"/>
      <c r="Q836" s="827"/>
      <c r="R836" s="827"/>
      <c r="S836" s="827"/>
      <c r="T836" s="827"/>
      <c r="U836" s="827"/>
      <c r="V836" s="827"/>
      <c r="W836" s="827"/>
      <c r="X836" s="827"/>
      <c r="Y836" s="827"/>
      <c r="Z836" s="827"/>
      <c r="AA836" s="827"/>
      <c r="AB836" s="827"/>
      <c r="AC836" s="852"/>
      <c r="AD836" s="827"/>
      <c r="AE836" s="827"/>
      <c r="AF836" s="827"/>
      <c r="AG836" s="827"/>
      <c r="AH836" s="827"/>
      <c r="AI836" s="827"/>
      <c r="AJ836" s="827"/>
      <c r="EB836" s="846"/>
    </row>
    <row r="837" spans="5:132" ht="18" x14ac:dyDescent="0.25">
      <c r="E837" s="826"/>
      <c r="H837" s="849">
        <v>328</v>
      </c>
      <c r="I837" s="850"/>
      <c r="J837" s="827"/>
      <c r="K837" s="827"/>
      <c r="L837" s="827"/>
      <c r="M837" s="851"/>
      <c r="N837" s="827"/>
      <c r="O837" s="827"/>
      <c r="P837" s="827"/>
      <c r="Q837" s="827"/>
      <c r="R837" s="827"/>
      <c r="S837" s="827"/>
      <c r="T837" s="827"/>
      <c r="U837" s="827"/>
      <c r="V837" s="827"/>
      <c r="W837" s="827"/>
      <c r="X837" s="827"/>
      <c r="Y837" s="827"/>
      <c r="Z837" s="827"/>
      <c r="AA837" s="827"/>
      <c r="AB837" s="827"/>
      <c r="AC837" s="852"/>
      <c r="AD837" s="827"/>
      <c r="AE837" s="827"/>
      <c r="AF837" s="827"/>
      <c r="AG837" s="827"/>
      <c r="AH837" s="827"/>
      <c r="AI837" s="827"/>
      <c r="AJ837" s="827"/>
      <c r="EB837" s="846"/>
    </row>
    <row r="838" spans="5:132" ht="18" x14ac:dyDescent="0.25">
      <c r="E838" s="826"/>
      <c r="H838" s="849">
        <v>329</v>
      </c>
      <c r="I838" s="850"/>
      <c r="J838" s="827"/>
      <c r="K838" s="827"/>
      <c r="L838" s="827"/>
      <c r="M838" s="851"/>
      <c r="N838" s="827"/>
      <c r="O838" s="827"/>
      <c r="P838" s="827"/>
      <c r="Q838" s="827"/>
      <c r="R838" s="827"/>
      <c r="S838" s="827"/>
      <c r="T838" s="827"/>
      <c r="U838" s="827"/>
      <c r="V838" s="827"/>
      <c r="W838" s="827"/>
      <c r="X838" s="827"/>
      <c r="Y838" s="827"/>
      <c r="Z838" s="827"/>
      <c r="AA838" s="827"/>
      <c r="AB838" s="827"/>
      <c r="AC838" s="852"/>
      <c r="AD838" s="827"/>
      <c r="AE838" s="827"/>
      <c r="AF838" s="827"/>
      <c r="AG838" s="827"/>
      <c r="AH838" s="827"/>
      <c r="AI838" s="827"/>
      <c r="AJ838" s="827"/>
      <c r="EB838" s="846"/>
    </row>
    <row r="839" spans="5:132" ht="18" x14ac:dyDescent="0.25">
      <c r="E839" s="826"/>
      <c r="H839" s="849">
        <v>330</v>
      </c>
      <c r="I839" s="850"/>
      <c r="J839" s="827"/>
      <c r="K839" s="827"/>
      <c r="L839" s="827"/>
      <c r="M839" s="851"/>
      <c r="N839" s="827"/>
      <c r="O839" s="827"/>
      <c r="P839" s="827"/>
      <c r="Q839" s="827"/>
      <c r="R839" s="827"/>
      <c r="S839" s="827"/>
      <c r="T839" s="827"/>
      <c r="U839" s="827"/>
      <c r="V839" s="827"/>
      <c r="W839" s="827"/>
      <c r="X839" s="827"/>
      <c r="Y839" s="827"/>
      <c r="Z839" s="827"/>
      <c r="AA839" s="827"/>
      <c r="AB839" s="827"/>
      <c r="AC839" s="852"/>
      <c r="AD839" s="827"/>
      <c r="AE839" s="827"/>
      <c r="AF839" s="827"/>
      <c r="AG839" s="827"/>
      <c r="AH839" s="827"/>
      <c r="AI839" s="827"/>
      <c r="AJ839" s="827"/>
      <c r="EB839" s="846"/>
    </row>
    <row r="840" spans="5:132" ht="18" x14ac:dyDescent="0.25">
      <c r="E840" s="826"/>
      <c r="H840" s="849">
        <v>331</v>
      </c>
      <c r="I840" s="850"/>
      <c r="J840" s="827"/>
      <c r="K840" s="827"/>
      <c r="L840" s="827"/>
      <c r="M840" s="851"/>
      <c r="N840" s="827"/>
      <c r="O840" s="827"/>
      <c r="P840" s="827"/>
      <c r="Q840" s="827"/>
      <c r="R840" s="827"/>
      <c r="S840" s="827"/>
      <c r="T840" s="827"/>
      <c r="U840" s="827"/>
      <c r="V840" s="827"/>
      <c r="W840" s="827"/>
      <c r="X840" s="827"/>
      <c r="Y840" s="827"/>
      <c r="Z840" s="827"/>
      <c r="AA840" s="827"/>
      <c r="AB840" s="827"/>
      <c r="AC840" s="852"/>
      <c r="AD840" s="827"/>
      <c r="AE840" s="827"/>
      <c r="AF840" s="827"/>
      <c r="AG840" s="827"/>
      <c r="AH840" s="827"/>
      <c r="AI840" s="827"/>
      <c r="AJ840" s="827"/>
      <c r="EB840" s="846"/>
    </row>
    <row r="841" spans="5:132" ht="18" x14ac:dyDescent="0.25">
      <c r="E841" s="826"/>
      <c r="H841" s="849">
        <v>332</v>
      </c>
      <c r="I841" s="850"/>
      <c r="J841" s="827"/>
      <c r="K841" s="827"/>
      <c r="L841" s="827"/>
      <c r="M841" s="851"/>
      <c r="N841" s="827"/>
      <c r="O841" s="827"/>
      <c r="P841" s="827"/>
      <c r="Q841" s="827"/>
      <c r="R841" s="827"/>
      <c r="S841" s="827"/>
      <c r="T841" s="827"/>
      <c r="U841" s="827"/>
      <c r="V841" s="827"/>
      <c r="W841" s="827"/>
      <c r="X841" s="827"/>
      <c r="Y841" s="827"/>
      <c r="Z841" s="827"/>
      <c r="AA841" s="827"/>
      <c r="AB841" s="827"/>
      <c r="AC841" s="852"/>
      <c r="AD841" s="827"/>
      <c r="AE841" s="827"/>
      <c r="AF841" s="827"/>
      <c r="AG841" s="827"/>
      <c r="AH841" s="827"/>
      <c r="AI841" s="827"/>
      <c r="AJ841" s="827"/>
      <c r="EB841" s="846"/>
    </row>
    <row r="842" spans="5:132" ht="18" x14ac:dyDescent="0.25">
      <c r="E842" s="826"/>
      <c r="H842" s="849">
        <v>336</v>
      </c>
      <c r="I842" s="850"/>
      <c r="J842" s="827"/>
      <c r="K842" s="827"/>
      <c r="L842" s="827"/>
      <c r="M842" s="851"/>
      <c r="N842" s="827"/>
      <c r="O842" s="827"/>
      <c r="P842" s="827"/>
      <c r="Q842" s="827"/>
      <c r="R842" s="827"/>
      <c r="S842" s="827"/>
      <c r="T842" s="827"/>
      <c r="U842" s="827"/>
      <c r="V842" s="827"/>
      <c r="W842" s="827"/>
      <c r="X842" s="827"/>
      <c r="Y842" s="827"/>
      <c r="Z842" s="827"/>
      <c r="AA842" s="827"/>
      <c r="AB842" s="827"/>
      <c r="AC842" s="852"/>
      <c r="AD842" s="827"/>
      <c r="AE842" s="827"/>
      <c r="AF842" s="827"/>
      <c r="AG842" s="827"/>
      <c r="AH842" s="827"/>
      <c r="AI842" s="827"/>
      <c r="AJ842" s="827"/>
      <c r="EB842" s="846"/>
    </row>
    <row r="843" spans="5:132" ht="18" x14ac:dyDescent="0.25">
      <c r="E843" s="826"/>
      <c r="H843" s="849">
        <v>337</v>
      </c>
      <c r="I843" s="850"/>
      <c r="J843" s="827"/>
      <c r="K843" s="827"/>
      <c r="L843" s="827"/>
      <c r="M843" s="851"/>
      <c r="N843" s="827"/>
      <c r="O843" s="827"/>
      <c r="P843" s="827"/>
      <c r="Q843" s="827"/>
      <c r="R843" s="827"/>
      <c r="S843" s="827"/>
      <c r="T843" s="827"/>
      <c r="U843" s="827"/>
      <c r="V843" s="827"/>
      <c r="W843" s="827"/>
      <c r="X843" s="827"/>
      <c r="Y843" s="827"/>
      <c r="Z843" s="827"/>
      <c r="AA843" s="827"/>
      <c r="AB843" s="827"/>
      <c r="AC843" s="852"/>
      <c r="AD843" s="827"/>
      <c r="AE843" s="827"/>
      <c r="AF843" s="827"/>
      <c r="AG843" s="827"/>
      <c r="AH843" s="827"/>
      <c r="AI843" s="827"/>
      <c r="AJ843" s="827"/>
      <c r="EB843" s="846"/>
    </row>
    <row r="844" spans="5:132" ht="18" x14ac:dyDescent="0.25">
      <c r="E844" s="826"/>
      <c r="H844" s="849">
        <v>338</v>
      </c>
      <c r="I844" s="850"/>
      <c r="J844" s="827"/>
      <c r="K844" s="827"/>
      <c r="L844" s="827"/>
      <c r="M844" s="851"/>
      <c r="N844" s="827"/>
      <c r="O844" s="827"/>
      <c r="P844" s="827"/>
      <c r="Q844" s="827"/>
      <c r="R844" s="827"/>
      <c r="S844" s="827"/>
      <c r="T844" s="827"/>
      <c r="U844" s="827"/>
      <c r="V844" s="827"/>
      <c r="W844" s="827"/>
      <c r="X844" s="827"/>
      <c r="Y844" s="827"/>
      <c r="Z844" s="827"/>
      <c r="AA844" s="827"/>
      <c r="AB844" s="827"/>
      <c r="AC844" s="852"/>
      <c r="AD844" s="827"/>
      <c r="AE844" s="827"/>
      <c r="AF844" s="827"/>
      <c r="AG844" s="827"/>
      <c r="AH844" s="827"/>
      <c r="AI844" s="827"/>
      <c r="AJ844" s="827"/>
      <c r="EB844" s="846"/>
    </row>
    <row r="845" spans="5:132" ht="18" x14ac:dyDescent="0.25">
      <c r="E845" s="826"/>
      <c r="H845" s="849">
        <v>339</v>
      </c>
      <c r="I845" s="850"/>
      <c r="J845" s="827"/>
      <c r="K845" s="827"/>
      <c r="L845" s="827"/>
      <c r="M845" s="851"/>
      <c r="N845" s="827"/>
      <c r="O845" s="827"/>
      <c r="P845" s="827"/>
      <c r="Q845" s="827"/>
      <c r="R845" s="827"/>
      <c r="S845" s="827"/>
      <c r="T845" s="827"/>
      <c r="U845" s="827"/>
      <c r="V845" s="827"/>
      <c r="W845" s="827"/>
      <c r="X845" s="827"/>
      <c r="Y845" s="827"/>
      <c r="Z845" s="827"/>
      <c r="AA845" s="827"/>
      <c r="AB845" s="827"/>
      <c r="AC845" s="852"/>
      <c r="AD845" s="827"/>
      <c r="AE845" s="827"/>
      <c r="AF845" s="827"/>
      <c r="AG845" s="827"/>
      <c r="AH845" s="827"/>
      <c r="AI845" s="827"/>
      <c r="AJ845" s="827"/>
      <c r="EB845" s="846"/>
    </row>
    <row r="846" spans="5:132" ht="18" x14ac:dyDescent="0.25">
      <c r="E846" s="826"/>
      <c r="H846" s="849">
        <v>340</v>
      </c>
      <c r="I846" s="850"/>
      <c r="J846" s="827"/>
      <c r="K846" s="827"/>
      <c r="L846" s="827"/>
      <c r="M846" s="851"/>
      <c r="N846" s="827"/>
      <c r="O846" s="827"/>
      <c r="P846" s="827"/>
      <c r="Q846" s="827"/>
      <c r="R846" s="827"/>
      <c r="S846" s="827"/>
      <c r="T846" s="827"/>
      <c r="U846" s="827"/>
      <c r="V846" s="827"/>
      <c r="W846" s="827"/>
      <c r="X846" s="827"/>
      <c r="Y846" s="827"/>
      <c r="Z846" s="827"/>
      <c r="AA846" s="827"/>
      <c r="AB846" s="827"/>
      <c r="AC846" s="852"/>
      <c r="AD846" s="827"/>
      <c r="AE846" s="827"/>
      <c r="AF846" s="827"/>
      <c r="AG846" s="827"/>
      <c r="AH846" s="827"/>
      <c r="AI846" s="827"/>
      <c r="AJ846" s="827"/>
      <c r="EB846" s="846"/>
    </row>
    <row r="847" spans="5:132" ht="18" x14ac:dyDescent="0.25">
      <c r="E847" s="826"/>
      <c r="H847" s="849">
        <v>341</v>
      </c>
      <c r="I847" s="850"/>
      <c r="J847" s="827"/>
      <c r="K847" s="827"/>
      <c r="L847" s="827"/>
      <c r="M847" s="851"/>
      <c r="N847" s="827"/>
      <c r="O847" s="827"/>
      <c r="P847" s="827"/>
      <c r="Q847" s="827"/>
      <c r="R847" s="827"/>
      <c r="S847" s="827"/>
      <c r="T847" s="827"/>
      <c r="U847" s="827"/>
      <c r="V847" s="827"/>
      <c r="W847" s="827"/>
      <c r="X847" s="827"/>
      <c r="Y847" s="827"/>
      <c r="Z847" s="827"/>
      <c r="AA847" s="827"/>
      <c r="AB847" s="827"/>
      <c r="AC847" s="852"/>
      <c r="AD847" s="827"/>
      <c r="AE847" s="827"/>
      <c r="AF847" s="827"/>
      <c r="AG847" s="827"/>
      <c r="AH847" s="827"/>
      <c r="AI847" s="827"/>
      <c r="AJ847" s="827"/>
      <c r="EB847" s="846"/>
    </row>
    <row r="848" spans="5:132" ht="18" x14ac:dyDescent="0.25">
      <c r="E848" s="826"/>
      <c r="H848" s="849">
        <v>342</v>
      </c>
      <c r="I848" s="850"/>
      <c r="J848" s="827"/>
      <c r="K848" s="827"/>
      <c r="L848" s="827"/>
      <c r="M848" s="851"/>
      <c r="N848" s="827"/>
      <c r="O848" s="827"/>
      <c r="P848" s="827"/>
      <c r="Q848" s="827"/>
      <c r="R848" s="827"/>
      <c r="S848" s="827"/>
      <c r="T848" s="827"/>
      <c r="U848" s="827"/>
      <c r="V848" s="827"/>
      <c r="W848" s="827"/>
      <c r="X848" s="827"/>
      <c r="Y848" s="827"/>
      <c r="Z848" s="827"/>
      <c r="AA848" s="827"/>
      <c r="AB848" s="827"/>
      <c r="AC848" s="852"/>
      <c r="AD848" s="827"/>
      <c r="AE848" s="827"/>
      <c r="AF848" s="827"/>
      <c r="AG848" s="827"/>
      <c r="AH848" s="827"/>
      <c r="AI848" s="827"/>
      <c r="AJ848" s="827"/>
      <c r="EB848" s="846"/>
    </row>
    <row r="849" spans="5:132" ht="18" x14ac:dyDescent="0.25">
      <c r="E849" s="826"/>
      <c r="H849" s="849">
        <v>343</v>
      </c>
      <c r="I849" s="850"/>
      <c r="J849" s="827"/>
      <c r="K849" s="827"/>
      <c r="L849" s="827"/>
      <c r="M849" s="851"/>
      <c r="N849" s="827"/>
      <c r="O849" s="827"/>
      <c r="P849" s="827"/>
      <c r="Q849" s="827"/>
      <c r="R849" s="827"/>
      <c r="S849" s="827"/>
      <c r="T849" s="827"/>
      <c r="U849" s="827"/>
      <c r="V849" s="827"/>
      <c r="W849" s="827"/>
      <c r="X849" s="827"/>
      <c r="Y849" s="827"/>
      <c r="Z849" s="827"/>
      <c r="AA849" s="827"/>
      <c r="AB849" s="827"/>
      <c r="AC849" s="852"/>
      <c r="AD849" s="827"/>
      <c r="AE849" s="827"/>
      <c r="AF849" s="827"/>
      <c r="AG849" s="827"/>
      <c r="AH849" s="827"/>
      <c r="AI849" s="827"/>
      <c r="AJ849" s="827"/>
      <c r="EB849" s="846"/>
    </row>
    <row r="850" spans="5:132" ht="18" x14ac:dyDescent="0.25">
      <c r="E850" s="826"/>
      <c r="H850" s="849">
        <v>344</v>
      </c>
      <c r="I850" s="850"/>
      <c r="J850" s="827"/>
      <c r="K850" s="827"/>
      <c r="L850" s="827"/>
      <c r="M850" s="851"/>
      <c r="N850" s="827"/>
      <c r="O850" s="827"/>
      <c r="P850" s="827"/>
      <c r="Q850" s="827"/>
      <c r="R850" s="827"/>
      <c r="S850" s="827"/>
      <c r="T850" s="827"/>
      <c r="U850" s="827"/>
      <c r="V850" s="827"/>
      <c r="W850" s="827"/>
      <c r="X850" s="827"/>
      <c r="Y850" s="827"/>
      <c r="Z850" s="827"/>
      <c r="AA850" s="827"/>
      <c r="AB850" s="827"/>
      <c r="AC850" s="852"/>
      <c r="AD850" s="827"/>
      <c r="AE850" s="827"/>
      <c r="AF850" s="827"/>
      <c r="AG850" s="827"/>
      <c r="AH850" s="827"/>
      <c r="AI850" s="827"/>
      <c r="AJ850" s="827"/>
      <c r="EB850" s="846"/>
    </row>
    <row r="851" spans="5:132" ht="18" x14ac:dyDescent="0.25">
      <c r="E851" s="826"/>
      <c r="H851" s="849">
        <v>345</v>
      </c>
      <c r="I851" s="850"/>
      <c r="J851" s="827"/>
      <c r="K851" s="827"/>
      <c r="L851" s="827"/>
      <c r="M851" s="851"/>
      <c r="N851" s="827"/>
      <c r="O851" s="827"/>
      <c r="P851" s="827"/>
      <c r="Q851" s="827"/>
      <c r="R851" s="827"/>
      <c r="S851" s="827"/>
      <c r="T851" s="827"/>
      <c r="U851" s="827"/>
      <c r="V851" s="827"/>
      <c r="W851" s="827"/>
      <c r="X851" s="827"/>
      <c r="Y851" s="827"/>
      <c r="Z851" s="827"/>
      <c r="AA851" s="827"/>
      <c r="AB851" s="827"/>
      <c r="AC851" s="852"/>
      <c r="AD851" s="827"/>
      <c r="AE851" s="827"/>
      <c r="AF851" s="827"/>
      <c r="AG851" s="827"/>
      <c r="AH851" s="827"/>
      <c r="AI851" s="827"/>
      <c r="AJ851" s="827"/>
      <c r="EB851" s="846"/>
    </row>
    <row r="852" spans="5:132" ht="18" x14ac:dyDescent="0.25">
      <c r="E852" s="826"/>
      <c r="H852" s="849">
        <v>346</v>
      </c>
      <c r="I852" s="850"/>
      <c r="J852" s="827"/>
      <c r="K852" s="827"/>
      <c r="L852" s="827"/>
      <c r="M852" s="851"/>
      <c r="N852" s="827"/>
      <c r="O852" s="827"/>
      <c r="P852" s="827"/>
      <c r="Q852" s="827"/>
      <c r="R852" s="827"/>
      <c r="S852" s="827"/>
      <c r="T852" s="827"/>
      <c r="U852" s="827"/>
      <c r="V852" s="827"/>
      <c r="W852" s="827"/>
      <c r="X852" s="827"/>
      <c r="Y852" s="827"/>
      <c r="Z852" s="827"/>
      <c r="AA852" s="827"/>
      <c r="AB852" s="827"/>
      <c r="AC852" s="852"/>
      <c r="AD852" s="827"/>
      <c r="AE852" s="827"/>
      <c r="AF852" s="827"/>
      <c r="AG852" s="827"/>
      <c r="AH852" s="827"/>
      <c r="AI852" s="827"/>
      <c r="AJ852" s="827"/>
      <c r="EB852" s="846"/>
    </row>
    <row r="853" spans="5:132" ht="18" x14ac:dyDescent="0.25">
      <c r="E853" s="826"/>
      <c r="H853" s="849">
        <v>349</v>
      </c>
      <c r="I853" s="850"/>
      <c r="J853" s="827"/>
      <c r="K853" s="827"/>
      <c r="L853" s="827"/>
      <c r="M853" s="851"/>
      <c r="N853" s="827"/>
      <c r="O853" s="827"/>
      <c r="P853" s="827"/>
      <c r="Q853" s="827"/>
      <c r="R853" s="827"/>
      <c r="S853" s="827"/>
      <c r="T853" s="827"/>
      <c r="U853" s="827"/>
      <c r="V853" s="827"/>
      <c r="W853" s="827"/>
      <c r="X853" s="827"/>
      <c r="Y853" s="827"/>
      <c r="Z853" s="827"/>
      <c r="AA853" s="827"/>
      <c r="AB853" s="827"/>
      <c r="AC853" s="852"/>
      <c r="AD853" s="827"/>
      <c r="AE853" s="827"/>
      <c r="AF853" s="827"/>
      <c r="AG853" s="827"/>
      <c r="AH853" s="827"/>
      <c r="AI853" s="827"/>
      <c r="AJ853" s="827"/>
      <c r="EB853" s="846"/>
    </row>
    <row r="854" spans="5:132" ht="18" x14ac:dyDescent="0.25">
      <c r="E854" s="826"/>
      <c r="H854" s="849">
        <v>350</v>
      </c>
      <c r="I854" s="850"/>
      <c r="J854" s="827"/>
      <c r="K854" s="827"/>
      <c r="L854" s="827"/>
      <c r="M854" s="851"/>
      <c r="N854" s="827"/>
      <c r="O854" s="827"/>
      <c r="P854" s="827"/>
      <c r="Q854" s="827"/>
      <c r="R854" s="827"/>
      <c r="S854" s="827"/>
      <c r="T854" s="827"/>
      <c r="U854" s="827"/>
      <c r="V854" s="827"/>
      <c r="W854" s="827"/>
      <c r="X854" s="827"/>
      <c r="Y854" s="827"/>
      <c r="Z854" s="827"/>
      <c r="AA854" s="827"/>
      <c r="AB854" s="827"/>
      <c r="AC854" s="852"/>
      <c r="AD854" s="827"/>
      <c r="AE854" s="827"/>
      <c r="AF854" s="827"/>
      <c r="AG854" s="827"/>
      <c r="AH854" s="827"/>
      <c r="AI854" s="827"/>
      <c r="AJ854" s="827"/>
      <c r="EB854" s="846"/>
    </row>
    <row r="855" spans="5:132" ht="18" x14ac:dyDescent="0.25">
      <c r="E855" s="826"/>
      <c r="H855" s="849">
        <v>351</v>
      </c>
      <c r="I855" s="850"/>
      <c r="J855" s="827"/>
      <c r="K855" s="827"/>
      <c r="L855" s="827"/>
      <c r="M855" s="851"/>
      <c r="N855" s="827"/>
      <c r="O855" s="827"/>
      <c r="P855" s="827"/>
      <c r="Q855" s="827"/>
      <c r="R855" s="827"/>
      <c r="S855" s="827"/>
      <c r="T855" s="827"/>
      <c r="U855" s="827"/>
      <c r="V855" s="827"/>
      <c r="W855" s="827"/>
      <c r="X855" s="827"/>
      <c r="Y855" s="827"/>
      <c r="Z855" s="827"/>
      <c r="AA855" s="827"/>
      <c r="AB855" s="827"/>
      <c r="AC855" s="852"/>
      <c r="AD855" s="827"/>
      <c r="AE855" s="827"/>
      <c r="AF855" s="827"/>
      <c r="AG855" s="827"/>
      <c r="AH855" s="827"/>
      <c r="AI855" s="827"/>
      <c r="AJ855" s="827"/>
      <c r="EB855" s="846"/>
    </row>
    <row r="856" spans="5:132" ht="18" x14ac:dyDescent="0.25">
      <c r="E856" s="826"/>
      <c r="H856" s="849">
        <v>352</v>
      </c>
      <c r="I856" s="850"/>
      <c r="J856" s="827"/>
      <c r="K856" s="827"/>
      <c r="L856" s="827"/>
      <c r="M856" s="851"/>
      <c r="N856" s="827"/>
      <c r="O856" s="827"/>
      <c r="P856" s="827"/>
      <c r="Q856" s="827"/>
      <c r="R856" s="827"/>
      <c r="S856" s="827"/>
      <c r="T856" s="827"/>
      <c r="U856" s="827"/>
      <c r="V856" s="827"/>
      <c r="W856" s="827"/>
      <c r="X856" s="827"/>
      <c r="Y856" s="827"/>
      <c r="Z856" s="827"/>
      <c r="AA856" s="827"/>
      <c r="AB856" s="827"/>
      <c r="AC856" s="852"/>
      <c r="AD856" s="827"/>
      <c r="AE856" s="827"/>
      <c r="AF856" s="827"/>
      <c r="AG856" s="827"/>
      <c r="AH856" s="827"/>
      <c r="AI856" s="827"/>
      <c r="AJ856" s="827"/>
      <c r="EB856" s="846"/>
    </row>
    <row r="857" spans="5:132" ht="18" x14ac:dyDescent="0.25">
      <c r="E857" s="826"/>
      <c r="H857" s="849">
        <v>353</v>
      </c>
      <c r="I857" s="850"/>
      <c r="J857" s="827"/>
      <c r="K857" s="827"/>
      <c r="L857" s="827"/>
      <c r="M857" s="851"/>
      <c r="N857" s="827"/>
      <c r="O857" s="827"/>
      <c r="P857" s="827"/>
      <c r="Q857" s="827"/>
      <c r="R857" s="827"/>
      <c r="S857" s="827"/>
      <c r="T857" s="827"/>
      <c r="U857" s="827"/>
      <c r="V857" s="827"/>
      <c r="W857" s="827"/>
      <c r="X857" s="827"/>
      <c r="Y857" s="827"/>
      <c r="Z857" s="827"/>
      <c r="AA857" s="827"/>
      <c r="AB857" s="827"/>
      <c r="AC857" s="852"/>
      <c r="AD857" s="827"/>
      <c r="AE857" s="827"/>
      <c r="AF857" s="827"/>
      <c r="AG857" s="827"/>
      <c r="AH857" s="827"/>
      <c r="AI857" s="827"/>
      <c r="AJ857" s="827"/>
      <c r="EB857" s="846"/>
    </row>
    <row r="858" spans="5:132" ht="18" x14ac:dyDescent="0.25">
      <c r="E858" s="826"/>
      <c r="H858" s="849">
        <v>354</v>
      </c>
      <c r="I858" s="850"/>
      <c r="J858" s="827"/>
      <c r="K858" s="827"/>
      <c r="L858" s="827"/>
      <c r="M858" s="851"/>
      <c r="N858" s="827"/>
      <c r="O858" s="827"/>
      <c r="P858" s="827"/>
      <c r="Q858" s="827"/>
      <c r="R858" s="827"/>
      <c r="S858" s="827"/>
      <c r="T858" s="827"/>
      <c r="U858" s="827"/>
      <c r="V858" s="827"/>
      <c r="W858" s="827"/>
      <c r="X858" s="827"/>
      <c r="Y858" s="827"/>
      <c r="Z858" s="827"/>
      <c r="AA858" s="827"/>
      <c r="AB858" s="827"/>
      <c r="AC858" s="852"/>
      <c r="AD858" s="827"/>
      <c r="AE858" s="827"/>
      <c r="AF858" s="827"/>
      <c r="AG858" s="827"/>
      <c r="AH858" s="827"/>
      <c r="AI858" s="827"/>
      <c r="AJ858" s="827"/>
      <c r="EB858" s="846"/>
    </row>
    <row r="859" spans="5:132" ht="18" x14ac:dyDescent="0.25">
      <c r="E859" s="826"/>
      <c r="H859" s="849">
        <v>355</v>
      </c>
      <c r="I859" s="850"/>
      <c r="J859" s="827"/>
      <c r="K859" s="827"/>
      <c r="L859" s="827"/>
      <c r="M859" s="851"/>
      <c r="N859" s="827"/>
      <c r="O859" s="827"/>
      <c r="P859" s="827"/>
      <c r="Q859" s="827"/>
      <c r="R859" s="827"/>
      <c r="S859" s="827"/>
      <c r="T859" s="827"/>
      <c r="U859" s="827"/>
      <c r="V859" s="827"/>
      <c r="W859" s="827"/>
      <c r="X859" s="827"/>
      <c r="Y859" s="827"/>
      <c r="Z859" s="827"/>
      <c r="AA859" s="827"/>
      <c r="AB859" s="827"/>
      <c r="AC859" s="852"/>
      <c r="AD859" s="827"/>
      <c r="AE859" s="827"/>
      <c r="AF859" s="827"/>
      <c r="AG859" s="827"/>
      <c r="AH859" s="827"/>
      <c r="AI859" s="827"/>
      <c r="AJ859" s="827"/>
      <c r="EB859" s="846"/>
    </row>
    <row r="860" spans="5:132" ht="18" x14ac:dyDescent="0.25">
      <c r="E860" s="826"/>
      <c r="H860" s="849">
        <v>356</v>
      </c>
      <c r="I860" s="850"/>
      <c r="J860" s="827"/>
      <c r="K860" s="827"/>
      <c r="L860" s="827"/>
      <c r="M860" s="851"/>
      <c r="N860" s="827"/>
      <c r="O860" s="827"/>
      <c r="P860" s="827"/>
      <c r="Q860" s="827"/>
      <c r="R860" s="827"/>
      <c r="S860" s="827"/>
      <c r="T860" s="827"/>
      <c r="U860" s="827"/>
      <c r="V860" s="827"/>
      <c r="W860" s="827"/>
      <c r="X860" s="827"/>
      <c r="Y860" s="827"/>
      <c r="Z860" s="827"/>
      <c r="AA860" s="827"/>
      <c r="AB860" s="827"/>
      <c r="AC860" s="852"/>
      <c r="AD860" s="827"/>
      <c r="AE860" s="827"/>
      <c r="AF860" s="827"/>
      <c r="AG860" s="827"/>
      <c r="AH860" s="827"/>
      <c r="AI860" s="827"/>
      <c r="AJ860" s="827"/>
      <c r="EB860" s="846"/>
    </row>
    <row r="861" spans="5:132" ht="18" x14ac:dyDescent="0.25">
      <c r="E861" s="826"/>
      <c r="H861" s="849">
        <v>357</v>
      </c>
      <c r="I861" s="850"/>
      <c r="J861" s="827"/>
      <c r="K861" s="827"/>
      <c r="L861" s="827"/>
      <c r="M861" s="851"/>
      <c r="N861" s="827"/>
      <c r="O861" s="827"/>
      <c r="P861" s="827"/>
      <c r="Q861" s="827"/>
      <c r="R861" s="827"/>
      <c r="S861" s="827"/>
      <c r="T861" s="827"/>
      <c r="U861" s="827"/>
      <c r="V861" s="827"/>
      <c r="W861" s="827"/>
      <c r="X861" s="827"/>
      <c r="Y861" s="827"/>
      <c r="Z861" s="827"/>
      <c r="AA861" s="827"/>
      <c r="AB861" s="827"/>
      <c r="AC861" s="852"/>
      <c r="AD861" s="827"/>
      <c r="AE861" s="827"/>
      <c r="AF861" s="827"/>
      <c r="AG861" s="827"/>
      <c r="AH861" s="827"/>
      <c r="AI861" s="827"/>
      <c r="AJ861" s="827"/>
      <c r="EB861" s="846"/>
    </row>
    <row r="862" spans="5:132" ht="18" x14ac:dyDescent="0.25">
      <c r="E862" s="826"/>
      <c r="H862" s="849">
        <v>358</v>
      </c>
      <c r="I862" s="850"/>
      <c r="J862" s="827"/>
      <c r="K862" s="827"/>
      <c r="L862" s="827"/>
      <c r="M862" s="851"/>
      <c r="N862" s="827"/>
      <c r="O862" s="827"/>
      <c r="P862" s="827"/>
      <c r="Q862" s="827"/>
      <c r="R862" s="827"/>
      <c r="S862" s="827"/>
      <c r="T862" s="827"/>
      <c r="U862" s="827"/>
      <c r="V862" s="827"/>
      <c r="W862" s="827"/>
      <c r="X862" s="827"/>
      <c r="Y862" s="827"/>
      <c r="Z862" s="827"/>
      <c r="AA862" s="827"/>
      <c r="AB862" s="827"/>
      <c r="AC862" s="852"/>
      <c r="AD862" s="827"/>
      <c r="AE862" s="827"/>
      <c r="AF862" s="827"/>
      <c r="AG862" s="827"/>
      <c r="AH862" s="827"/>
      <c r="AI862" s="827"/>
      <c r="AJ862" s="827"/>
      <c r="EB862" s="846"/>
    </row>
    <row r="863" spans="5:132" ht="18" x14ac:dyDescent="0.25">
      <c r="E863" s="826"/>
      <c r="H863" s="849">
        <v>361</v>
      </c>
      <c r="I863" s="850"/>
      <c r="J863" s="827"/>
      <c r="K863" s="827"/>
      <c r="L863" s="827"/>
      <c r="M863" s="851"/>
      <c r="N863" s="827"/>
      <c r="O863" s="827"/>
      <c r="P863" s="827"/>
      <c r="Q863" s="827"/>
      <c r="R863" s="827"/>
      <c r="S863" s="827"/>
      <c r="T863" s="827"/>
      <c r="U863" s="827"/>
      <c r="V863" s="827"/>
      <c r="W863" s="827"/>
      <c r="X863" s="827"/>
      <c r="Y863" s="827"/>
      <c r="Z863" s="827"/>
      <c r="AA863" s="827"/>
      <c r="AB863" s="827"/>
      <c r="AC863" s="852"/>
      <c r="AD863" s="827"/>
      <c r="AE863" s="827"/>
      <c r="AF863" s="827"/>
      <c r="AG863" s="827"/>
      <c r="AH863" s="827"/>
      <c r="AI863" s="827"/>
      <c r="AJ863" s="827"/>
      <c r="EB863" s="846"/>
    </row>
    <row r="864" spans="5:132" ht="18" x14ac:dyDescent="0.25">
      <c r="E864" s="826"/>
      <c r="H864" s="849">
        <v>362</v>
      </c>
      <c r="I864" s="850"/>
      <c r="J864" s="827"/>
      <c r="K864" s="827"/>
      <c r="L864" s="827"/>
      <c r="M864" s="851"/>
      <c r="N864" s="827"/>
      <c r="O864" s="827"/>
      <c r="P864" s="827"/>
      <c r="Q864" s="827"/>
      <c r="R864" s="827"/>
      <c r="S864" s="827"/>
      <c r="T864" s="827"/>
      <c r="U864" s="827"/>
      <c r="V864" s="827"/>
      <c r="W864" s="827"/>
      <c r="X864" s="827"/>
      <c r="Y864" s="827"/>
      <c r="Z864" s="827"/>
      <c r="AA864" s="827"/>
      <c r="AB864" s="827"/>
      <c r="AC864" s="852"/>
      <c r="AD864" s="827"/>
      <c r="AE864" s="827"/>
      <c r="AF864" s="827"/>
      <c r="AG864" s="827"/>
      <c r="AH864" s="827"/>
      <c r="AI864" s="827"/>
      <c r="AJ864" s="827"/>
      <c r="EB864" s="846"/>
    </row>
    <row r="865" spans="5:132" ht="18" x14ac:dyDescent="0.25">
      <c r="E865" s="826"/>
      <c r="H865" s="849">
        <v>363</v>
      </c>
      <c r="I865" s="850"/>
      <c r="J865" s="827"/>
      <c r="K865" s="827"/>
      <c r="L865" s="827"/>
      <c r="M865" s="851"/>
      <c r="N865" s="827"/>
      <c r="O865" s="827"/>
      <c r="P865" s="827"/>
      <c r="Q865" s="827"/>
      <c r="R865" s="827"/>
      <c r="S865" s="827"/>
      <c r="T865" s="827"/>
      <c r="U865" s="827"/>
      <c r="V865" s="827"/>
      <c r="W865" s="827"/>
      <c r="X865" s="827"/>
      <c r="Y865" s="827"/>
      <c r="Z865" s="827"/>
      <c r="AA865" s="827"/>
      <c r="AB865" s="827"/>
      <c r="AC865" s="852"/>
      <c r="AD865" s="827"/>
      <c r="AE865" s="827"/>
      <c r="AF865" s="827"/>
      <c r="AG865" s="827"/>
      <c r="AH865" s="827"/>
      <c r="AI865" s="827"/>
      <c r="AJ865" s="827"/>
      <c r="EB865" s="846"/>
    </row>
    <row r="866" spans="5:132" ht="18" x14ac:dyDescent="0.25">
      <c r="E866" s="826"/>
      <c r="H866" s="849">
        <v>364</v>
      </c>
      <c r="I866" s="850"/>
      <c r="J866" s="827"/>
      <c r="K866" s="827"/>
      <c r="L866" s="827"/>
      <c r="M866" s="851"/>
      <c r="N866" s="827"/>
      <c r="O866" s="827"/>
      <c r="P866" s="827"/>
      <c r="Q866" s="827"/>
      <c r="R866" s="827"/>
      <c r="S866" s="827"/>
      <c r="T866" s="827"/>
      <c r="U866" s="827"/>
      <c r="V866" s="827"/>
      <c r="W866" s="827"/>
      <c r="X866" s="827"/>
      <c r="Y866" s="827"/>
      <c r="Z866" s="827"/>
      <c r="AA866" s="827"/>
      <c r="AB866" s="827"/>
      <c r="AC866" s="852"/>
      <c r="AD866" s="827"/>
      <c r="AE866" s="827"/>
      <c r="AF866" s="827"/>
      <c r="AG866" s="827"/>
      <c r="AH866" s="827"/>
      <c r="AI866" s="827"/>
      <c r="AJ866" s="827"/>
      <c r="EB866" s="846"/>
    </row>
    <row r="867" spans="5:132" ht="18" x14ac:dyDescent="0.25">
      <c r="E867" s="826"/>
      <c r="H867" s="849">
        <v>365</v>
      </c>
      <c r="I867" s="850"/>
      <c r="J867" s="827"/>
      <c r="K867" s="827"/>
      <c r="L867" s="827"/>
      <c r="M867" s="851"/>
      <c r="N867" s="827"/>
      <c r="O867" s="827"/>
      <c r="P867" s="827"/>
      <c r="Q867" s="827"/>
      <c r="R867" s="827"/>
      <c r="S867" s="827"/>
      <c r="T867" s="827"/>
      <c r="U867" s="827"/>
      <c r="V867" s="827"/>
      <c r="W867" s="827"/>
      <c r="X867" s="827"/>
      <c r="Y867" s="827"/>
      <c r="Z867" s="827"/>
      <c r="AA867" s="827"/>
      <c r="AB867" s="827"/>
      <c r="AC867" s="852"/>
      <c r="AD867" s="827"/>
      <c r="AE867" s="827"/>
      <c r="AF867" s="827"/>
      <c r="AG867" s="827"/>
      <c r="AH867" s="827"/>
      <c r="AI867" s="827"/>
      <c r="AJ867" s="827"/>
      <c r="EB867" s="846"/>
    </row>
    <row r="868" spans="5:132" ht="18" x14ac:dyDescent="0.25">
      <c r="E868" s="826"/>
      <c r="H868" s="849">
        <v>366</v>
      </c>
      <c r="I868" s="850"/>
      <c r="J868" s="827"/>
      <c r="K868" s="827"/>
      <c r="L868" s="827"/>
      <c r="M868" s="851"/>
      <c r="N868" s="827"/>
      <c r="O868" s="827"/>
      <c r="P868" s="827"/>
      <c r="Q868" s="827"/>
      <c r="R868" s="827"/>
      <c r="S868" s="827"/>
      <c r="T868" s="827"/>
      <c r="U868" s="827"/>
      <c r="V868" s="827"/>
      <c r="W868" s="827"/>
      <c r="X868" s="827"/>
      <c r="Y868" s="827"/>
      <c r="Z868" s="827"/>
      <c r="AA868" s="827"/>
      <c r="AB868" s="827"/>
      <c r="AC868" s="852"/>
      <c r="AD868" s="827"/>
      <c r="AE868" s="827"/>
      <c r="AF868" s="827"/>
      <c r="AG868" s="827"/>
      <c r="AH868" s="827"/>
      <c r="AI868" s="827"/>
      <c r="AJ868" s="827"/>
      <c r="EB868" s="846"/>
    </row>
    <row r="869" spans="5:132" ht="18" x14ac:dyDescent="0.25">
      <c r="E869" s="826"/>
      <c r="H869" s="849">
        <v>367</v>
      </c>
      <c r="I869" s="850"/>
      <c r="J869" s="827"/>
      <c r="K869" s="827"/>
      <c r="L869" s="827"/>
      <c r="M869" s="851"/>
      <c r="N869" s="827"/>
      <c r="O869" s="827"/>
      <c r="P869" s="827"/>
      <c r="Q869" s="827"/>
      <c r="R869" s="827"/>
      <c r="S869" s="827"/>
      <c r="T869" s="827"/>
      <c r="U869" s="827"/>
      <c r="V869" s="827"/>
      <c r="W869" s="827"/>
      <c r="X869" s="827"/>
      <c r="Y869" s="827"/>
      <c r="Z869" s="827"/>
      <c r="AA869" s="827"/>
      <c r="AB869" s="827"/>
      <c r="AC869" s="852"/>
      <c r="AD869" s="827"/>
      <c r="AE869" s="827"/>
      <c r="AF869" s="827"/>
      <c r="AG869" s="827"/>
      <c r="AH869" s="827"/>
      <c r="AI869" s="827"/>
      <c r="AJ869" s="827"/>
      <c r="EB869" s="846"/>
    </row>
    <row r="870" spans="5:132" ht="18" x14ac:dyDescent="0.25">
      <c r="E870" s="826"/>
      <c r="H870" s="849">
        <v>368</v>
      </c>
      <c r="I870" s="850"/>
      <c r="J870" s="827"/>
      <c r="K870" s="827"/>
      <c r="L870" s="827"/>
      <c r="M870" s="851"/>
      <c r="N870" s="827"/>
      <c r="O870" s="827"/>
      <c r="P870" s="827"/>
      <c r="Q870" s="827"/>
      <c r="R870" s="827"/>
      <c r="S870" s="827"/>
      <c r="T870" s="827"/>
      <c r="U870" s="827"/>
      <c r="V870" s="827"/>
      <c r="W870" s="827"/>
      <c r="X870" s="827"/>
      <c r="Y870" s="827"/>
      <c r="Z870" s="827"/>
      <c r="AA870" s="827"/>
      <c r="AB870" s="827"/>
      <c r="AC870" s="852"/>
      <c r="AD870" s="827"/>
      <c r="AE870" s="827"/>
      <c r="AF870" s="827"/>
      <c r="AG870" s="827"/>
      <c r="AH870" s="827"/>
      <c r="AI870" s="827"/>
      <c r="AJ870" s="827"/>
      <c r="EB870" s="846"/>
    </row>
    <row r="871" spans="5:132" ht="18" x14ac:dyDescent="0.25">
      <c r="E871" s="826"/>
      <c r="H871" s="849">
        <v>369</v>
      </c>
      <c r="I871" s="850"/>
      <c r="J871" s="827"/>
      <c r="K871" s="827"/>
      <c r="L871" s="827"/>
      <c r="M871" s="851"/>
      <c r="N871" s="827"/>
      <c r="O871" s="827"/>
      <c r="P871" s="827"/>
      <c r="Q871" s="827"/>
      <c r="R871" s="827"/>
      <c r="S871" s="827"/>
      <c r="T871" s="827"/>
      <c r="U871" s="827"/>
      <c r="V871" s="827"/>
      <c r="W871" s="827"/>
      <c r="X871" s="827"/>
      <c r="Y871" s="827"/>
      <c r="Z871" s="827"/>
      <c r="AA871" s="827"/>
      <c r="AB871" s="827"/>
      <c r="AC871" s="852"/>
      <c r="AD871" s="827"/>
      <c r="AE871" s="827"/>
      <c r="AF871" s="827"/>
      <c r="AG871" s="827"/>
      <c r="AH871" s="827"/>
      <c r="AI871" s="827"/>
      <c r="AJ871" s="827"/>
      <c r="EB871" s="846"/>
    </row>
    <row r="872" spans="5:132" ht="18" x14ac:dyDescent="0.25">
      <c r="E872" s="826"/>
      <c r="H872" s="849">
        <v>370</v>
      </c>
      <c r="I872" s="850"/>
      <c r="J872" s="827"/>
      <c r="K872" s="827"/>
      <c r="L872" s="827"/>
      <c r="M872" s="851"/>
      <c r="N872" s="827"/>
      <c r="O872" s="827"/>
      <c r="P872" s="827"/>
      <c r="Q872" s="827"/>
      <c r="R872" s="827"/>
      <c r="S872" s="827"/>
      <c r="T872" s="827"/>
      <c r="U872" s="827"/>
      <c r="V872" s="827"/>
      <c r="W872" s="827"/>
      <c r="X872" s="827"/>
      <c r="Y872" s="827"/>
      <c r="Z872" s="827"/>
      <c r="AA872" s="827"/>
      <c r="AB872" s="827"/>
      <c r="AC872" s="852"/>
      <c r="AD872" s="827"/>
      <c r="AE872" s="827"/>
      <c r="AF872" s="827"/>
      <c r="AG872" s="827"/>
      <c r="AH872" s="827"/>
      <c r="AI872" s="827"/>
      <c r="AJ872" s="827"/>
      <c r="EB872" s="846"/>
    </row>
    <row r="873" spans="5:132" ht="18" x14ac:dyDescent="0.25">
      <c r="E873" s="826"/>
      <c r="H873" s="849">
        <v>371</v>
      </c>
      <c r="I873" s="850"/>
      <c r="J873" s="827"/>
      <c r="K873" s="827"/>
      <c r="L873" s="827"/>
      <c r="M873" s="851"/>
      <c r="N873" s="827"/>
      <c r="O873" s="827"/>
      <c r="P873" s="827"/>
      <c r="Q873" s="827"/>
      <c r="R873" s="827"/>
      <c r="S873" s="827"/>
      <c r="T873" s="827"/>
      <c r="U873" s="827"/>
      <c r="V873" s="827"/>
      <c r="W873" s="827"/>
      <c r="X873" s="827"/>
      <c r="Y873" s="827"/>
      <c r="Z873" s="827"/>
      <c r="AA873" s="827"/>
      <c r="AB873" s="827"/>
      <c r="AC873" s="852"/>
      <c r="AD873" s="827"/>
      <c r="AE873" s="827"/>
      <c r="AF873" s="827"/>
      <c r="AG873" s="827"/>
      <c r="AH873" s="827"/>
      <c r="AI873" s="827"/>
      <c r="AJ873" s="827"/>
      <c r="EB873" s="846"/>
    </row>
    <row r="874" spans="5:132" ht="18" x14ac:dyDescent="0.25">
      <c r="E874" s="826"/>
      <c r="H874" s="849">
        <v>372</v>
      </c>
      <c r="I874" s="850"/>
      <c r="J874" s="827"/>
      <c r="K874" s="827"/>
      <c r="L874" s="827"/>
      <c r="M874" s="851"/>
      <c r="N874" s="827"/>
      <c r="O874" s="827"/>
      <c r="P874" s="827"/>
      <c r="Q874" s="827"/>
      <c r="R874" s="827"/>
      <c r="S874" s="827"/>
      <c r="T874" s="827"/>
      <c r="U874" s="827"/>
      <c r="V874" s="827"/>
      <c r="W874" s="827"/>
      <c r="X874" s="827"/>
      <c r="Y874" s="827"/>
      <c r="Z874" s="827"/>
      <c r="AA874" s="827"/>
      <c r="AB874" s="827"/>
      <c r="AC874" s="852"/>
      <c r="AD874" s="827"/>
      <c r="AE874" s="827"/>
      <c r="AF874" s="827"/>
      <c r="AG874" s="827"/>
      <c r="AH874" s="827"/>
      <c r="AI874" s="827"/>
      <c r="AJ874" s="827"/>
      <c r="EB874" s="846"/>
    </row>
    <row r="875" spans="5:132" ht="18" x14ac:dyDescent="0.25">
      <c r="E875" s="826"/>
      <c r="H875" s="849">
        <v>373</v>
      </c>
      <c r="I875" s="850"/>
      <c r="J875" s="827"/>
      <c r="K875" s="827"/>
      <c r="L875" s="827"/>
      <c r="M875" s="851"/>
      <c r="N875" s="827"/>
      <c r="O875" s="827"/>
      <c r="P875" s="827"/>
      <c r="Q875" s="827"/>
      <c r="R875" s="827"/>
      <c r="S875" s="827"/>
      <c r="T875" s="827"/>
      <c r="U875" s="827"/>
      <c r="V875" s="827"/>
      <c r="W875" s="827"/>
      <c r="X875" s="827"/>
      <c r="Y875" s="827"/>
      <c r="Z875" s="827"/>
      <c r="AA875" s="827"/>
      <c r="AB875" s="827"/>
      <c r="AC875" s="852"/>
      <c r="AD875" s="827"/>
      <c r="AE875" s="827"/>
      <c r="AF875" s="827"/>
      <c r="AG875" s="827"/>
      <c r="AH875" s="827"/>
      <c r="AI875" s="827"/>
      <c r="AJ875" s="827"/>
      <c r="EB875" s="846"/>
    </row>
    <row r="876" spans="5:132" ht="18" x14ac:dyDescent="0.25">
      <c r="E876" s="826"/>
      <c r="H876" s="849">
        <v>374</v>
      </c>
      <c r="I876" s="850"/>
      <c r="J876" s="827"/>
      <c r="K876" s="827"/>
      <c r="L876" s="827"/>
      <c r="M876" s="851"/>
      <c r="N876" s="827"/>
      <c r="O876" s="827"/>
      <c r="P876" s="827"/>
      <c r="Q876" s="827"/>
      <c r="R876" s="827"/>
      <c r="S876" s="827"/>
      <c r="T876" s="827"/>
      <c r="U876" s="827"/>
      <c r="V876" s="827"/>
      <c r="W876" s="827"/>
      <c r="X876" s="827"/>
      <c r="Y876" s="827"/>
      <c r="Z876" s="827"/>
      <c r="AA876" s="827"/>
      <c r="AB876" s="827"/>
      <c r="AC876" s="852"/>
      <c r="AD876" s="827"/>
      <c r="AE876" s="827"/>
      <c r="AF876" s="827"/>
      <c r="AG876" s="827"/>
      <c r="AH876" s="827"/>
      <c r="AI876" s="827"/>
      <c r="AJ876" s="827"/>
      <c r="EB876" s="846"/>
    </row>
    <row r="877" spans="5:132" ht="18" x14ac:dyDescent="0.25">
      <c r="E877" s="826"/>
      <c r="H877" s="849">
        <v>376</v>
      </c>
      <c r="I877" s="850"/>
      <c r="J877" s="827"/>
      <c r="K877" s="827"/>
      <c r="L877" s="827"/>
      <c r="M877" s="851"/>
      <c r="N877" s="827"/>
      <c r="O877" s="827"/>
      <c r="P877" s="827"/>
      <c r="Q877" s="827"/>
      <c r="R877" s="827"/>
      <c r="S877" s="827"/>
      <c r="T877" s="827"/>
      <c r="U877" s="827"/>
      <c r="V877" s="827"/>
      <c r="W877" s="827"/>
      <c r="X877" s="827"/>
      <c r="Y877" s="827"/>
      <c r="Z877" s="827"/>
      <c r="AA877" s="827"/>
      <c r="AB877" s="827"/>
      <c r="AC877" s="852"/>
      <c r="AD877" s="827"/>
      <c r="AE877" s="827"/>
      <c r="AF877" s="827"/>
      <c r="AG877" s="827"/>
      <c r="AH877" s="827"/>
      <c r="AI877" s="827"/>
      <c r="AJ877" s="827"/>
      <c r="EB877" s="846"/>
    </row>
    <row r="878" spans="5:132" ht="18" x14ac:dyDescent="0.25">
      <c r="E878" s="826"/>
      <c r="H878" s="849">
        <v>377</v>
      </c>
      <c r="I878" s="850"/>
      <c r="J878" s="827"/>
      <c r="K878" s="827"/>
      <c r="L878" s="827"/>
      <c r="M878" s="851"/>
      <c r="N878" s="827"/>
      <c r="O878" s="827"/>
      <c r="P878" s="827"/>
      <c r="Q878" s="827"/>
      <c r="R878" s="827"/>
      <c r="S878" s="827"/>
      <c r="T878" s="827"/>
      <c r="U878" s="827"/>
      <c r="V878" s="827"/>
      <c r="W878" s="827"/>
      <c r="X878" s="827"/>
      <c r="Y878" s="827"/>
      <c r="Z878" s="827"/>
      <c r="AA878" s="827"/>
      <c r="AB878" s="827"/>
      <c r="AC878" s="852"/>
      <c r="AD878" s="827"/>
      <c r="AE878" s="827"/>
      <c r="AF878" s="827"/>
      <c r="AG878" s="827"/>
      <c r="AH878" s="827"/>
      <c r="AI878" s="827"/>
      <c r="AJ878" s="827"/>
      <c r="EB878" s="846"/>
    </row>
    <row r="879" spans="5:132" ht="18" x14ac:dyDescent="0.25">
      <c r="E879" s="826"/>
      <c r="H879" s="849">
        <v>378</v>
      </c>
      <c r="I879" s="850"/>
      <c r="J879" s="827"/>
      <c r="K879" s="827"/>
      <c r="L879" s="827"/>
      <c r="M879" s="851"/>
      <c r="N879" s="827"/>
      <c r="O879" s="827"/>
      <c r="P879" s="827"/>
      <c r="Q879" s="827"/>
      <c r="R879" s="827"/>
      <c r="S879" s="827"/>
      <c r="T879" s="827"/>
      <c r="U879" s="827"/>
      <c r="V879" s="827"/>
      <c r="W879" s="827"/>
      <c r="X879" s="827"/>
      <c r="Y879" s="827"/>
      <c r="Z879" s="827"/>
      <c r="AA879" s="827"/>
      <c r="AB879" s="827"/>
      <c r="AC879" s="852"/>
      <c r="AD879" s="827"/>
      <c r="AE879" s="827"/>
      <c r="AF879" s="827"/>
      <c r="AG879" s="827"/>
      <c r="AH879" s="827"/>
      <c r="AI879" s="827"/>
      <c r="AJ879" s="827"/>
      <c r="EB879" s="846"/>
    </row>
    <row r="880" spans="5:132" ht="18" x14ac:dyDescent="0.25">
      <c r="E880" s="826"/>
      <c r="H880" s="849">
        <v>379</v>
      </c>
      <c r="I880" s="850"/>
      <c r="J880" s="827"/>
      <c r="K880" s="827"/>
      <c r="L880" s="827"/>
      <c r="M880" s="851"/>
      <c r="N880" s="827"/>
      <c r="O880" s="827"/>
      <c r="P880" s="827"/>
      <c r="Q880" s="827"/>
      <c r="R880" s="827"/>
      <c r="S880" s="827"/>
      <c r="T880" s="827"/>
      <c r="U880" s="827"/>
      <c r="V880" s="827"/>
      <c r="W880" s="827"/>
      <c r="X880" s="827"/>
      <c r="Y880" s="827"/>
      <c r="Z880" s="827"/>
      <c r="AA880" s="827"/>
      <c r="AB880" s="827"/>
      <c r="AC880" s="852"/>
      <c r="AD880" s="827"/>
      <c r="AE880" s="827"/>
      <c r="AF880" s="827"/>
      <c r="AG880" s="827"/>
      <c r="AH880" s="827"/>
      <c r="AI880" s="827"/>
      <c r="AJ880" s="827"/>
      <c r="EB880" s="846"/>
    </row>
    <row r="881" spans="5:132" ht="18" x14ac:dyDescent="0.25">
      <c r="E881" s="826"/>
      <c r="H881" s="849">
        <v>380</v>
      </c>
      <c r="I881" s="850"/>
      <c r="J881" s="827"/>
      <c r="K881" s="827"/>
      <c r="L881" s="827"/>
      <c r="M881" s="851"/>
      <c r="N881" s="827"/>
      <c r="O881" s="827"/>
      <c r="P881" s="827"/>
      <c r="Q881" s="827"/>
      <c r="R881" s="827"/>
      <c r="S881" s="827"/>
      <c r="T881" s="827"/>
      <c r="U881" s="827"/>
      <c r="V881" s="827"/>
      <c r="W881" s="827"/>
      <c r="X881" s="827"/>
      <c r="Y881" s="827"/>
      <c r="Z881" s="827"/>
      <c r="AA881" s="827"/>
      <c r="AB881" s="827"/>
      <c r="AC881" s="852"/>
      <c r="AD881" s="827"/>
      <c r="AE881" s="827"/>
      <c r="AF881" s="827"/>
      <c r="AG881" s="827"/>
      <c r="AH881" s="827"/>
      <c r="AI881" s="827"/>
      <c r="AJ881" s="827"/>
      <c r="EB881" s="846"/>
    </row>
    <row r="882" spans="5:132" ht="18" x14ac:dyDescent="0.25">
      <c r="E882" s="826"/>
      <c r="H882" s="849">
        <v>381</v>
      </c>
      <c r="I882" s="850"/>
      <c r="J882" s="827"/>
      <c r="K882" s="827"/>
      <c r="L882" s="827"/>
      <c r="M882" s="851"/>
      <c r="N882" s="827"/>
      <c r="O882" s="827"/>
      <c r="P882" s="827"/>
      <c r="Q882" s="827"/>
      <c r="R882" s="827"/>
      <c r="S882" s="827"/>
      <c r="T882" s="827"/>
      <c r="U882" s="827"/>
      <c r="V882" s="827"/>
      <c r="W882" s="827"/>
      <c r="X882" s="827"/>
      <c r="Y882" s="827"/>
      <c r="Z882" s="827"/>
      <c r="AA882" s="827"/>
      <c r="AB882" s="827"/>
      <c r="AC882" s="852"/>
      <c r="AD882" s="827"/>
      <c r="AE882" s="827"/>
      <c r="AF882" s="827"/>
      <c r="AG882" s="827"/>
      <c r="AH882" s="827"/>
      <c r="AI882" s="827"/>
      <c r="AJ882" s="827"/>
      <c r="EB882" s="846"/>
    </row>
    <row r="883" spans="5:132" ht="18" x14ac:dyDescent="0.25">
      <c r="E883" s="826"/>
      <c r="H883" s="849">
        <v>382</v>
      </c>
      <c r="I883" s="850"/>
      <c r="J883" s="827"/>
      <c r="K883" s="827"/>
      <c r="L883" s="827"/>
      <c r="M883" s="851"/>
      <c r="N883" s="827"/>
      <c r="O883" s="827"/>
      <c r="P883" s="827"/>
      <c r="Q883" s="827"/>
      <c r="R883" s="827"/>
      <c r="S883" s="827"/>
      <c r="T883" s="827"/>
      <c r="U883" s="827"/>
      <c r="V883" s="827"/>
      <c r="W883" s="827"/>
      <c r="X883" s="827"/>
      <c r="Y883" s="827"/>
      <c r="Z883" s="827"/>
      <c r="AA883" s="827"/>
      <c r="AB883" s="827"/>
      <c r="AC883" s="852"/>
      <c r="AD883" s="827"/>
      <c r="AE883" s="827"/>
      <c r="AF883" s="827"/>
      <c r="AG883" s="827"/>
      <c r="AH883" s="827"/>
      <c r="AI883" s="827"/>
      <c r="AJ883" s="827"/>
      <c r="EB883" s="846"/>
    </row>
    <row r="884" spans="5:132" ht="18" x14ac:dyDescent="0.25">
      <c r="E884" s="826"/>
      <c r="H884" s="849">
        <v>383</v>
      </c>
      <c r="I884" s="850"/>
      <c r="J884" s="827"/>
      <c r="K884" s="827"/>
      <c r="L884" s="827"/>
      <c r="M884" s="851"/>
      <c r="N884" s="827"/>
      <c r="O884" s="827"/>
      <c r="P884" s="827"/>
      <c r="Q884" s="827"/>
      <c r="R884" s="827"/>
      <c r="S884" s="827"/>
      <c r="T884" s="827"/>
      <c r="U884" s="827"/>
      <c r="V884" s="827"/>
      <c r="W884" s="827"/>
      <c r="X884" s="827"/>
      <c r="Y884" s="827"/>
      <c r="Z884" s="827"/>
      <c r="AA884" s="827"/>
      <c r="AB884" s="827"/>
      <c r="AC884" s="852"/>
      <c r="AD884" s="827"/>
      <c r="AE884" s="827"/>
      <c r="AF884" s="827"/>
      <c r="AG884" s="827"/>
      <c r="AH884" s="827"/>
      <c r="AI884" s="827"/>
      <c r="AJ884" s="827"/>
      <c r="EB884" s="846"/>
    </row>
    <row r="885" spans="5:132" ht="18" x14ac:dyDescent="0.25">
      <c r="E885" s="826"/>
      <c r="H885" s="849">
        <v>384</v>
      </c>
      <c r="I885" s="850"/>
      <c r="J885" s="827"/>
      <c r="K885" s="827"/>
      <c r="L885" s="827"/>
      <c r="M885" s="851"/>
      <c r="N885" s="827"/>
      <c r="O885" s="827"/>
      <c r="P885" s="827"/>
      <c r="Q885" s="827"/>
      <c r="R885" s="827"/>
      <c r="S885" s="827"/>
      <c r="T885" s="827"/>
      <c r="U885" s="827"/>
      <c r="V885" s="827"/>
      <c r="W885" s="827"/>
      <c r="X885" s="827"/>
      <c r="Y885" s="827"/>
      <c r="Z885" s="827"/>
      <c r="AA885" s="827"/>
      <c r="AB885" s="827"/>
      <c r="AC885" s="852"/>
      <c r="AD885" s="827"/>
      <c r="AE885" s="827"/>
      <c r="AF885" s="827"/>
      <c r="AG885" s="827"/>
      <c r="AH885" s="827"/>
      <c r="AI885" s="827"/>
      <c r="AJ885" s="827"/>
      <c r="EB885" s="846"/>
    </row>
    <row r="886" spans="5:132" ht="18" x14ac:dyDescent="0.25">
      <c r="E886" s="826"/>
      <c r="H886" s="849">
        <v>385</v>
      </c>
      <c r="I886" s="850"/>
      <c r="J886" s="827"/>
      <c r="K886" s="827"/>
      <c r="L886" s="827"/>
      <c r="M886" s="851"/>
      <c r="N886" s="827"/>
      <c r="O886" s="827"/>
      <c r="P886" s="827"/>
      <c r="Q886" s="827"/>
      <c r="R886" s="827"/>
      <c r="S886" s="827"/>
      <c r="T886" s="827"/>
      <c r="U886" s="827"/>
      <c r="V886" s="827"/>
      <c r="W886" s="827"/>
      <c r="X886" s="827"/>
      <c r="Y886" s="827"/>
      <c r="Z886" s="827"/>
      <c r="AA886" s="827"/>
      <c r="AB886" s="827"/>
      <c r="AC886" s="852"/>
      <c r="AD886" s="827"/>
      <c r="AE886" s="827"/>
      <c r="AF886" s="827"/>
      <c r="AG886" s="827"/>
      <c r="AH886" s="827"/>
      <c r="AI886" s="827"/>
      <c r="AJ886" s="827"/>
      <c r="EB886" s="846"/>
    </row>
    <row r="887" spans="5:132" ht="18" x14ac:dyDescent="0.25">
      <c r="E887" s="826"/>
      <c r="H887" s="849">
        <v>386</v>
      </c>
      <c r="I887" s="850"/>
      <c r="J887" s="827"/>
      <c r="K887" s="827"/>
      <c r="L887" s="827"/>
      <c r="M887" s="851"/>
      <c r="N887" s="827"/>
      <c r="O887" s="827"/>
      <c r="P887" s="827"/>
      <c r="Q887" s="827"/>
      <c r="R887" s="827"/>
      <c r="S887" s="827"/>
      <c r="T887" s="827"/>
      <c r="U887" s="827"/>
      <c r="V887" s="827"/>
      <c r="W887" s="827"/>
      <c r="X887" s="827"/>
      <c r="Y887" s="827"/>
      <c r="Z887" s="827"/>
      <c r="AA887" s="827"/>
      <c r="AB887" s="827"/>
      <c r="AC887" s="852"/>
      <c r="AD887" s="827"/>
      <c r="AE887" s="827"/>
      <c r="AF887" s="827"/>
      <c r="AG887" s="827"/>
      <c r="AH887" s="827"/>
      <c r="AI887" s="827"/>
      <c r="AJ887" s="827"/>
      <c r="EB887" s="846"/>
    </row>
    <row r="888" spans="5:132" ht="18" x14ac:dyDescent="0.25">
      <c r="E888" s="826"/>
      <c r="H888" s="849">
        <v>387</v>
      </c>
      <c r="I888" s="850"/>
      <c r="J888" s="827"/>
      <c r="K888" s="827"/>
      <c r="L888" s="827"/>
      <c r="M888" s="851"/>
      <c r="N888" s="827"/>
      <c r="O888" s="827"/>
      <c r="P888" s="827"/>
      <c r="Q888" s="827"/>
      <c r="R888" s="827"/>
      <c r="S888" s="827"/>
      <c r="T888" s="827"/>
      <c r="U888" s="827"/>
      <c r="V888" s="827"/>
      <c r="W888" s="827"/>
      <c r="X888" s="827"/>
      <c r="Y888" s="827"/>
      <c r="Z888" s="827"/>
      <c r="AA888" s="827"/>
      <c r="AB888" s="827"/>
      <c r="AC888" s="852"/>
      <c r="AD888" s="827"/>
      <c r="AE888" s="827"/>
      <c r="AF888" s="827"/>
      <c r="AG888" s="827"/>
      <c r="AH888" s="827"/>
      <c r="AI888" s="827"/>
      <c r="AJ888" s="827"/>
      <c r="EB888" s="846"/>
    </row>
    <row r="889" spans="5:132" ht="18" x14ac:dyDescent="0.25">
      <c r="E889" s="826"/>
      <c r="H889" s="849">
        <v>389</v>
      </c>
      <c r="I889" s="850"/>
      <c r="J889" s="827"/>
      <c r="K889" s="827"/>
      <c r="L889" s="827"/>
      <c r="M889" s="851"/>
      <c r="N889" s="827"/>
      <c r="O889" s="827"/>
      <c r="P889" s="827"/>
      <c r="Q889" s="827"/>
      <c r="R889" s="827"/>
      <c r="S889" s="827"/>
      <c r="T889" s="827"/>
      <c r="U889" s="827"/>
      <c r="V889" s="827"/>
      <c r="W889" s="827"/>
      <c r="X889" s="827"/>
      <c r="Y889" s="827"/>
      <c r="Z889" s="827"/>
      <c r="AA889" s="827"/>
      <c r="AB889" s="827"/>
      <c r="AC889" s="852"/>
      <c r="AD889" s="827"/>
      <c r="AE889" s="827"/>
      <c r="AF889" s="827"/>
      <c r="AG889" s="827"/>
      <c r="AH889" s="827"/>
      <c r="AI889" s="827"/>
      <c r="AJ889" s="827"/>
      <c r="EB889" s="846"/>
    </row>
    <row r="890" spans="5:132" ht="18" x14ac:dyDescent="0.25">
      <c r="E890" s="826"/>
      <c r="H890" s="849">
        <v>390</v>
      </c>
      <c r="I890" s="850"/>
      <c r="J890" s="827"/>
      <c r="K890" s="827"/>
      <c r="L890" s="827"/>
      <c r="M890" s="851"/>
      <c r="N890" s="827"/>
      <c r="O890" s="827"/>
      <c r="P890" s="827"/>
      <c r="Q890" s="827"/>
      <c r="R890" s="827"/>
      <c r="S890" s="827"/>
      <c r="T890" s="827"/>
      <c r="U890" s="827"/>
      <c r="V890" s="827"/>
      <c r="W890" s="827"/>
      <c r="X890" s="827"/>
      <c r="Y890" s="827"/>
      <c r="Z890" s="827"/>
      <c r="AA890" s="827"/>
      <c r="AB890" s="827"/>
      <c r="AC890" s="852"/>
      <c r="AD890" s="827"/>
      <c r="AE890" s="827"/>
      <c r="AF890" s="827"/>
      <c r="AG890" s="827"/>
      <c r="AH890" s="827"/>
      <c r="AI890" s="827"/>
      <c r="AJ890" s="827"/>
      <c r="EB890" s="846"/>
    </row>
    <row r="891" spans="5:132" ht="18" x14ac:dyDescent="0.25">
      <c r="E891" s="826"/>
      <c r="H891" s="849">
        <v>391</v>
      </c>
      <c r="I891" s="850"/>
      <c r="J891" s="827"/>
      <c r="K891" s="827"/>
      <c r="L891" s="827"/>
      <c r="M891" s="851"/>
      <c r="N891" s="827"/>
      <c r="O891" s="827"/>
      <c r="P891" s="827"/>
      <c r="Q891" s="827"/>
      <c r="R891" s="827"/>
      <c r="S891" s="827"/>
      <c r="T891" s="827"/>
      <c r="U891" s="827"/>
      <c r="V891" s="827"/>
      <c r="W891" s="827"/>
      <c r="X891" s="827"/>
      <c r="Y891" s="827"/>
      <c r="Z891" s="827"/>
      <c r="AA891" s="827"/>
      <c r="AB891" s="827"/>
      <c r="AC891" s="852"/>
      <c r="AD891" s="827"/>
      <c r="AE891" s="827"/>
      <c r="AF891" s="827"/>
      <c r="AG891" s="827"/>
      <c r="AH891" s="827"/>
      <c r="AI891" s="827"/>
      <c r="AJ891" s="827"/>
      <c r="EB891" s="846"/>
    </row>
    <row r="892" spans="5:132" ht="18" x14ac:dyDescent="0.25">
      <c r="E892" s="826"/>
      <c r="H892" s="849">
        <v>392</v>
      </c>
      <c r="I892" s="850"/>
      <c r="J892" s="827"/>
      <c r="K892" s="827"/>
      <c r="L892" s="827"/>
      <c r="M892" s="851"/>
      <c r="N892" s="827"/>
      <c r="O892" s="827"/>
      <c r="P892" s="827"/>
      <c r="Q892" s="827"/>
      <c r="R892" s="827"/>
      <c r="S892" s="827"/>
      <c r="T892" s="827"/>
      <c r="U892" s="827"/>
      <c r="V892" s="827"/>
      <c r="W892" s="827"/>
      <c r="X892" s="827"/>
      <c r="Y892" s="827"/>
      <c r="Z892" s="827"/>
      <c r="AA892" s="827"/>
      <c r="AB892" s="827"/>
      <c r="AC892" s="852"/>
      <c r="AD892" s="827"/>
      <c r="AE892" s="827"/>
      <c r="AF892" s="827"/>
      <c r="AG892" s="827"/>
      <c r="AH892" s="827"/>
      <c r="AI892" s="827"/>
      <c r="AJ892" s="827"/>
      <c r="EB892" s="846"/>
    </row>
    <row r="893" spans="5:132" ht="18" x14ac:dyDescent="0.25">
      <c r="E893" s="826"/>
      <c r="H893" s="849">
        <v>393</v>
      </c>
      <c r="I893" s="850"/>
      <c r="J893" s="827"/>
      <c r="K893" s="827"/>
      <c r="L893" s="827"/>
      <c r="M893" s="851"/>
      <c r="N893" s="827"/>
      <c r="O893" s="827"/>
      <c r="P893" s="827"/>
      <c r="Q893" s="827"/>
      <c r="R893" s="827"/>
      <c r="S893" s="827"/>
      <c r="T893" s="827"/>
      <c r="U893" s="827"/>
      <c r="V893" s="827"/>
      <c r="W893" s="827"/>
      <c r="X893" s="827"/>
      <c r="Y893" s="827"/>
      <c r="Z893" s="827"/>
      <c r="AA893" s="827"/>
      <c r="AB893" s="827"/>
      <c r="AC893" s="852"/>
      <c r="AD893" s="827"/>
      <c r="AE893" s="827"/>
      <c r="AF893" s="827"/>
      <c r="AG893" s="827"/>
      <c r="AH893" s="827"/>
      <c r="AI893" s="827"/>
      <c r="AJ893" s="827"/>
      <c r="EB893" s="846"/>
    </row>
    <row r="894" spans="5:132" ht="18" x14ac:dyDescent="0.25">
      <c r="E894" s="826"/>
      <c r="H894" s="849">
        <v>394</v>
      </c>
      <c r="I894" s="850"/>
      <c r="J894" s="827"/>
      <c r="K894" s="827"/>
      <c r="L894" s="827"/>
      <c r="M894" s="851"/>
      <c r="N894" s="827"/>
      <c r="O894" s="827"/>
      <c r="P894" s="827"/>
      <c r="Q894" s="827"/>
      <c r="R894" s="827"/>
      <c r="S894" s="827"/>
      <c r="T894" s="827"/>
      <c r="U894" s="827"/>
      <c r="V894" s="827"/>
      <c r="W894" s="827"/>
      <c r="X894" s="827"/>
      <c r="Y894" s="827"/>
      <c r="Z894" s="827"/>
      <c r="AA894" s="827"/>
      <c r="AB894" s="827"/>
      <c r="AC894" s="852"/>
      <c r="AD894" s="827"/>
      <c r="AE894" s="827"/>
      <c r="AF894" s="827"/>
      <c r="AG894" s="827"/>
      <c r="AH894" s="827"/>
      <c r="AI894" s="827"/>
      <c r="AJ894" s="827"/>
      <c r="EB894" s="846"/>
    </row>
    <row r="895" spans="5:132" ht="18" x14ac:dyDescent="0.25">
      <c r="E895" s="826"/>
      <c r="H895" s="849">
        <v>395</v>
      </c>
      <c r="I895" s="850"/>
      <c r="J895" s="827"/>
      <c r="K895" s="827"/>
      <c r="L895" s="827"/>
      <c r="M895" s="851"/>
      <c r="N895" s="827"/>
      <c r="O895" s="827"/>
      <c r="P895" s="827"/>
      <c r="Q895" s="827"/>
      <c r="R895" s="827"/>
      <c r="S895" s="827"/>
      <c r="T895" s="827"/>
      <c r="U895" s="827"/>
      <c r="V895" s="827"/>
      <c r="W895" s="827"/>
      <c r="X895" s="827"/>
      <c r="Y895" s="827"/>
      <c r="Z895" s="827"/>
      <c r="AA895" s="827"/>
      <c r="AB895" s="827"/>
      <c r="AC895" s="852"/>
      <c r="AD895" s="827"/>
      <c r="AE895" s="827"/>
      <c r="AF895" s="827"/>
      <c r="AG895" s="827"/>
      <c r="AH895" s="827"/>
      <c r="AI895" s="827"/>
      <c r="AJ895" s="827"/>
      <c r="EB895" s="846"/>
    </row>
    <row r="896" spans="5:132" ht="18" x14ac:dyDescent="0.25">
      <c r="E896" s="826"/>
      <c r="H896" s="849">
        <v>396</v>
      </c>
      <c r="I896" s="850"/>
      <c r="J896" s="827"/>
      <c r="K896" s="827"/>
      <c r="L896" s="827"/>
      <c r="M896" s="851"/>
      <c r="N896" s="827"/>
      <c r="O896" s="827"/>
      <c r="P896" s="827"/>
      <c r="Q896" s="827"/>
      <c r="R896" s="827"/>
      <c r="S896" s="827"/>
      <c r="T896" s="827"/>
      <c r="U896" s="827"/>
      <c r="V896" s="827"/>
      <c r="W896" s="827"/>
      <c r="X896" s="827"/>
      <c r="Y896" s="827"/>
      <c r="Z896" s="827"/>
      <c r="AA896" s="827"/>
      <c r="AB896" s="827"/>
      <c r="AC896" s="852"/>
      <c r="AD896" s="827"/>
      <c r="AE896" s="827"/>
      <c r="AF896" s="827"/>
      <c r="AG896" s="827"/>
      <c r="AH896" s="827"/>
      <c r="AI896" s="827"/>
      <c r="AJ896" s="827"/>
      <c r="EB896" s="846"/>
    </row>
    <row r="897" spans="5:132" ht="18" x14ac:dyDescent="0.25">
      <c r="E897" s="826"/>
      <c r="H897" s="849">
        <v>399</v>
      </c>
      <c r="I897" s="850"/>
      <c r="J897" s="827"/>
      <c r="K897" s="827"/>
      <c r="L897" s="827"/>
      <c r="M897" s="851"/>
      <c r="N897" s="827"/>
      <c r="O897" s="827"/>
      <c r="P897" s="827"/>
      <c r="Q897" s="827"/>
      <c r="R897" s="827"/>
      <c r="S897" s="827"/>
      <c r="T897" s="827"/>
      <c r="U897" s="827"/>
      <c r="V897" s="827"/>
      <c r="W897" s="827"/>
      <c r="X897" s="827"/>
      <c r="Y897" s="827"/>
      <c r="Z897" s="827"/>
      <c r="AA897" s="827"/>
      <c r="AB897" s="827"/>
      <c r="AC897" s="852"/>
      <c r="AD897" s="827"/>
      <c r="AE897" s="827"/>
      <c r="AF897" s="827"/>
      <c r="AG897" s="827"/>
      <c r="AH897" s="827"/>
      <c r="AI897" s="827"/>
      <c r="AJ897" s="827"/>
      <c r="EB897" s="846"/>
    </row>
    <row r="898" spans="5:132" ht="18" x14ac:dyDescent="0.25">
      <c r="E898" s="826"/>
      <c r="H898" s="849">
        <v>400</v>
      </c>
      <c r="I898" s="850"/>
      <c r="J898" s="827"/>
      <c r="K898" s="827"/>
      <c r="L898" s="827"/>
      <c r="M898" s="851"/>
      <c r="N898" s="827"/>
      <c r="O898" s="827"/>
      <c r="P898" s="827"/>
      <c r="Q898" s="827"/>
      <c r="R898" s="827"/>
      <c r="S898" s="827"/>
      <c r="T898" s="827"/>
      <c r="U898" s="827"/>
      <c r="V898" s="827"/>
      <c r="W898" s="827"/>
      <c r="X898" s="827"/>
      <c r="Y898" s="827"/>
      <c r="Z898" s="827"/>
      <c r="AA898" s="827"/>
      <c r="AB898" s="827"/>
      <c r="AC898" s="852"/>
      <c r="AD898" s="827"/>
      <c r="AE898" s="827"/>
      <c r="AF898" s="827"/>
      <c r="AG898" s="827"/>
      <c r="AH898" s="827"/>
      <c r="AI898" s="827"/>
      <c r="AJ898" s="827"/>
      <c r="EB898" s="846"/>
    </row>
    <row r="899" spans="5:132" ht="18" x14ac:dyDescent="0.25">
      <c r="E899" s="826"/>
      <c r="H899" s="849">
        <v>401</v>
      </c>
      <c r="I899" s="850"/>
      <c r="J899" s="827"/>
      <c r="K899" s="827"/>
      <c r="L899" s="827"/>
      <c r="M899" s="851"/>
      <c r="N899" s="827"/>
      <c r="O899" s="827"/>
      <c r="P899" s="827"/>
      <c r="Q899" s="827"/>
      <c r="R899" s="827"/>
      <c r="S899" s="827"/>
      <c r="T899" s="827"/>
      <c r="U899" s="827"/>
      <c r="V899" s="827"/>
      <c r="W899" s="827"/>
      <c r="X899" s="827"/>
      <c r="Y899" s="827"/>
      <c r="Z899" s="827"/>
      <c r="AA899" s="827"/>
      <c r="AB899" s="827"/>
      <c r="AC899" s="852"/>
      <c r="AD899" s="827"/>
      <c r="AE899" s="827"/>
      <c r="AF899" s="827"/>
      <c r="AG899" s="827"/>
      <c r="AH899" s="827"/>
      <c r="AI899" s="827"/>
      <c r="AJ899" s="827"/>
      <c r="EB899" s="846"/>
    </row>
    <row r="900" spans="5:132" ht="18" x14ac:dyDescent="0.25">
      <c r="E900" s="826"/>
      <c r="H900" s="849">
        <v>402</v>
      </c>
      <c r="I900" s="850"/>
      <c r="J900" s="827"/>
      <c r="K900" s="827"/>
      <c r="L900" s="827"/>
      <c r="M900" s="851"/>
      <c r="N900" s="827"/>
      <c r="O900" s="827"/>
      <c r="P900" s="827"/>
      <c r="Q900" s="827"/>
      <c r="R900" s="827"/>
      <c r="S900" s="827"/>
      <c r="T900" s="827"/>
      <c r="U900" s="827"/>
      <c r="V900" s="827"/>
      <c r="W900" s="827"/>
      <c r="X900" s="827"/>
      <c r="Y900" s="827"/>
      <c r="Z900" s="827"/>
      <c r="AA900" s="827"/>
      <c r="AB900" s="827"/>
      <c r="AC900" s="852"/>
      <c r="AD900" s="827"/>
      <c r="AE900" s="827"/>
      <c r="AF900" s="827"/>
      <c r="AG900" s="827"/>
      <c r="AH900" s="827"/>
      <c r="AI900" s="827"/>
      <c r="AJ900" s="827"/>
      <c r="EB900" s="846"/>
    </row>
    <row r="901" spans="5:132" ht="18" x14ac:dyDescent="0.25">
      <c r="E901" s="826"/>
      <c r="H901" s="849">
        <v>403</v>
      </c>
      <c r="I901" s="850"/>
      <c r="J901" s="827"/>
      <c r="K901" s="827"/>
      <c r="L901" s="827"/>
      <c r="M901" s="851"/>
      <c r="N901" s="827"/>
      <c r="O901" s="827"/>
      <c r="P901" s="827"/>
      <c r="Q901" s="827"/>
      <c r="R901" s="827"/>
      <c r="S901" s="827"/>
      <c r="T901" s="827"/>
      <c r="U901" s="827"/>
      <c r="V901" s="827"/>
      <c r="W901" s="827"/>
      <c r="X901" s="827"/>
      <c r="Y901" s="827"/>
      <c r="Z901" s="827"/>
      <c r="AA901" s="827"/>
      <c r="AB901" s="827"/>
      <c r="AC901" s="852"/>
      <c r="AD901" s="827"/>
      <c r="AE901" s="827"/>
      <c r="AF901" s="827"/>
      <c r="AG901" s="827"/>
      <c r="AH901" s="827"/>
      <c r="AI901" s="827"/>
      <c r="AJ901" s="827"/>
      <c r="EB901" s="846"/>
    </row>
    <row r="902" spans="5:132" ht="18" x14ac:dyDescent="0.25">
      <c r="E902" s="826"/>
      <c r="H902" s="849">
        <v>404</v>
      </c>
      <c r="I902" s="850"/>
      <c r="J902" s="827"/>
      <c r="K902" s="827"/>
      <c r="L902" s="827"/>
      <c r="M902" s="851"/>
      <c r="N902" s="827"/>
      <c r="O902" s="827"/>
      <c r="P902" s="827"/>
      <c r="Q902" s="827"/>
      <c r="R902" s="827"/>
      <c r="S902" s="827"/>
      <c r="T902" s="827"/>
      <c r="U902" s="827"/>
      <c r="V902" s="827"/>
      <c r="W902" s="827"/>
      <c r="X902" s="827"/>
      <c r="Y902" s="827"/>
      <c r="Z902" s="827"/>
      <c r="AA902" s="827"/>
      <c r="AB902" s="827"/>
      <c r="AC902" s="852"/>
      <c r="AD902" s="827"/>
      <c r="AE902" s="827"/>
      <c r="AF902" s="827"/>
      <c r="AG902" s="827"/>
      <c r="AH902" s="827"/>
      <c r="AI902" s="827"/>
      <c r="AJ902" s="827"/>
      <c r="EB902" s="846"/>
    </row>
    <row r="903" spans="5:132" ht="18" x14ac:dyDescent="0.25">
      <c r="E903" s="826"/>
      <c r="H903" s="849">
        <v>405</v>
      </c>
      <c r="I903" s="850"/>
      <c r="J903" s="827"/>
      <c r="K903" s="827"/>
      <c r="L903" s="827"/>
      <c r="M903" s="851"/>
      <c r="N903" s="827"/>
      <c r="O903" s="827"/>
      <c r="P903" s="827"/>
      <c r="Q903" s="827"/>
      <c r="R903" s="827"/>
      <c r="S903" s="827"/>
      <c r="T903" s="827"/>
      <c r="U903" s="827"/>
      <c r="V903" s="827"/>
      <c r="W903" s="827"/>
      <c r="X903" s="827"/>
      <c r="Y903" s="827"/>
      <c r="Z903" s="827"/>
      <c r="AA903" s="827"/>
      <c r="AB903" s="827"/>
      <c r="AC903" s="852"/>
      <c r="AD903" s="827"/>
      <c r="AE903" s="827"/>
      <c r="AF903" s="827"/>
      <c r="AG903" s="827"/>
      <c r="AH903" s="827"/>
      <c r="AI903" s="827"/>
      <c r="AJ903" s="827"/>
      <c r="EB903" s="846"/>
    </row>
    <row r="904" spans="5:132" ht="18" x14ac:dyDescent="0.25">
      <c r="E904" s="826"/>
      <c r="H904" s="849">
        <v>406</v>
      </c>
      <c r="I904" s="850"/>
      <c r="J904" s="827"/>
      <c r="K904" s="827"/>
      <c r="L904" s="827"/>
      <c r="M904" s="851"/>
      <c r="N904" s="827"/>
      <c r="O904" s="827"/>
      <c r="P904" s="827"/>
      <c r="Q904" s="827"/>
      <c r="R904" s="827"/>
      <c r="S904" s="827"/>
      <c r="T904" s="827"/>
      <c r="U904" s="827"/>
      <c r="V904" s="827"/>
      <c r="W904" s="827"/>
      <c r="X904" s="827"/>
      <c r="Y904" s="827"/>
      <c r="Z904" s="827"/>
      <c r="AA904" s="827"/>
      <c r="AB904" s="827"/>
      <c r="AC904" s="852"/>
      <c r="AD904" s="827"/>
      <c r="AE904" s="827"/>
      <c r="AF904" s="827"/>
      <c r="AG904" s="827"/>
      <c r="AH904" s="827"/>
      <c r="AI904" s="827"/>
      <c r="AJ904" s="827"/>
      <c r="EB904" s="846"/>
    </row>
    <row r="905" spans="5:132" ht="18" x14ac:dyDescent="0.25">
      <c r="E905" s="826"/>
      <c r="H905" s="849">
        <v>407</v>
      </c>
      <c r="I905" s="850"/>
      <c r="J905" s="827"/>
      <c r="K905" s="827"/>
      <c r="L905" s="827"/>
      <c r="M905" s="851"/>
      <c r="N905" s="827"/>
      <c r="O905" s="827"/>
      <c r="P905" s="827"/>
      <c r="Q905" s="827"/>
      <c r="R905" s="827"/>
      <c r="S905" s="827"/>
      <c r="T905" s="827"/>
      <c r="U905" s="827"/>
      <c r="V905" s="827"/>
      <c r="W905" s="827"/>
      <c r="X905" s="827"/>
      <c r="Y905" s="827"/>
      <c r="Z905" s="827"/>
      <c r="AA905" s="827"/>
      <c r="AB905" s="827"/>
      <c r="AC905" s="852"/>
      <c r="AD905" s="827"/>
      <c r="AE905" s="827"/>
      <c r="AF905" s="827"/>
      <c r="AG905" s="827"/>
      <c r="AH905" s="827"/>
      <c r="AI905" s="827"/>
      <c r="AJ905" s="827"/>
      <c r="EB905" s="846"/>
    </row>
    <row r="906" spans="5:132" ht="18" x14ac:dyDescent="0.25">
      <c r="E906" s="826"/>
      <c r="H906" s="849">
        <v>408</v>
      </c>
      <c r="I906" s="850"/>
      <c r="J906" s="827"/>
      <c r="K906" s="827"/>
      <c r="L906" s="827"/>
      <c r="M906" s="851"/>
      <c r="N906" s="827"/>
      <c r="O906" s="827"/>
      <c r="P906" s="827"/>
      <c r="Q906" s="827"/>
      <c r="R906" s="827"/>
      <c r="S906" s="827"/>
      <c r="T906" s="827"/>
      <c r="U906" s="827"/>
      <c r="V906" s="827"/>
      <c r="W906" s="827"/>
      <c r="X906" s="827"/>
      <c r="Y906" s="827"/>
      <c r="Z906" s="827"/>
      <c r="AA906" s="827"/>
      <c r="AB906" s="827"/>
      <c r="AC906" s="852"/>
      <c r="AD906" s="827"/>
      <c r="AE906" s="827"/>
      <c r="AF906" s="827"/>
      <c r="AG906" s="827"/>
      <c r="AH906" s="827"/>
      <c r="AI906" s="827"/>
      <c r="AJ906" s="827"/>
      <c r="EB906" s="846"/>
    </row>
    <row r="907" spans="5:132" ht="18" x14ac:dyDescent="0.25">
      <c r="E907" s="826"/>
      <c r="H907" s="849">
        <v>409</v>
      </c>
      <c r="I907" s="850"/>
      <c r="J907" s="827"/>
      <c r="K907" s="827"/>
      <c r="L907" s="827"/>
      <c r="M907" s="851"/>
      <c r="N907" s="827"/>
      <c r="O907" s="827"/>
      <c r="P907" s="827"/>
      <c r="Q907" s="827"/>
      <c r="R907" s="827"/>
      <c r="S907" s="827"/>
      <c r="T907" s="827"/>
      <c r="U907" s="827"/>
      <c r="V907" s="827"/>
      <c r="W907" s="827"/>
      <c r="X907" s="827"/>
      <c r="Y907" s="827"/>
      <c r="Z907" s="827"/>
      <c r="AA907" s="827"/>
      <c r="AB907" s="827"/>
      <c r="AC907" s="852"/>
      <c r="AD907" s="827"/>
      <c r="AE907" s="827"/>
      <c r="AF907" s="827"/>
      <c r="AG907" s="827"/>
      <c r="AH907" s="827"/>
      <c r="AI907" s="827"/>
      <c r="AJ907" s="827"/>
      <c r="EB907" s="846"/>
    </row>
    <row r="908" spans="5:132" ht="18" x14ac:dyDescent="0.25">
      <c r="E908" s="826"/>
      <c r="H908" s="849">
        <v>410</v>
      </c>
      <c r="I908" s="850"/>
      <c r="J908" s="827"/>
      <c r="K908" s="827"/>
      <c r="L908" s="827"/>
      <c r="M908" s="851"/>
      <c r="N908" s="827"/>
      <c r="O908" s="827"/>
      <c r="P908" s="827"/>
      <c r="Q908" s="827"/>
      <c r="R908" s="827"/>
      <c r="S908" s="827"/>
      <c r="T908" s="827"/>
      <c r="U908" s="827"/>
      <c r="V908" s="827"/>
      <c r="W908" s="827"/>
      <c r="X908" s="827"/>
      <c r="Y908" s="827"/>
      <c r="Z908" s="827"/>
      <c r="AA908" s="827"/>
      <c r="AB908" s="827"/>
      <c r="AC908" s="852"/>
      <c r="AD908" s="827"/>
      <c r="AE908" s="827"/>
      <c r="AF908" s="827"/>
      <c r="AG908" s="827"/>
      <c r="AH908" s="827"/>
      <c r="AI908" s="827"/>
      <c r="AJ908" s="827"/>
      <c r="EB908" s="846"/>
    </row>
    <row r="909" spans="5:132" ht="18" x14ac:dyDescent="0.25">
      <c r="E909" s="826"/>
      <c r="H909" s="849">
        <v>412</v>
      </c>
      <c r="I909" s="850"/>
      <c r="J909" s="827"/>
      <c r="K909" s="827"/>
      <c r="L909" s="827"/>
      <c r="M909" s="851"/>
      <c r="N909" s="827"/>
      <c r="O909" s="827"/>
      <c r="P909" s="827"/>
      <c r="Q909" s="827"/>
      <c r="R909" s="827"/>
      <c r="S909" s="827"/>
      <c r="T909" s="827"/>
      <c r="U909" s="827"/>
      <c r="V909" s="827"/>
      <c r="W909" s="827"/>
      <c r="X909" s="827"/>
      <c r="Y909" s="827"/>
      <c r="Z909" s="827"/>
      <c r="AA909" s="827"/>
      <c r="AB909" s="827"/>
      <c r="AC909" s="852"/>
      <c r="AD909" s="827"/>
      <c r="AE909" s="827"/>
      <c r="AF909" s="827"/>
      <c r="AG909" s="827"/>
      <c r="AH909" s="827"/>
      <c r="AI909" s="827"/>
      <c r="AJ909" s="827"/>
      <c r="EB909" s="846"/>
    </row>
    <row r="910" spans="5:132" ht="18" x14ac:dyDescent="0.25">
      <c r="E910" s="826"/>
      <c r="H910" s="849">
        <v>413</v>
      </c>
      <c r="I910" s="850"/>
      <c r="J910" s="827"/>
      <c r="K910" s="827"/>
      <c r="L910" s="827"/>
      <c r="M910" s="851"/>
      <c r="N910" s="827"/>
      <c r="O910" s="827"/>
      <c r="P910" s="827"/>
      <c r="Q910" s="827"/>
      <c r="R910" s="827"/>
      <c r="S910" s="827"/>
      <c r="T910" s="827"/>
      <c r="U910" s="827"/>
      <c r="V910" s="827"/>
      <c r="W910" s="827"/>
      <c r="X910" s="827"/>
      <c r="Y910" s="827"/>
      <c r="Z910" s="827"/>
      <c r="AA910" s="827"/>
      <c r="AB910" s="827"/>
      <c r="AC910" s="852"/>
      <c r="AD910" s="827"/>
      <c r="AE910" s="827"/>
      <c r="AF910" s="827"/>
      <c r="AG910" s="827"/>
      <c r="AH910" s="827"/>
      <c r="AI910" s="827"/>
      <c r="AJ910" s="827"/>
      <c r="EB910" s="846"/>
    </row>
    <row r="911" spans="5:132" ht="18" x14ac:dyDescent="0.25">
      <c r="E911" s="826"/>
      <c r="H911" s="849">
        <v>414</v>
      </c>
      <c r="I911" s="850"/>
      <c r="J911" s="827"/>
      <c r="K911" s="827"/>
      <c r="L911" s="827"/>
      <c r="M911" s="851"/>
      <c r="N911" s="827"/>
      <c r="O911" s="827"/>
      <c r="P911" s="827"/>
      <c r="Q911" s="827"/>
      <c r="R911" s="827"/>
      <c r="S911" s="827"/>
      <c r="T911" s="827"/>
      <c r="U911" s="827"/>
      <c r="V911" s="827"/>
      <c r="W911" s="827"/>
      <c r="X911" s="827"/>
      <c r="Y911" s="827"/>
      <c r="Z911" s="827"/>
      <c r="AA911" s="827"/>
      <c r="AB911" s="827"/>
      <c r="AC911" s="852"/>
      <c r="AD911" s="827"/>
      <c r="AE911" s="827"/>
      <c r="AF911" s="827"/>
      <c r="AG911" s="827"/>
      <c r="AH911" s="827"/>
      <c r="AI911" s="827"/>
      <c r="AJ911" s="827"/>
      <c r="EB911" s="846"/>
    </row>
    <row r="912" spans="5:132" ht="18" x14ac:dyDescent="0.25">
      <c r="E912" s="826"/>
      <c r="H912" s="849">
        <v>415</v>
      </c>
      <c r="I912" s="850"/>
      <c r="J912" s="827"/>
      <c r="K912" s="827"/>
      <c r="L912" s="827"/>
      <c r="M912" s="851"/>
      <c r="N912" s="827"/>
      <c r="O912" s="827"/>
      <c r="P912" s="827"/>
      <c r="Q912" s="827"/>
      <c r="R912" s="827"/>
      <c r="S912" s="827"/>
      <c r="T912" s="827"/>
      <c r="U912" s="827"/>
      <c r="V912" s="827"/>
      <c r="W912" s="827"/>
      <c r="X912" s="827"/>
      <c r="Y912" s="827"/>
      <c r="Z912" s="827"/>
      <c r="AA912" s="827"/>
      <c r="AB912" s="827"/>
      <c r="AC912" s="852"/>
      <c r="AD912" s="827"/>
      <c r="AE912" s="827"/>
      <c r="AF912" s="827"/>
      <c r="AG912" s="827"/>
      <c r="AH912" s="827"/>
      <c r="AI912" s="827"/>
      <c r="AJ912" s="827"/>
      <c r="EB912" s="846"/>
    </row>
    <row r="913" spans="5:132" ht="18" x14ac:dyDescent="0.25">
      <c r="E913" s="826"/>
      <c r="H913" s="849">
        <v>416</v>
      </c>
      <c r="I913" s="850"/>
      <c r="J913" s="827"/>
      <c r="K913" s="827"/>
      <c r="L913" s="827"/>
      <c r="M913" s="851"/>
      <c r="N913" s="827"/>
      <c r="O913" s="827"/>
      <c r="P913" s="827"/>
      <c r="Q913" s="827"/>
      <c r="R913" s="827"/>
      <c r="S913" s="827"/>
      <c r="T913" s="827"/>
      <c r="U913" s="827"/>
      <c r="V913" s="827"/>
      <c r="W913" s="827"/>
      <c r="X913" s="827"/>
      <c r="Y913" s="827"/>
      <c r="Z913" s="827"/>
      <c r="AA913" s="827"/>
      <c r="AB913" s="827"/>
      <c r="AC913" s="852"/>
      <c r="AD913" s="827"/>
      <c r="AE913" s="827"/>
      <c r="AF913" s="827"/>
      <c r="AG913" s="827"/>
      <c r="AH913" s="827"/>
      <c r="AI913" s="827"/>
      <c r="AJ913" s="827"/>
      <c r="EB913" s="846"/>
    </row>
    <row r="914" spans="5:132" ht="18" x14ac:dyDescent="0.25">
      <c r="E914" s="826"/>
      <c r="H914" s="849">
        <v>417</v>
      </c>
      <c r="I914" s="850"/>
      <c r="J914" s="827"/>
      <c r="K914" s="827"/>
      <c r="L914" s="827"/>
      <c r="M914" s="851"/>
      <c r="N914" s="827"/>
      <c r="O914" s="827"/>
      <c r="P914" s="827"/>
      <c r="Q914" s="827"/>
      <c r="R914" s="827"/>
      <c r="S914" s="827"/>
      <c r="T914" s="827"/>
      <c r="U914" s="827"/>
      <c r="V914" s="827"/>
      <c r="W914" s="827"/>
      <c r="X914" s="827"/>
      <c r="Y914" s="827"/>
      <c r="Z914" s="827"/>
      <c r="AA914" s="827"/>
      <c r="AB914" s="827"/>
      <c r="AC914" s="852"/>
      <c r="AD914" s="827"/>
      <c r="AE914" s="827"/>
      <c r="AF914" s="827"/>
      <c r="AG914" s="827"/>
      <c r="AH914" s="827"/>
      <c r="AI914" s="827"/>
      <c r="AJ914" s="827"/>
      <c r="EB914" s="846"/>
    </row>
    <row r="915" spans="5:132" ht="18" x14ac:dyDescent="0.25">
      <c r="E915" s="826"/>
      <c r="H915" s="849">
        <v>418</v>
      </c>
      <c r="I915" s="850"/>
      <c r="J915" s="827"/>
      <c r="K915" s="827"/>
      <c r="L915" s="827"/>
      <c r="M915" s="851"/>
      <c r="N915" s="827"/>
      <c r="O915" s="827"/>
      <c r="P915" s="827"/>
      <c r="Q915" s="827"/>
      <c r="R915" s="827"/>
      <c r="S915" s="827"/>
      <c r="T915" s="827"/>
      <c r="U915" s="827"/>
      <c r="V915" s="827"/>
      <c r="W915" s="827"/>
      <c r="X915" s="827"/>
      <c r="Y915" s="827"/>
      <c r="Z915" s="827"/>
      <c r="AA915" s="827"/>
      <c r="AB915" s="827"/>
      <c r="AC915" s="852"/>
      <c r="AD915" s="827"/>
      <c r="AE915" s="827"/>
      <c r="AF915" s="827"/>
      <c r="AG915" s="827"/>
      <c r="AH915" s="827"/>
      <c r="AI915" s="827"/>
      <c r="AJ915" s="827"/>
      <c r="EB915" s="846"/>
    </row>
    <row r="916" spans="5:132" ht="18" x14ac:dyDescent="0.25">
      <c r="E916" s="826"/>
      <c r="H916" s="849">
        <v>419</v>
      </c>
      <c r="I916" s="850"/>
      <c r="J916" s="827"/>
      <c r="K916" s="827"/>
      <c r="L916" s="827"/>
      <c r="M916" s="851"/>
      <c r="N916" s="827"/>
      <c r="O916" s="827"/>
      <c r="P916" s="827"/>
      <c r="Q916" s="827"/>
      <c r="R916" s="827"/>
      <c r="S916" s="827"/>
      <c r="T916" s="827"/>
      <c r="U916" s="827"/>
      <c r="V916" s="827"/>
      <c r="W916" s="827"/>
      <c r="X916" s="827"/>
      <c r="Y916" s="827"/>
      <c r="Z916" s="827"/>
      <c r="AA916" s="827"/>
      <c r="AB916" s="827"/>
      <c r="AC916" s="852"/>
      <c r="AD916" s="827"/>
      <c r="AE916" s="827"/>
      <c r="AF916" s="827"/>
      <c r="AG916" s="827"/>
      <c r="AH916" s="827"/>
      <c r="AI916" s="827"/>
      <c r="AJ916" s="827"/>
      <c r="EB916" s="846"/>
    </row>
    <row r="917" spans="5:132" ht="18" x14ac:dyDescent="0.25">
      <c r="E917" s="826"/>
      <c r="H917" s="849">
        <v>420</v>
      </c>
      <c r="I917" s="850"/>
      <c r="J917" s="827"/>
      <c r="K917" s="827"/>
      <c r="L917" s="827"/>
      <c r="M917" s="851"/>
      <c r="N917" s="827"/>
      <c r="O917" s="827"/>
      <c r="P917" s="827"/>
      <c r="Q917" s="827"/>
      <c r="R917" s="827"/>
      <c r="S917" s="827"/>
      <c r="T917" s="827"/>
      <c r="U917" s="827"/>
      <c r="V917" s="827"/>
      <c r="W917" s="827"/>
      <c r="X917" s="827"/>
      <c r="Y917" s="827"/>
      <c r="Z917" s="827"/>
      <c r="AA917" s="827"/>
      <c r="AB917" s="827"/>
      <c r="AC917" s="852"/>
      <c r="AD917" s="827"/>
      <c r="AE917" s="827"/>
      <c r="AF917" s="827"/>
      <c r="AG917" s="827"/>
      <c r="AH917" s="827"/>
      <c r="AI917" s="827"/>
      <c r="AJ917" s="827"/>
      <c r="EB917" s="846"/>
    </row>
    <row r="918" spans="5:132" ht="18" x14ac:dyDescent="0.25">
      <c r="E918" s="826"/>
      <c r="H918" s="849">
        <v>421</v>
      </c>
      <c r="I918" s="850"/>
      <c r="J918" s="827"/>
      <c r="K918" s="827"/>
      <c r="L918" s="827"/>
      <c r="M918" s="851"/>
      <c r="N918" s="827"/>
      <c r="O918" s="827"/>
      <c r="P918" s="827"/>
      <c r="Q918" s="827"/>
      <c r="R918" s="827"/>
      <c r="S918" s="827"/>
      <c r="T918" s="827"/>
      <c r="U918" s="827"/>
      <c r="V918" s="827"/>
      <c r="W918" s="827"/>
      <c r="X918" s="827"/>
      <c r="Y918" s="827"/>
      <c r="Z918" s="827"/>
      <c r="AA918" s="827"/>
      <c r="AB918" s="827"/>
      <c r="AC918" s="852"/>
      <c r="AD918" s="827"/>
      <c r="AE918" s="827"/>
      <c r="AF918" s="827"/>
      <c r="AG918" s="827"/>
      <c r="AH918" s="827"/>
      <c r="AI918" s="827"/>
      <c r="AJ918" s="827"/>
      <c r="EB918" s="846"/>
    </row>
    <row r="919" spans="5:132" ht="18" x14ac:dyDescent="0.25">
      <c r="E919" s="826"/>
      <c r="H919" s="849">
        <v>423</v>
      </c>
      <c r="I919" s="850"/>
      <c r="J919" s="827"/>
      <c r="K919" s="827"/>
      <c r="L919" s="827"/>
      <c r="M919" s="851"/>
      <c r="N919" s="827"/>
      <c r="O919" s="827"/>
      <c r="P919" s="827"/>
      <c r="Q919" s="827"/>
      <c r="R919" s="827"/>
      <c r="S919" s="827"/>
      <c r="T919" s="827"/>
      <c r="U919" s="827"/>
      <c r="V919" s="827"/>
      <c r="W919" s="827"/>
      <c r="X919" s="827"/>
      <c r="Y919" s="827"/>
      <c r="Z919" s="827"/>
      <c r="AA919" s="827"/>
      <c r="AB919" s="827"/>
      <c r="AC919" s="852"/>
      <c r="AD919" s="827"/>
      <c r="AE919" s="827"/>
      <c r="AF919" s="827"/>
      <c r="AG919" s="827"/>
      <c r="AH919" s="827"/>
      <c r="AI919" s="827"/>
      <c r="AJ919" s="827"/>
      <c r="EB919" s="846"/>
    </row>
    <row r="920" spans="5:132" ht="18" x14ac:dyDescent="0.25">
      <c r="E920" s="826"/>
      <c r="H920" s="849">
        <v>424</v>
      </c>
      <c r="I920" s="850"/>
      <c r="J920" s="827"/>
      <c r="K920" s="827"/>
      <c r="L920" s="827"/>
      <c r="M920" s="851"/>
      <c r="N920" s="827"/>
      <c r="O920" s="827"/>
      <c r="P920" s="827"/>
      <c r="Q920" s="827"/>
      <c r="R920" s="827"/>
      <c r="S920" s="827"/>
      <c r="T920" s="827"/>
      <c r="U920" s="827"/>
      <c r="V920" s="827"/>
      <c r="W920" s="827"/>
      <c r="X920" s="827"/>
      <c r="Y920" s="827"/>
      <c r="Z920" s="827"/>
      <c r="AA920" s="827"/>
      <c r="AB920" s="827"/>
      <c r="AC920" s="852"/>
      <c r="AD920" s="827"/>
      <c r="AE920" s="827"/>
      <c r="AF920" s="827"/>
      <c r="AG920" s="827"/>
      <c r="AH920" s="827"/>
      <c r="AI920" s="827"/>
      <c r="AJ920" s="827"/>
      <c r="EB920" s="846"/>
    </row>
    <row r="921" spans="5:132" ht="18" x14ac:dyDescent="0.25">
      <c r="E921" s="826"/>
      <c r="H921" s="849">
        <v>425</v>
      </c>
      <c r="I921" s="850"/>
      <c r="J921" s="827"/>
      <c r="K921" s="827"/>
      <c r="L921" s="827"/>
      <c r="M921" s="851"/>
      <c r="N921" s="827"/>
      <c r="O921" s="827"/>
      <c r="P921" s="827"/>
      <c r="Q921" s="827"/>
      <c r="R921" s="827"/>
      <c r="S921" s="827"/>
      <c r="T921" s="827"/>
      <c r="U921" s="827"/>
      <c r="V921" s="827"/>
      <c r="W921" s="827"/>
      <c r="X921" s="827"/>
      <c r="Y921" s="827"/>
      <c r="Z921" s="827"/>
      <c r="AA921" s="827"/>
      <c r="AB921" s="827"/>
      <c r="AC921" s="852"/>
      <c r="AD921" s="827"/>
      <c r="AE921" s="827"/>
      <c r="AF921" s="827"/>
      <c r="AG921" s="827"/>
      <c r="AH921" s="827"/>
      <c r="AI921" s="827"/>
      <c r="AJ921" s="827"/>
      <c r="EB921" s="846"/>
    </row>
    <row r="922" spans="5:132" ht="18" x14ac:dyDescent="0.25">
      <c r="E922" s="826"/>
      <c r="H922" s="849">
        <v>426</v>
      </c>
      <c r="I922" s="850"/>
      <c r="J922" s="827"/>
      <c r="K922" s="827"/>
      <c r="L922" s="827"/>
      <c r="M922" s="851"/>
      <c r="N922" s="827"/>
      <c r="O922" s="827"/>
      <c r="P922" s="827"/>
      <c r="Q922" s="827"/>
      <c r="R922" s="827"/>
      <c r="S922" s="827"/>
      <c r="T922" s="827"/>
      <c r="U922" s="827"/>
      <c r="V922" s="827"/>
      <c r="W922" s="827"/>
      <c r="X922" s="827"/>
      <c r="Y922" s="827"/>
      <c r="Z922" s="827"/>
      <c r="AA922" s="827"/>
      <c r="AB922" s="827"/>
      <c r="AC922" s="852"/>
      <c r="AD922" s="827"/>
      <c r="AE922" s="827"/>
      <c r="AF922" s="827"/>
      <c r="AG922" s="827"/>
      <c r="AH922" s="827"/>
      <c r="AI922" s="827"/>
      <c r="AJ922" s="827"/>
      <c r="EB922" s="846"/>
    </row>
    <row r="923" spans="5:132" ht="18" x14ac:dyDescent="0.25">
      <c r="E923" s="826"/>
      <c r="H923" s="849">
        <v>427</v>
      </c>
      <c r="I923" s="850"/>
      <c r="J923" s="827"/>
      <c r="K923" s="827"/>
      <c r="L923" s="827"/>
      <c r="M923" s="851"/>
      <c r="N923" s="827"/>
      <c r="O923" s="827"/>
      <c r="P923" s="827"/>
      <c r="Q923" s="827"/>
      <c r="R923" s="827"/>
      <c r="S923" s="827"/>
      <c r="T923" s="827"/>
      <c r="U923" s="827"/>
      <c r="V923" s="827"/>
      <c r="W923" s="827"/>
      <c r="X923" s="827"/>
      <c r="Y923" s="827"/>
      <c r="Z923" s="827"/>
      <c r="AA923" s="827"/>
      <c r="AB923" s="827"/>
      <c r="AC923" s="852"/>
      <c r="AD923" s="827"/>
      <c r="AE923" s="827"/>
      <c r="AF923" s="827"/>
      <c r="AG923" s="827"/>
      <c r="AH923" s="827"/>
      <c r="AI923" s="827"/>
      <c r="AJ923" s="827"/>
      <c r="EB923" s="846"/>
    </row>
    <row r="924" spans="5:132" ht="18" x14ac:dyDescent="0.25">
      <c r="E924" s="826"/>
      <c r="H924" s="849">
        <v>428</v>
      </c>
      <c r="I924" s="850"/>
      <c r="J924" s="827"/>
      <c r="K924" s="827"/>
      <c r="L924" s="827"/>
      <c r="M924" s="851"/>
      <c r="N924" s="827"/>
      <c r="O924" s="827"/>
      <c r="P924" s="827"/>
      <c r="Q924" s="827"/>
      <c r="R924" s="827"/>
      <c r="S924" s="827"/>
      <c r="T924" s="827"/>
      <c r="U924" s="827"/>
      <c r="V924" s="827"/>
      <c r="W924" s="827"/>
      <c r="X924" s="827"/>
      <c r="Y924" s="827"/>
      <c r="Z924" s="827"/>
      <c r="AA924" s="827"/>
      <c r="AB924" s="827"/>
      <c r="AC924" s="852"/>
      <c r="AD924" s="827"/>
      <c r="AE924" s="827"/>
      <c r="AF924" s="827"/>
      <c r="AG924" s="827"/>
      <c r="AH924" s="827"/>
      <c r="AI924" s="827"/>
      <c r="AJ924" s="827"/>
      <c r="EB924" s="846"/>
    </row>
    <row r="925" spans="5:132" ht="18" x14ac:dyDescent="0.25">
      <c r="E925" s="826"/>
      <c r="H925" s="849">
        <v>429</v>
      </c>
      <c r="I925" s="850"/>
      <c r="J925" s="827"/>
      <c r="K925" s="827"/>
      <c r="L925" s="827"/>
      <c r="M925" s="851"/>
      <c r="N925" s="827"/>
      <c r="O925" s="827"/>
      <c r="P925" s="827"/>
      <c r="Q925" s="827"/>
      <c r="R925" s="827"/>
      <c r="S925" s="827"/>
      <c r="T925" s="827"/>
      <c r="U925" s="827"/>
      <c r="V925" s="827"/>
      <c r="W925" s="827"/>
      <c r="X925" s="827"/>
      <c r="Y925" s="827"/>
      <c r="Z925" s="827"/>
      <c r="AA925" s="827"/>
      <c r="AB925" s="827"/>
      <c r="AC925" s="852"/>
      <c r="AD925" s="827"/>
      <c r="AE925" s="827"/>
      <c r="AF925" s="827"/>
      <c r="AG925" s="827"/>
      <c r="AH925" s="827"/>
      <c r="AI925" s="827"/>
      <c r="AJ925" s="827"/>
      <c r="EB925" s="846"/>
    </row>
    <row r="926" spans="5:132" ht="18" x14ac:dyDescent="0.25">
      <c r="E926" s="826"/>
      <c r="H926" s="849">
        <v>430</v>
      </c>
      <c r="I926" s="850"/>
      <c r="J926" s="827"/>
      <c r="K926" s="827"/>
      <c r="L926" s="827"/>
      <c r="M926" s="851"/>
      <c r="N926" s="827"/>
      <c r="O926" s="827"/>
      <c r="P926" s="827"/>
      <c r="Q926" s="827"/>
      <c r="R926" s="827"/>
      <c r="S926" s="827"/>
      <c r="T926" s="827"/>
      <c r="U926" s="827"/>
      <c r="V926" s="827"/>
      <c r="W926" s="827"/>
      <c r="X926" s="827"/>
      <c r="Y926" s="827"/>
      <c r="Z926" s="827"/>
      <c r="AA926" s="827"/>
      <c r="AB926" s="827"/>
      <c r="AC926" s="852"/>
      <c r="AD926" s="827"/>
      <c r="AE926" s="827"/>
      <c r="AF926" s="827"/>
      <c r="AG926" s="827"/>
      <c r="AH926" s="827"/>
      <c r="AI926" s="827"/>
      <c r="AJ926" s="827"/>
      <c r="EB926" s="846"/>
    </row>
    <row r="927" spans="5:132" ht="18" x14ac:dyDescent="0.25">
      <c r="E927" s="826"/>
      <c r="H927" s="849">
        <v>431</v>
      </c>
      <c r="I927" s="850"/>
      <c r="J927" s="827"/>
      <c r="K927" s="827"/>
      <c r="L927" s="827"/>
      <c r="M927" s="851"/>
      <c r="N927" s="827"/>
      <c r="O927" s="827"/>
      <c r="P927" s="827"/>
      <c r="Q927" s="827"/>
      <c r="R927" s="827"/>
      <c r="S927" s="827"/>
      <c r="T927" s="827"/>
      <c r="U927" s="827"/>
      <c r="V927" s="827"/>
      <c r="W927" s="827"/>
      <c r="X927" s="827"/>
      <c r="Y927" s="827"/>
      <c r="Z927" s="827"/>
      <c r="AA927" s="827"/>
      <c r="AB927" s="827"/>
      <c r="AC927" s="852"/>
      <c r="AD927" s="827"/>
      <c r="AE927" s="827"/>
      <c r="AF927" s="827"/>
      <c r="AG927" s="827"/>
      <c r="AH927" s="827"/>
      <c r="AI927" s="827"/>
      <c r="AJ927" s="827"/>
      <c r="EB927" s="846"/>
    </row>
    <row r="928" spans="5:132" ht="18" x14ac:dyDescent="0.25">
      <c r="E928" s="826"/>
      <c r="H928" s="849">
        <v>432</v>
      </c>
      <c r="I928" s="850"/>
      <c r="J928" s="827"/>
      <c r="K928" s="827"/>
      <c r="L928" s="827"/>
      <c r="M928" s="851"/>
      <c r="N928" s="827"/>
      <c r="O928" s="827"/>
      <c r="P928" s="827"/>
      <c r="Q928" s="827"/>
      <c r="R928" s="827"/>
      <c r="S928" s="827"/>
      <c r="T928" s="827"/>
      <c r="U928" s="827"/>
      <c r="V928" s="827"/>
      <c r="W928" s="827"/>
      <c r="X928" s="827"/>
      <c r="Y928" s="827"/>
      <c r="Z928" s="827"/>
      <c r="AA928" s="827"/>
      <c r="AB928" s="827"/>
      <c r="AC928" s="852"/>
      <c r="AD928" s="827"/>
      <c r="AE928" s="827"/>
      <c r="AF928" s="827"/>
      <c r="AG928" s="827"/>
      <c r="AH928" s="827"/>
      <c r="AI928" s="827"/>
      <c r="AJ928" s="827"/>
      <c r="EB928" s="846"/>
    </row>
    <row r="929" spans="5:132" ht="18" x14ac:dyDescent="0.25">
      <c r="E929" s="826"/>
      <c r="H929" s="849">
        <v>433</v>
      </c>
      <c r="I929" s="850"/>
      <c r="J929" s="827"/>
      <c r="K929" s="827"/>
      <c r="L929" s="827"/>
      <c r="M929" s="851"/>
      <c r="N929" s="827"/>
      <c r="O929" s="827"/>
      <c r="P929" s="827"/>
      <c r="Q929" s="827"/>
      <c r="R929" s="827"/>
      <c r="S929" s="827"/>
      <c r="T929" s="827"/>
      <c r="U929" s="827"/>
      <c r="V929" s="827"/>
      <c r="W929" s="827"/>
      <c r="X929" s="827"/>
      <c r="Y929" s="827"/>
      <c r="Z929" s="827"/>
      <c r="AA929" s="827"/>
      <c r="AB929" s="827"/>
      <c r="AC929" s="852"/>
      <c r="AD929" s="827"/>
      <c r="AE929" s="827"/>
      <c r="AF929" s="827"/>
      <c r="AG929" s="827"/>
      <c r="AH929" s="827"/>
      <c r="AI929" s="827"/>
      <c r="AJ929" s="827"/>
      <c r="EB929" s="846"/>
    </row>
    <row r="930" spans="5:132" ht="18" x14ac:dyDescent="0.25">
      <c r="E930" s="826"/>
      <c r="H930" s="849">
        <v>435</v>
      </c>
      <c r="I930" s="850"/>
      <c r="J930" s="827"/>
      <c r="K930" s="827"/>
      <c r="L930" s="827"/>
      <c r="M930" s="851"/>
      <c r="N930" s="827"/>
      <c r="O930" s="827"/>
      <c r="P930" s="827"/>
      <c r="Q930" s="827"/>
      <c r="R930" s="827"/>
      <c r="S930" s="827"/>
      <c r="T930" s="827"/>
      <c r="U930" s="827"/>
      <c r="V930" s="827"/>
      <c r="W930" s="827"/>
      <c r="X930" s="827"/>
      <c r="Y930" s="827"/>
      <c r="Z930" s="827"/>
      <c r="AA930" s="827"/>
      <c r="AB930" s="827"/>
      <c r="AC930" s="852"/>
      <c r="AD930" s="827"/>
      <c r="AE930" s="827"/>
      <c r="AF930" s="827"/>
      <c r="AG930" s="827"/>
      <c r="AH930" s="827"/>
      <c r="AI930" s="827"/>
      <c r="AJ930" s="827"/>
      <c r="EB930" s="846"/>
    </row>
    <row r="931" spans="5:132" ht="18" x14ac:dyDescent="0.25">
      <c r="E931" s="826"/>
      <c r="H931" s="849">
        <v>436</v>
      </c>
      <c r="I931" s="850"/>
      <c r="J931" s="827"/>
      <c r="K931" s="827"/>
      <c r="L931" s="827"/>
      <c r="M931" s="851"/>
      <c r="N931" s="827"/>
      <c r="O931" s="827"/>
      <c r="P931" s="827"/>
      <c r="Q931" s="827"/>
      <c r="R931" s="827"/>
      <c r="S931" s="827"/>
      <c r="T931" s="827"/>
      <c r="U931" s="827"/>
      <c r="V931" s="827"/>
      <c r="W931" s="827"/>
      <c r="X931" s="827"/>
      <c r="Y931" s="827"/>
      <c r="Z931" s="827"/>
      <c r="AA931" s="827"/>
      <c r="AB931" s="827"/>
      <c r="AC931" s="852"/>
      <c r="AD931" s="827"/>
      <c r="AE931" s="827"/>
      <c r="AF931" s="827"/>
      <c r="AG931" s="827"/>
      <c r="AH931" s="827"/>
      <c r="AI931" s="827"/>
      <c r="AJ931" s="827"/>
      <c r="EB931" s="846"/>
    </row>
    <row r="932" spans="5:132" ht="18" x14ac:dyDescent="0.25">
      <c r="E932" s="826"/>
      <c r="H932" s="849">
        <v>437</v>
      </c>
      <c r="I932" s="850"/>
      <c r="J932" s="827"/>
      <c r="K932" s="827"/>
      <c r="L932" s="827"/>
      <c r="M932" s="851"/>
      <c r="N932" s="827"/>
      <c r="O932" s="827"/>
      <c r="P932" s="827"/>
      <c r="Q932" s="827"/>
      <c r="R932" s="827"/>
      <c r="S932" s="827"/>
      <c r="T932" s="827"/>
      <c r="U932" s="827"/>
      <c r="V932" s="827"/>
      <c r="W932" s="827"/>
      <c r="X932" s="827"/>
      <c r="Y932" s="827"/>
      <c r="Z932" s="827"/>
      <c r="AA932" s="827"/>
      <c r="AB932" s="827"/>
      <c r="AC932" s="852"/>
      <c r="AD932" s="827"/>
      <c r="AE932" s="827"/>
      <c r="AF932" s="827"/>
      <c r="AG932" s="827"/>
      <c r="AH932" s="827"/>
      <c r="AI932" s="827"/>
      <c r="AJ932" s="827"/>
      <c r="EB932" s="846"/>
    </row>
    <row r="933" spans="5:132" ht="18" x14ac:dyDescent="0.25">
      <c r="E933" s="826"/>
      <c r="H933" s="849">
        <v>438</v>
      </c>
      <c r="I933" s="850"/>
      <c r="J933" s="827"/>
      <c r="K933" s="827"/>
      <c r="L933" s="827"/>
      <c r="M933" s="851"/>
      <c r="N933" s="827"/>
      <c r="O933" s="827"/>
      <c r="P933" s="827"/>
      <c r="Q933" s="827"/>
      <c r="R933" s="827"/>
      <c r="S933" s="827"/>
      <c r="T933" s="827"/>
      <c r="U933" s="827"/>
      <c r="V933" s="827"/>
      <c r="W933" s="827"/>
      <c r="X933" s="827"/>
      <c r="Y933" s="827"/>
      <c r="Z933" s="827"/>
      <c r="AA933" s="827"/>
      <c r="AB933" s="827"/>
      <c r="AC933" s="852"/>
      <c r="AD933" s="827"/>
      <c r="AE933" s="827"/>
      <c r="AF933" s="827"/>
      <c r="AG933" s="827"/>
      <c r="AH933" s="827"/>
      <c r="AI933" s="827"/>
      <c r="AJ933" s="827"/>
      <c r="EB933" s="846"/>
    </row>
    <row r="934" spans="5:132" ht="18" x14ac:dyDescent="0.25">
      <c r="E934" s="826"/>
      <c r="H934" s="849">
        <v>439</v>
      </c>
      <c r="I934" s="850"/>
      <c r="J934" s="827"/>
      <c r="K934" s="827"/>
      <c r="L934" s="827"/>
      <c r="M934" s="851"/>
      <c r="N934" s="827"/>
      <c r="O934" s="827"/>
      <c r="P934" s="827"/>
      <c r="Q934" s="827"/>
      <c r="R934" s="827"/>
      <c r="S934" s="827"/>
      <c r="T934" s="827"/>
      <c r="U934" s="827"/>
      <c r="V934" s="827"/>
      <c r="W934" s="827"/>
      <c r="X934" s="827"/>
      <c r="Y934" s="827"/>
      <c r="Z934" s="827"/>
      <c r="AA934" s="827"/>
      <c r="AB934" s="827"/>
      <c r="AC934" s="852"/>
      <c r="AD934" s="827"/>
      <c r="AE934" s="827"/>
      <c r="AF934" s="827"/>
      <c r="AG934" s="827"/>
      <c r="AH934" s="827"/>
      <c r="AI934" s="827"/>
      <c r="AJ934" s="827"/>
      <c r="EB934" s="846"/>
    </row>
    <row r="935" spans="5:132" ht="18" x14ac:dyDescent="0.25">
      <c r="E935" s="826"/>
      <c r="H935" s="849">
        <v>443</v>
      </c>
      <c r="I935" s="850"/>
      <c r="J935" s="827"/>
      <c r="K935" s="827"/>
      <c r="L935" s="827"/>
      <c r="M935" s="851"/>
      <c r="N935" s="827"/>
      <c r="O935" s="827"/>
      <c r="P935" s="827"/>
      <c r="Q935" s="827"/>
      <c r="R935" s="827"/>
      <c r="S935" s="827"/>
      <c r="T935" s="827"/>
      <c r="U935" s="827"/>
      <c r="V935" s="827"/>
      <c r="W935" s="827"/>
      <c r="X935" s="827"/>
      <c r="Y935" s="827"/>
      <c r="Z935" s="827"/>
      <c r="AA935" s="827"/>
      <c r="AB935" s="827"/>
      <c r="AC935" s="852"/>
      <c r="AD935" s="827"/>
      <c r="AE935" s="827"/>
      <c r="AF935" s="827"/>
      <c r="AG935" s="827"/>
      <c r="AH935" s="827"/>
      <c r="AI935" s="827"/>
      <c r="AJ935" s="827"/>
      <c r="EB935" s="846"/>
    </row>
    <row r="936" spans="5:132" ht="18" x14ac:dyDescent="0.25">
      <c r="E936" s="826"/>
      <c r="H936" s="849">
        <v>444</v>
      </c>
      <c r="I936" s="850"/>
      <c r="J936" s="827"/>
      <c r="K936" s="827"/>
      <c r="L936" s="827"/>
      <c r="M936" s="851"/>
      <c r="N936" s="827"/>
      <c r="O936" s="827"/>
      <c r="P936" s="827"/>
      <c r="Q936" s="827"/>
      <c r="R936" s="827"/>
      <c r="S936" s="827"/>
      <c r="T936" s="827"/>
      <c r="U936" s="827"/>
      <c r="V936" s="827"/>
      <c r="W936" s="827"/>
      <c r="X936" s="827"/>
      <c r="Y936" s="827"/>
      <c r="Z936" s="827"/>
      <c r="AA936" s="827"/>
      <c r="AB936" s="827"/>
      <c r="AC936" s="852"/>
      <c r="AD936" s="827"/>
      <c r="AE936" s="827"/>
      <c r="AF936" s="827"/>
      <c r="AG936" s="827"/>
      <c r="AH936" s="827"/>
      <c r="AI936" s="827"/>
      <c r="AJ936" s="827"/>
      <c r="EB936" s="846"/>
    </row>
    <row r="937" spans="5:132" ht="18" x14ac:dyDescent="0.25">
      <c r="E937" s="826"/>
      <c r="H937" s="849">
        <v>445</v>
      </c>
      <c r="I937" s="850"/>
      <c r="J937" s="827"/>
      <c r="K937" s="827"/>
      <c r="L937" s="827"/>
      <c r="M937" s="851"/>
      <c r="N937" s="827"/>
      <c r="O937" s="827"/>
      <c r="P937" s="827"/>
      <c r="Q937" s="827"/>
      <c r="R937" s="827"/>
      <c r="S937" s="827"/>
      <c r="T937" s="827"/>
      <c r="U937" s="827"/>
      <c r="V937" s="827"/>
      <c r="W937" s="827"/>
      <c r="X937" s="827"/>
      <c r="Y937" s="827"/>
      <c r="Z937" s="827"/>
      <c r="AA937" s="827"/>
      <c r="AB937" s="827"/>
      <c r="AC937" s="852"/>
      <c r="AD937" s="827"/>
      <c r="AE937" s="827"/>
      <c r="AF937" s="827"/>
      <c r="AG937" s="827"/>
      <c r="AH937" s="827"/>
      <c r="AI937" s="827"/>
      <c r="AJ937" s="827"/>
      <c r="EB937" s="846"/>
    </row>
    <row r="938" spans="5:132" ht="18" x14ac:dyDescent="0.25">
      <c r="E938" s="826"/>
      <c r="H938" s="849">
        <v>446</v>
      </c>
      <c r="I938" s="850"/>
      <c r="J938" s="827"/>
      <c r="K938" s="827"/>
      <c r="L938" s="827"/>
      <c r="M938" s="851"/>
      <c r="N938" s="827"/>
      <c r="O938" s="827"/>
      <c r="P938" s="827"/>
      <c r="Q938" s="827"/>
      <c r="R938" s="827"/>
      <c r="S938" s="827"/>
      <c r="T938" s="827"/>
      <c r="U938" s="827"/>
      <c r="V938" s="827"/>
      <c r="W938" s="827"/>
      <c r="X938" s="827"/>
      <c r="Y938" s="827"/>
      <c r="Z938" s="827"/>
      <c r="AA938" s="827"/>
      <c r="AB938" s="827"/>
      <c r="AC938" s="852"/>
      <c r="AD938" s="827"/>
      <c r="AE938" s="827"/>
      <c r="AF938" s="827"/>
      <c r="AG938" s="827"/>
      <c r="AH938" s="827"/>
      <c r="AI938" s="827"/>
      <c r="AJ938" s="827"/>
      <c r="EB938" s="846"/>
    </row>
    <row r="939" spans="5:132" ht="18" x14ac:dyDescent="0.25">
      <c r="E939" s="826"/>
      <c r="H939" s="849">
        <v>447</v>
      </c>
      <c r="I939" s="850"/>
      <c r="J939" s="827"/>
      <c r="K939" s="827"/>
      <c r="L939" s="827"/>
      <c r="M939" s="851"/>
      <c r="N939" s="827"/>
      <c r="O939" s="827"/>
      <c r="P939" s="827"/>
      <c r="Q939" s="827"/>
      <c r="R939" s="827"/>
      <c r="S939" s="827"/>
      <c r="T939" s="827"/>
      <c r="U939" s="827"/>
      <c r="V939" s="827"/>
      <c r="W939" s="827"/>
      <c r="X939" s="827"/>
      <c r="Y939" s="827"/>
      <c r="Z939" s="827"/>
      <c r="AA939" s="827"/>
      <c r="AB939" s="827"/>
      <c r="AC939" s="852"/>
      <c r="AD939" s="827"/>
      <c r="AE939" s="827"/>
      <c r="AF939" s="827"/>
      <c r="AG939" s="827"/>
      <c r="AH939" s="827"/>
      <c r="AI939" s="827"/>
      <c r="AJ939" s="827"/>
      <c r="EB939" s="846"/>
    </row>
    <row r="940" spans="5:132" ht="18" x14ac:dyDescent="0.25">
      <c r="E940" s="826"/>
      <c r="H940" s="849">
        <v>448</v>
      </c>
      <c r="I940" s="850"/>
      <c r="J940" s="827"/>
      <c r="K940" s="827"/>
      <c r="L940" s="827"/>
      <c r="M940" s="851"/>
      <c r="N940" s="827"/>
      <c r="O940" s="827"/>
      <c r="P940" s="827"/>
      <c r="Q940" s="827"/>
      <c r="R940" s="827"/>
      <c r="S940" s="827"/>
      <c r="T940" s="827"/>
      <c r="U940" s="827"/>
      <c r="V940" s="827"/>
      <c r="W940" s="827"/>
      <c r="X940" s="827"/>
      <c r="Y940" s="827"/>
      <c r="Z940" s="827"/>
      <c r="AA940" s="827"/>
      <c r="AB940" s="827"/>
      <c r="AC940" s="852"/>
      <c r="AD940" s="827"/>
      <c r="AE940" s="827"/>
      <c r="AF940" s="827"/>
      <c r="AG940" s="827"/>
      <c r="AH940" s="827"/>
      <c r="AI940" s="827"/>
      <c r="AJ940" s="827"/>
      <c r="EB940" s="846"/>
    </row>
    <row r="941" spans="5:132" ht="18" x14ac:dyDescent="0.25">
      <c r="E941" s="826"/>
      <c r="H941" s="849">
        <v>451</v>
      </c>
      <c r="I941" s="850"/>
      <c r="J941" s="827"/>
      <c r="K941" s="827"/>
      <c r="L941" s="827"/>
      <c r="M941" s="851"/>
      <c r="N941" s="827"/>
      <c r="O941" s="827"/>
      <c r="P941" s="827"/>
      <c r="Q941" s="827"/>
      <c r="R941" s="827"/>
      <c r="S941" s="827"/>
      <c r="T941" s="827"/>
      <c r="U941" s="827"/>
      <c r="V941" s="827"/>
      <c r="W941" s="827"/>
      <c r="X941" s="827"/>
      <c r="Y941" s="827"/>
      <c r="Z941" s="827"/>
      <c r="AA941" s="827"/>
      <c r="AB941" s="827"/>
      <c r="AC941" s="852"/>
      <c r="AD941" s="827"/>
      <c r="AE941" s="827"/>
      <c r="AF941" s="827"/>
      <c r="AG941" s="827"/>
      <c r="AH941" s="827"/>
      <c r="AI941" s="827"/>
      <c r="AJ941" s="827"/>
      <c r="EB941" s="846"/>
    </row>
    <row r="942" spans="5:132" ht="18" x14ac:dyDescent="0.25">
      <c r="E942" s="826"/>
      <c r="H942" s="849">
        <v>452</v>
      </c>
      <c r="I942" s="850"/>
      <c r="J942" s="827"/>
      <c r="K942" s="827"/>
      <c r="L942" s="827"/>
      <c r="M942" s="851"/>
      <c r="N942" s="827"/>
      <c r="O942" s="827"/>
      <c r="P942" s="827"/>
      <c r="Q942" s="827"/>
      <c r="R942" s="827"/>
      <c r="S942" s="827"/>
      <c r="T942" s="827"/>
      <c r="U942" s="827"/>
      <c r="V942" s="827"/>
      <c r="W942" s="827"/>
      <c r="X942" s="827"/>
      <c r="Y942" s="827"/>
      <c r="Z942" s="827"/>
      <c r="AA942" s="827"/>
      <c r="AB942" s="827"/>
      <c r="AC942" s="852"/>
      <c r="AD942" s="827"/>
      <c r="AE942" s="827"/>
      <c r="AF942" s="827"/>
      <c r="AG942" s="827"/>
      <c r="AH942" s="827"/>
      <c r="AI942" s="827"/>
      <c r="AJ942" s="827"/>
      <c r="EB942" s="846"/>
    </row>
    <row r="943" spans="5:132" ht="18" x14ac:dyDescent="0.25">
      <c r="E943" s="826"/>
      <c r="H943" s="849">
        <v>453</v>
      </c>
      <c r="I943" s="850"/>
      <c r="J943" s="827"/>
      <c r="K943" s="827"/>
      <c r="L943" s="827"/>
      <c r="M943" s="851"/>
      <c r="N943" s="827"/>
      <c r="O943" s="827"/>
      <c r="P943" s="827"/>
      <c r="Q943" s="827"/>
      <c r="R943" s="827"/>
      <c r="S943" s="827"/>
      <c r="T943" s="827"/>
      <c r="U943" s="827"/>
      <c r="V943" s="827"/>
      <c r="W943" s="827"/>
      <c r="X943" s="827"/>
      <c r="Y943" s="827"/>
      <c r="Z943" s="827"/>
      <c r="AA943" s="827"/>
      <c r="AB943" s="827"/>
      <c r="AC943" s="852"/>
      <c r="AD943" s="827"/>
      <c r="AE943" s="827"/>
      <c r="AF943" s="827"/>
      <c r="AG943" s="827"/>
      <c r="AH943" s="827"/>
      <c r="AI943" s="827"/>
      <c r="AJ943" s="827"/>
      <c r="EB943" s="846"/>
    </row>
    <row r="944" spans="5:132" ht="18" x14ac:dyDescent="0.25">
      <c r="E944" s="826"/>
      <c r="H944" s="849">
        <v>454</v>
      </c>
      <c r="I944" s="850"/>
      <c r="J944" s="827"/>
      <c r="K944" s="827"/>
      <c r="L944" s="827"/>
      <c r="M944" s="851"/>
      <c r="N944" s="827"/>
      <c r="O944" s="827"/>
      <c r="P944" s="827"/>
      <c r="Q944" s="827"/>
      <c r="R944" s="827"/>
      <c r="S944" s="827"/>
      <c r="T944" s="827"/>
      <c r="U944" s="827"/>
      <c r="V944" s="827"/>
      <c r="W944" s="827"/>
      <c r="X944" s="827"/>
      <c r="Y944" s="827"/>
      <c r="Z944" s="827"/>
      <c r="AA944" s="827"/>
      <c r="AB944" s="827"/>
      <c r="AC944" s="852"/>
      <c r="AD944" s="827"/>
      <c r="AE944" s="827"/>
      <c r="AF944" s="827"/>
      <c r="AG944" s="827"/>
      <c r="AH944" s="827"/>
      <c r="AI944" s="827"/>
      <c r="AJ944" s="827"/>
      <c r="EB944" s="846"/>
    </row>
    <row r="945" spans="5:132" ht="18" x14ac:dyDescent="0.25">
      <c r="E945" s="826"/>
      <c r="H945" s="849">
        <v>455</v>
      </c>
      <c r="I945" s="850"/>
      <c r="J945" s="827"/>
      <c r="K945" s="827"/>
      <c r="L945" s="827"/>
      <c r="M945" s="851"/>
      <c r="N945" s="827"/>
      <c r="O945" s="827"/>
      <c r="P945" s="827"/>
      <c r="Q945" s="827"/>
      <c r="R945" s="827"/>
      <c r="S945" s="827"/>
      <c r="T945" s="827"/>
      <c r="U945" s="827"/>
      <c r="V945" s="827"/>
      <c r="W945" s="827"/>
      <c r="X945" s="827"/>
      <c r="Y945" s="827"/>
      <c r="Z945" s="827"/>
      <c r="AA945" s="827"/>
      <c r="AB945" s="827"/>
      <c r="AC945" s="852"/>
      <c r="AD945" s="827"/>
      <c r="AE945" s="827"/>
      <c r="AF945" s="827"/>
      <c r="AG945" s="827"/>
      <c r="AH945" s="827"/>
      <c r="AI945" s="827"/>
      <c r="AJ945" s="827"/>
      <c r="EB945" s="846"/>
    </row>
    <row r="946" spans="5:132" ht="18" x14ac:dyDescent="0.25">
      <c r="E946" s="826"/>
      <c r="H946" s="849">
        <v>456</v>
      </c>
      <c r="I946" s="850"/>
      <c r="J946" s="827"/>
      <c r="K946" s="827"/>
      <c r="L946" s="827"/>
      <c r="M946" s="851"/>
      <c r="N946" s="827"/>
      <c r="O946" s="827"/>
      <c r="P946" s="827"/>
      <c r="Q946" s="827"/>
      <c r="R946" s="827"/>
      <c r="S946" s="827"/>
      <c r="T946" s="827"/>
      <c r="U946" s="827"/>
      <c r="V946" s="827"/>
      <c r="W946" s="827"/>
      <c r="X946" s="827"/>
      <c r="Y946" s="827"/>
      <c r="Z946" s="827"/>
      <c r="AA946" s="827"/>
      <c r="AB946" s="827"/>
      <c r="AC946" s="852"/>
      <c r="AD946" s="827"/>
      <c r="AE946" s="827"/>
      <c r="AF946" s="827"/>
      <c r="AG946" s="827"/>
      <c r="AH946" s="827"/>
      <c r="AI946" s="827"/>
      <c r="AJ946" s="827"/>
      <c r="EB946" s="846"/>
    </row>
    <row r="947" spans="5:132" ht="18" x14ac:dyDescent="0.25">
      <c r="E947" s="826"/>
      <c r="H947" s="849">
        <v>457</v>
      </c>
      <c r="I947" s="850"/>
      <c r="J947" s="827"/>
      <c r="K947" s="827"/>
      <c r="L947" s="827"/>
      <c r="M947" s="851"/>
      <c r="N947" s="827"/>
      <c r="O947" s="827"/>
      <c r="P947" s="827"/>
      <c r="Q947" s="827"/>
      <c r="R947" s="827"/>
      <c r="S947" s="827"/>
      <c r="T947" s="827"/>
      <c r="U947" s="827"/>
      <c r="V947" s="827"/>
      <c r="W947" s="827"/>
      <c r="X947" s="827"/>
      <c r="Y947" s="827"/>
      <c r="Z947" s="827"/>
      <c r="AA947" s="827"/>
      <c r="AB947" s="827"/>
      <c r="AC947" s="852"/>
      <c r="AD947" s="827"/>
      <c r="AE947" s="827"/>
      <c r="AF947" s="827"/>
      <c r="AG947" s="827"/>
      <c r="AH947" s="827"/>
      <c r="AI947" s="827"/>
      <c r="AJ947" s="827"/>
      <c r="EB947" s="846"/>
    </row>
    <row r="948" spans="5:132" ht="18" x14ac:dyDescent="0.25">
      <c r="E948" s="826"/>
      <c r="H948" s="849">
        <v>458</v>
      </c>
      <c r="I948" s="850"/>
      <c r="J948" s="827"/>
      <c r="K948" s="827"/>
      <c r="L948" s="827"/>
      <c r="M948" s="851"/>
      <c r="N948" s="827"/>
      <c r="O948" s="827"/>
      <c r="P948" s="827"/>
      <c r="Q948" s="827"/>
      <c r="R948" s="827"/>
      <c r="S948" s="827"/>
      <c r="T948" s="827"/>
      <c r="U948" s="827"/>
      <c r="V948" s="827"/>
      <c r="W948" s="827"/>
      <c r="X948" s="827"/>
      <c r="Y948" s="827"/>
      <c r="Z948" s="827"/>
      <c r="AA948" s="827"/>
      <c r="AB948" s="827"/>
      <c r="AC948" s="852"/>
      <c r="AD948" s="827"/>
      <c r="AE948" s="827"/>
      <c r="AF948" s="827"/>
      <c r="AG948" s="827"/>
      <c r="AH948" s="827"/>
      <c r="AI948" s="827"/>
      <c r="AJ948" s="827"/>
      <c r="EB948" s="846"/>
    </row>
    <row r="949" spans="5:132" ht="18" x14ac:dyDescent="0.25">
      <c r="E949" s="826"/>
      <c r="H949" s="849">
        <v>459</v>
      </c>
      <c r="I949" s="850"/>
      <c r="J949" s="827"/>
      <c r="K949" s="827"/>
      <c r="L949" s="827"/>
      <c r="M949" s="851"/>
      <c r="N949" s="827"/>
      <c r="O949" s="827"/>
      <c r="P949" s="827"/>
      <c r="Q949" s="827"/>
      <c r="R949" s="827"/>
      <c r="S949" s="827"/>
      <c r="T949" s="827"/>
      <c r="U949" s="827"/>
      <c r="V949" s="827"/>
      <c r="W949" s="827"/>
      <c r="X949" s="827"/>
      <c r="Y949" s="827"/>
      <c r="Z949" s="827"/>
      <c r="AA949" s="827"/>
      <c r="AB949" s="827"/>
      <c r="AC949" s="852"/>
      <c r="AD949" s="827"/>
      <c r="AE949" s="827"/>
      <c r="AF949" s="827"/>
      <c r="AG949" s="827"/>
      <c r="AH949" s="827"/>
      <c r="AI949" s="827"/>
      <c r="AJ949" s="827"/>
      <c r="EB949" s="846"/>
    </row>
    <row r="950" spans="5:132" ht="18" x14ac:dyDescent="0.25">
      <c r="E950" s="826"/>
      <c r="H950" s="849">
        <v>460</v>
      </c>
      <c r="I950" s="850"/>
      <c r="J950" s="827"/>
      <c r="K950" s="827"/>
      <c r="L950" s="827"/>
      <c r="M950" s="851"/>
      <c r="N950" s="827"/>
      <c r="O950" s="827"/>
      <c r="P950" s="827"/>
      <c r="Q950" s="827"/>
      <c r="R950" s="827"/>
      <c r="S950" s="827"/>
      <c r="T950" s="827"/>
      <c r="U950" s="827"/>
      <c r="V950" s="827"/>
      <c r="W950" s="827"/>
      <c r="X950" s="827"/>
      <c r="Y950" s="827"/>
      <c r="Z950" s="827"/>
      <c r="AA950" s="827"/>
      <c r="AB950" s="827"/>
      <c r="AC950" s="852"/>
      <c r="AD950" s="827"/>
      <c r="AE950" s="827"/>
      <c r="AF950" s="827"/>
      <c r="AG950" s="827"/>
      <c r="AH950" s="827"/>
      <c r="AI950" s="827"/>
      <c r="AJ950" s="827"/>
      <c r="EB950" s="846"/>
    </row>
    <row r="951" spans="5:132" ht="18" x14ac:dyDescent="0.25">
      <c r="E951" s="826"/>
      <c r="H951" s="849">
        <v>461</v>
      </c>
      <c r="I951" s="850"/>
      <c r="J951" s="827"/>
      <c r="K951" s="827"/>
      <c r="L951" s="827"/>
      <c r="M951" s="851"/>
      <c r="N951" s="827"/>
      <c r="O951" s="827"/>
      <c r="P951" s="827"/>
      <c r="Q951" s="827"/>
      <c r="R951" s="827"/>
      <c r="S951" s="827"/>
      <c r="T951" s="827"/>
      <c r="U951" s="827"/>
      <c r="V951" s="827"/>
      <c r="W951" s="827"/>
      <c r="X951" s="827"/>
      <c r="Y951" s="827"/>
      <c r="Z951" s="827"/>
      <c r="AA951" s="827"/>
      <c r="AB951" s="827"/>
      <c r="AC951" s="852"/>
      <c r="AD951" s="827"/>
      <c r="AE951" s="827"/>
      <c r="AF951" s="827"/>
      <c r="AG951" s="827"/>
      <c r="AH951" s="827"/>
      <c r="AI951" s="827"/>
      <c r="AJ951" s="827"/>
      <c r="EB951" s="846"/>
    </row>
    <row r="952" spans="5:132" ht="18" x14ac:dyDescent="0.25">
      <c r="E952" s="826"/>
      <c r="H952" s="849">
        <v>462</v>
      </c>
      <c r="I952" s="850"/>
      <c r="J952" s="827"/>
      <c r="K952" s="827"/>
      <c r="L952" s="827"/>
      <c r="M952" s="851"/>
      <c r="N952" s="827"/>
      <c r="O952" s="827"/>
      <c r="P952" s="827"/>
      <c r="Q952" s="827"/>
      <c r="R952" s="827"/>
      <c r="S952" s="827"/>
      <c r="T952" s="827"/>
      <c r="U952" s="827"/>
      <c r="V952" s="827"/>
      <c r="W952" s="827"/>
      <c r="X952" s="827"/>
      <c r="Y952" s="827"/>
      <c r="Z952" s="827"/>
      <c r="AA952" s="827"/>
      <c r="AB952" s="827"/>
      <c r="AC952" s="852"/>
      <c r="AD952" s="827"/>
      <c r="AE952" s="827"/>
      <c r="AF952" s="827"/>
      <c r="AG952" s="827"/>
      <c r="AH952" s="827"/>
      <c r="AI952" s="827"/>
      <c r="AJ952" s="827"/>
      <c r="EB952" s="846"/>
    </row>
    <row r="953" spans="5:132" ht="18" x14ac:dyDescent="0.25">
      <c r="E953" s="826"/>
      <c r="H953" s="849">
        <v>463</v>
      </c>
      <c r="I953" s="850"/>
      <c r="J953" s="827"/>
      <c r="K953" s="827"/>
      <c r="L953" s="827"/>
      <c r="M953" s="851"/>
      <c r="N953" s="827"/>
      <c r="O953" s="827"/>
      <c r="P953" s="827"/>
      <c r="Q953" s="827"/>
      <c r="R953" s="827"/>
      <c r="S953" s="827"/>
      <c r="T953" s="827"/>
      <c r="U953" s="827"/>
      <c r="V953" s="827"/>
      <c r="W953" s="827"/>
      <c r="X953" s="827"/>
      <c r="Y953" s="827"/>
      <c r="Z953" s="827"/>
      <c r="AA953" s="827"/>
      <c r="AB953" s="827"/>
      <c r="AC953" s="852"/>
      <c r="AD953" s="827"/>
      <c r="AE953" s="827"/>
      <c r="AF953" s="827"/>
      <c r="AG953" s="827"/>
      <c r="AH953" s="827"/>
      <c r="AI953" s="827"/>
      <c r="AJ953" s="827"/>
      <c r="EB953" s="846"/>
    </row>
    <row r="954" spans="5:132" ht="18" x14ac:dyDescent="0.25">
      <c r="E954" s="826"/>
      <c r="H954" s="849">
        <v>464</v>
      </c>
      <c r="I954" s="850"/>
      <c r="J954" s="827"/>
      <c r="K954" s="827"/>
      <c r="L954" s="827"/>
      <c r="M954" s="851"/>
      <c r="N954" s="827"/>
      <c r="O954" s="827"/>
      <c r="P954" s="827"/>
      <c r="Q954" s="827"/>
      <c r="R954" s="827"/>
      <c r="S954" s="827"/>
      <c r="T954" s="827"/>
      <c r="U954" s="827"/>
      <c r="V954" s="827"/>
      <c r="W954" s="827"/>
      <c r="X954" s="827"/>
      <c r="Y954" s="827"/>
      <c r="Z954" s="827"/>
      <c r="AA954" s="827"/>
      <c r="AB954" s="827"/>
      <c r="AC954" s="852"/>
      <c r="AD954" s="827"/>
      <c r="AE954" s="827"/>
      <c r="AF954" s="827"/>
      <c r="AG954" s="827"/>
      <c r="AH954" s="827"/>
      <c r="AI954" s="827"/>
      <c r="AJ954" s="827"/>
      <c r="EB954" s="846"/>
    </row>
    <row r="955" spans="5:132" ht="18" x14ac:dyDescent="0.25">
      <c r="E955" s="826"/>
      <c r="H955" s="849">
        <v>465</v>
      </c>
      <c r="I955" s="850"/>
      <c r="J955" s="827"/>
      <c r="K955" s="827"/>
      <c r="L955" s="827"/>
      <c r="M955" s="851"/>
      <c r="N955" s="827"/>
      <c r="O955" s="827"/>
      <c r="P955" s="827"/>
      <c r="Q955" s="827"/>
      <c r="R955" s="827"/>
      <c r="S955" s="827"/>
      <c r="T955" s="827"/>
      <c r="U955" s="827"/>
      <c r="V955" s="827"/>
      <c r="W955" s="827"/>
      <c r="X955" s="827"/>
      <c r="Y955" s="827"/>
      <c r="Z955" s="827"/>
      <c r="AA955" s="827"/>
      <c r="AB955" s="827"/>
      <c r="AC955" s="852"/>
      <c r="AD955" s="827"/>
      <c r="AE955" s="827"/>
      <c r="AF955" s="827"/>
      <c r="AG955" s="827"/>
      <c r="AH955" s="827"/>
      <c r="AI955" s="827"/>
      <c r="AJ955" s="827"/>
      <c r="EB955" s="846"/>
    </row>
    <row r="956" spans="5:132" ht="18" x14ac:dyDescent="0.25">
      <c r="E956" s="826"/>
      <c r="H956" s="849">
        <v>466</v>
      </c>
      <c r="I956" s="850"/>
      <c r="J956" s="827"/>
      <c r="K956" s="827"/>
      <c r="L956" s="827"/>
      <c r="M956" s="851"/>
      <c r="N956" s="827"/>
      <c r="O956" s="827"/>
      <c r="P956" s="827"/>
      <c r="Q956" s="827"/>
      <c r="R956" s="827"/>
      <c r="S956" s="827"/>
      <c r="T956" s="827"/>
      <c r="U956" s="827"/>
      <c r="V956" s="827"/>
      <c r="W956" s="827"/>
      <c r="X956" s="827"/>
      <c r="Y956" s="827"/>
      <c r="Z956" s="827"/>
      <c r="AA956" s="827"/>
      <c r="AB956" s="827"/>
      <c r="AC956" s="852"/>
      <c r="AD956" s="827"/>
      <c r="AE956" s="827"/>
      <c r="AF956" s="827"/>
      <c r="AG956" s="827"/>
      <c r="AH956" s="827"/>
      <c r="AI956" s="827"/>
      <c r="AJ956" s="827"/>
      <c r="EB956" s="846"/>
    </row>
    <row r="957" spans="5:132" ht="18" x14ac:dyDescent="0.25">
      <c r="E957" s="829"/>
      <c r="H957" s="849">
        <v>467</v>
      </c>
      <c r="I957" s="850"/>
      <c r="J957" s="827"/>
      <c r="K957" s="827"/>
      <c r="L957" s="827"/>
      <c r="M957" s="851"/>
      <c r="N957" s="827"/>
      <c r="O957" s="827"/>
      <c r="P957" s="827"/>
      <c r="Q957" s="827"/>
      <c r="R957" s="827"/>
      <c r="S957" s="827"/>
      <c r="T957" s="827"/>
      <c r="U957" s="827"/>
      <c r="V957" s="827"/>
      <c r="W957" s="827"/>
      <c r="X957" s="827"/>
      <c r="Y957" s="827"/>
      <c r="Z957" s="827"/>
      <c r="AA957" s="827"/>
      <c r="AB957" s="827"/>
      <c r="AC957" s="852"/>
      <c r="AD957" s="827"/>
      <c r="AE957" s="827"/>
      <c r="AF957" s="827"/>
      <c r="AG957" s="827"/>
      <c r="AH957" s="827"/>
      <c r="AI957" s="827"/>
      <c r="AJ957" s="827"/>
      <c r="EB957" s="846"/>
    </row>
    <row r="958" spans="5:132" ht="18" x14ac:dyDescent="0.25">
      <c r="E958" s="826"/>
      <c r="H958" s="849">
        <v>469</v>
      </c>
      <c r="I958" s="850"/>
      <c r="J958" s="827"/>
      <c r="K958" s="827"/>
      <c r="L958" s="827"/>
      <c r="M958" s="851"/>
      <c r="N958" s="827"/>
      <c r="O958" s="827"/>
      <c r="P958" s="827"/>
      <c r="Q958" s="827"/>
      <c r="R958" s="827"/>
      <c r="S958" s="827"/>
      <c r="T958" s="827"/>
      <c r="U958" s="827"/>
      <c r="V958" s="827"/>
      <c r="W958" s="827"/>
      <c r="X958" s="827"/>
      <c r="Y958" s="827"/>
      <c r="Z958" s="827"/>
      <c r="AA958" s="827"/>
      <c r="AB958" s="827"/>
      <c r="AC958" s="852"/>
      <c r="AD958" s="827"/>
      <c r="AE958" s="827"/>
      <c r="AF958" s="827"/>
      <c r="AG958" s="827"/>
      <c r="AH958" s="827"/>
      <c r="AI958" s="827"/>
      <c r="AJ958" s="827"/>
      <c r="EB958" s="846"/>
    </row>
    <row r="959" spans="5:132" ht="18" x14ac:dyDescent="0.25">
      <c r="E959" s="826"/>
      <c r="H959" s="849">
        <v>470</v>
      </c>
      <c r="I959" s="850"/>
      <c r="J959" s="827"/>
      <c r="K959" s="827"/>
      <c r="L959" s="827"/>
      <c r="M959" s="851"/>
      <c r="N959" s="827"/>
      <c r="O959" s="827"/>
      <c r="P959" s="827"/>
      <c r="Q959" s="827"/>
      <c r="R959" s="827"/>
      <c r="S959" s="827"/>
      <c r="T959" s="827"/>
      <c r="U959" s="827"/>
      <c r="V959" s="827"/>
      <c r="W959" s="827"/>
      <c r="X959" s="827"/>
      <c r="Y959" s="827"/>
      <c r="Z959" s="827"/>
      <c r="AA959" s="827"/>
      <c r="AB959" s="827"/>
      <c r="AC959" s="852"/>
      <c r="AD959" s="827"/>
      <c r="AE959" s="827"/>
      <c r="AF959" s="827"/>
      <c r="AG959" s="827"/>
      <c r="AH959" s="827"/>
      <c r="AI959" s="827"/>
      <c r="AJ959" s="827"/>
      <c r="EB959" s="846"/>
    </row>
    <row r="960" spans="5:132" ht="18" x14ac:dyDescent="0.25">
      <c r="E960" s="826"/>
      <c r="H960" s="849">
        <v>471</v>
      </c>
      <c r="I960" s="850"/>
      <c r="J960" s="827"/>
      <c r="K960" s="827"/>
      <c r="L960" s="827"/>
      <c r="M960" s="851"/>
      <c r="N960" s="827"/>
      <c r="O960" s="827"/>
      <c r="P960" s="827"/>
      <c r="Q960" s="827"/>
      <c r="R960" s="827"/>
      <c r="S960" s="827"/>
      <c r="T960" s="827"/>
      <c r="U960" s="827"/>
      <c r="V960" s="827"/>
      <c r="W960" s="827"/>
      <c r="X960" s="827"/>
      <c r="Y960" s="827"/>
      <c r="Z960" s="827"/>
      <c r="AA960" s="827"/>
      <c r="AB960" s="827"/>
      <c r="AC960" s="852"/>
      <c r="AD960" s="827"/>
      <c r="AE960" s="827"/>
      <c r="AF960" s="827"/>
      <c r="AG960" s="827"/>
      <c r="AH960" s="827"/>
      <c r="AI960" s="827"/>
      <c r="AJ960" s="827"/>
      <c r="EB960" s="846"/>
    </row>
    <row r="961" spans="5:132" ht="18" x14ac:dyDescent="0.25">
      <c r="E961" s="826"/>
      <c r="H961" s="849">
        <v>472</v>
      </c>
      <c r="I961" s="850"/>
      <c r="J961" s="827"/>
      <c r="K961" s="827"/>
      <c r="L961" s="827"/>
      <c r="M961" s="851"/>
      <c r="N961" s="827"/>
      <c r="O961" s="827"/>
      <c r="P961" s="827"/>
      <c r="Q961" s="827"/>
      <c r="R961" s="827"/>
      <c r="S961" s="827"/>
      <c r="T961" s="827"/>
      <c r="U961" s="827"/>
      <c r="V961" s="827"/>
      <c r="W961" s="827"/>
      <c r="X961" s="827"/>
      <c r="Y961" s="827"/>
      <c r="Z961" s="827"/>
      <c r="AA961" s="827"/>
      <c r="AB961" s="827"/>
      <c r="AC961" s="852"/>
      <c r="AD961" s="827"/>
      <c r="AE961" s="827"/>
      <c r="AF961" s="827"/>
      <c r="AG961" s="827"/>
      <c r="AH961" s="827"/>
      <c r="AI961" s="827"/>
      <c r="AJ961" s="827"/>
      <c r="EB961" s="846"/>
    </row>
    <row r="962" spans="5:132" ht="18" x14ac:dyDescent="0.25">
      <c r="E962" s="826"/>
      <c r="H962" s="849">
        <v>473</v>
      </c>
      <c r="I962" s="850"/>
      <c r="J962" s="827"/>
      <c r="K962" s="827"/>
      <c r="L962" s="827"/>
      <c r="M962" s="851"/>
      <c r="N962" s="827"/>
      <c r="O962" s="827"/>
      <c r="P962" s="827"/>
      <c r="Q962" s="827"/>
      <c r="R962" s="827"/>
      <c r="S962" s="827"/>
      <c r="T962" s="827"/>
      <c r="U962" s="827"/>
      <c r="V962" s="827"/>
      <c r="W962" s="827"/>
      <c r="X962" s="827"/>
      <c r="Y962" s="827"/>
      <c r="Z962" s="827"/>
      <c r="AA962" s="827"/>
      <c r="AB962" s="827"/>
      <c r="AC962" s="852"/>
      <c r="AD962" s="827"/>
      <c r="AE962" s="827"/>
      <c r="AF962" s="827"/>
      <c r="AG962" s="827"/>
      <c r="AH962" s="827"/>
      <c r="AI962" s="827"/>
      <c r="AJ962" s="827"/>
      <c r="EB962" s="846"/>
    </row>
    <row r="963" spans="5:132" ht="18" x14ac:dyDescent="0.25">
      <c r="E963" s="826"/>
      <c r="H963" s="853">
        <v>474</v>
      </c>
      <c r="I963" s="850"/>
      <c r="J963" s="827"/>
      <c r="K963" s="827"/>
      <c r="L963" s="827"/>
      <c r="M963" s="851"/>
      <c r="N963" s="827"/>
      <c r="O963" s="827"/>
      <c r="P963" s="827"/>
      <c r="Q963" s="827"/>
      <c r="R963" s="827"/>
      <c r="S963" s="827"/>
      <c r="T963" s="827"/>
      <c r="U963" s="827"/>
      <c r="V963" s="827"/>
      <c r="W963" s="827"/>
      <c r="X963" s="827"/>
      <c r="Y963" s="827"/>
      <c r="Z963" s="827"/>
      <c r="AA963" s="827"/>
      <c r="AB963" s="827"/>
      <c r="AC963" s="852"/>
      <c r="AD963" s="827"/>
      <c r="AE963" s="827"/>
      <c r="AF963" s="827"/>
      <c r="AG963" s="827"/>
      <c r="AH963" s="827"/>
      <c r="AI963" s="827"/>
      <c r="AJ963" s="827"/>
      <c r="EB963" s="846"/>
    </row>
    <row r="964" spans="5:132" ht="18" x14ac:dyDescent="0.25">
      <c r="E964" s="826"/>
      <c r="H964" s="849">
        <v>475</v>
      </c>
      <c r="I964" s="850"/>
      <c r="J964" s="827"/>
      <c r="K964" s="827"/>
      <c r="L964" s="827"/>
      <c r="M964" s="851"/>
      <c r="N964" s="827"/>
      <c r="O964" s="827"/>
      <c r="P964" s="827"/>
      <c r="Q964" s="827"/>
      <c r="R964" s="827"/>
      <c r="S964" s="827"/>
      <c r="T964" s="827"/>
      <c r="U964" s="827"/>
      <c r="V964" s="827"/>
      <c r="W964" s="827"/>
      <c r="X964" s="827"/>
      <c r="Y964" s="827"/>
      <c r="Z964" s="827"/>
      <c r="AA964" s="827"/>
      <c r="AB964" s="827"/>
      <c r="AC964" s="852"/>
      <c r="AD964" s="827"/>
      <c r="AE964" s="827"/>
      <c r="AF964" s="827"/>
      <c r="AG964" s="827"/>
      <c r="AH964" s="827"/>
      <c r="AI964" s="827"/>
      <c r="AJ964" s="827"/>
      <c r="EB964" s="846"/>
    </row>
    <row r="965" spans="5:132" ht="18" x14ac:dyDescent="0.25">
      <c r="E965" s="826"/>
      <c r="H965" s="849">
        <v>476</v>
      </c>
      <c r="I965" s="850"/>
      <c r="J965" s="827"/>
      <c r="K965" s="827"/>
      <c r="L965" s="827"/>
      <c r="M965" s="851"/>
      <c r="N965" s="827"/>
      <c r="O965" s="827"/>
      <c r="P965" s="827"/>
      <c r="Q965" s="827"/>
      <c r="R965" s="827"/>
      <c r="S965" s="827"/>
      <c r="T965" s="827"/>
      <c r="U965" s="827"/>
      <c r="V965" s="827"/>
      <c r="W965" s="827"/>
      <c r="X965" s="827"/>
      <c r="Y965" s="827"/>
      <c r="Z965" s="827"/>
      <c r="AA965" s="827"/>
      <c r="AB965" s="827"/>
      <c r="AC965" s="852"/>
      <c r="AD965" s="827"/>
      <c r="AE965" s="827"/>
      <c r="AF965" s="827"/>
      <c r="AG965" s="827"/>
      <c r="AH965" s="827"/>
      <c r="AI965" s="827"/>
      <c r="AJ965" s="827"/>
      <c r="EB965" s="846"/>
    </row>
    <row r="966" spans="5:132" ht="18" x14ac:dyDescent="0.25">
      <c r="E966" s="826"/>
      <c r="H966" s="849">
        <v>477</v>
      </c>
      <c r="I966" s="850"/>
      <c r="J966" s="827"/>
      <c r="K966" s="827"/>
      <c r="L966" s="827"/>
      <c r="M966" s="851"/>
      <c r="N966" s="827"/>
      <c r="O966" s="827"/>
      <c r="P966" s="827"/>
      <c r="Q966" s="827"/>
      <c r="R966" s="827"/>
      <c r="S966" s="827"/>
      <c r="T966" s="827"/>
      <c r="U966" s="827"/>
      <c r="V966" s="827"/>
      <c r="W966" s="827"/>
      <c r="X966" s="827"/>
      <c r="Y966" s="827"/>
      <c r="Z966" s="827"/>
      <c r="AA966" s="827"/>
      <c r="AB966" s="827"/>
      <c r="AC966" s="852"/>
      <c r="AD966" s="827"/>
      <c r="AE966" s="827"/>
      <c r="AF966" s="827"/>
      <c r="AG966" s="827"/>
      <c r="AH966" s="827"/>
      <c r="AI966" s="827"/>
      <c r="AJ966" s="827"/>
      <c r="EB966" s="846"/>
    </row>
    <row r="967" spans="5:132" ht="18" x14ac:dyDescent="0.25">
      <c r="E967" s="826"/>
      <c r="H967" s="849">
        <v>478</v>
      </c>
      <c r="I967" s="850"/>
      <c r="J967" s="827"/>
      <c r="K967" s="827"/>
      <c r="L967" s="827"/>
      <c r="M967" s="851"/>
      <c r="N967" s="827"/>
      <c r="O967" s="827"/>
      <c r="P967" s="827"/>
      <c r="Q967" s="827"/>
      <c r="R967" s="827"/>
      <c r="S967" s="827"/>
      <c r="T967" s="827"/>
      <c r="U967" s="827"/>
      <c r="V967" s="827"/>
      <c r="W967" s="827"/>
      <c r="X967" s="827"/>
      <c r="Y967" s="827"/>
      <c r="Z967" s="827"/>
      <c r="AA967" s="827"/>
      <c r="AB967" s="827"/>
      <c r="AC967" s="852"/>
      <c r="AD967" s="827"/>
      <c r="AE967" s="827"/>
      <c r="AF967" s="827"/>
      <c r="AG967" s="827"/>
      <c r="AH967" s="827"/>
      <c r="AI967" s="827"/>
      <c r="AJ967" s="827"/>
      <c r="EB967" s="846"/>
    </row>
    <row r="968" spans="5:132" ht="18" x14ac:dyDescent="0.25">
      <c r="E968" s="826"/>
      <c r="H968" s="849">
        <v>479</v>
      </c>
      <c r="I968" s="850"/>
      <c r="J968" s="827"/>
      <c r="K968" s="827"/>
      <c r="L968" s="827"/>
      <c r="M968" s="851"/>
      <c r="N968" s="827"/>
      <c r="O968" s="827"/>
      <c r="P968" s="827"/>
      <c r="Q968" s="827"/>
      <c r="R968" s="827"/>
      <c r="S968" s="827"/>
      <c r="T968" s="827"/>
      <c r="U968" s="827"/>
      <c r="V968" s="827"/>
      <c r="W968" s="827"/>
      <c r="X968" s="827"/>
      <c r="Y968" s="827"/>
      <c r="Z968" s="827"/>
      <c r="AA968" s="827"/>
      <c r="AB968" s="827"/>
      <c r="AC968" s="852"/>
      <c r="AD968" s="827"/>
      <c r="AE968" s="827"/>
      <c r="AF968" s="827"/>
      <c r="AG968" s="827"/>
      <c r="AH968" s="827"/>
      <c r="AI968" s="827"/>
      <c r="AJ968" s="827"/>
      <c r="EB968" s="846"/>
    </row>
    <row r="969" spans="5:132" ht="18" x14ac:dyDescent="0.25">
      <c r="E969" s="826"/>
      <c r="H969" s="849">
        <v>480</v>
      </c>
      <c r="I969" s="850"/>
      <c r="J969" s="827"/>
      <c r="K969" s="827"/>
      <c r="L969" s="827"/>
      <c r="M969" s="851"/>
      <c r="N969" s="827"/>
      <c r="O969" s="827"/>
      <c r="P969" s="827"/>
      <c r="Q969" s="827"/>
      <c r="R969" s="827"/>
      <c r="S969" s="827"/>
      <c r="T969" s="827"/>
      <c r="U969" s="827"/>
      <c r="V969" s="827"/>
      <c r="W969" s="827"/>
      <c r="X969" s="827"/>
      <c r="Y969" s="827"/>
      <c r="Z969" s="827"/>
      <c r="AA969" s="827"/>
      <c r="AB969" s="827"/>
      <c r="AC969" s="852"/>
      <c r="AD969" s="827"/>
      <c r="AE969" s="827"/>
      <c r="AF969" s="827"/>
      <c r="AG969" s="827"/>
      <c r="AH969" s="827"/>
      <c r="AI969" s="827"/>
      <c r="AJ969" s="827"/>
      <c r="EB969" s="846"/>
    </row>
    <row r="970" spans="5:132" ht="18" x14ac:dyDescent="0.25">
      <c r="E970" s="826"/>
      <c r="H970" s="849">
        <v>481</v>
      </c>
      <c r="I970" s="850"/>
      <c r="J970" s="827"/>
      <c r="K970" s="827"/>
      <c r="L970" s="827"/>
      <c r="M970" s="851"/>
      <c r="N970" s="827"/>
      <c r="O970" s="827"/>
      <c r="P970" s="827"/>
      <c r="Q970" s="827"/>
      <c r="R970" s="827"/>
      <c r="S970" s="827"/>
      <c r="T970" s="827"/>
      <c r="U970" s="827"/>
      <c r="V970" s="827"/>
      <c r="W970" s="827"/>
      <c r="X970" s="827"/>
      <c r="Y970" s="827"/>
      <c r="Z970" s="827"/>
      <c r="AA970" s="827"/>
      <c r="AB970" s="827"/>
      <c r="AC970" s="852"/>
      <c r="AD970" s="827"/>
      <c r="AE970" s="827"/>
      <c r="AF970" s="827"/>
      <c r="AG970" s="827"/>
      <c r="AH970" s="827"/>
      <c r="AI970" s="827"/>
      <c r="AJ970" s="827"/>
      <c r="EB970" s="846"/>
    </row>
    <row r="971" spans="5:132" ht="18" x14ac:dyDescent="0.25">
      <c r="E971" s="826"/>
      <c r="H971" s="849">
        <v>482</v>
      </c>
      <c r="I971" s="850"/>
      <c r="J971" s="827"/>
      <c r="K971" s="827"/>
      <c r="L971" s="827"/>
      <c r="M971" s="851"/>
      <c r="N971" s="827"/>
      <c r="O971" s="827"/>
      <c r="P971" s="827"/>
      <c r="Q971" s="827"/>
      <c r="R971" s="827"/>
      <c r="S971" s="827"/>
      <c r="T971" s="827"/>
      <c r="U971" s="827"/>
      <c r="V971" s="827"/>
      <c r="W971" s="827"/>
      <c r="X971" s="827"/>
      <c r="Y971" s="827"/>
      <c r="Z971" s="827"/>
      <c r="AA971" s="827"/>
      <c r="AB971" s="827"/>
      <c r="AC971" s="852"/>
      <c r="AD971" s="827"/>
      <c r="AE971" s="827"/>
      <c r="AF971" s="827"/>
      <c r="AG971" s="827"/>
      <c r="AH971" s="827"/>
      <c r="AI971" s="827"/>
      <c r="AJ971" s="827"/>
      <c r="EB971" s="846"/>
    </row>
    <row r="972" spans="5:132" ht="18" x14ac:dyDescent="0.25">
      <c r="E972" s="826"/>
      <c r="H972" s="849">
        <v>483</v>
      </c>
      <c r="I972" s="850"/>
      <c r="J972" s="827"/>
      <c r="K972" s="827"/>
      <c r="L972" s="827"/>
      <c r="M972" s="851"/>
      <c r="N972" s="827"/>
      <c r="O972" s="827"/>
      <c r="P972" s="827"/>
      <c r="Q972" s="827"/>
      <c r="R972" s="827"/>
      <c r="S972" s="827"/>
      <c r="T972" s="827"/>
      <c r="U972" s="827"/>
      <c r="V972" s="827"/>
      <c r="W972" s="827"/>
      <c r="X972" s="827"/>
      <c r="Y972" s="827"/>
      <c r="Z972" s="827"/>
      <c r="AA972" s="827"/>
      <c r="AB972" s="827"/>
      <c r="AC972" s="852"/>
      <c r="AD972" s="827"/>
      <c r="AE972" s="827"/>
      <c r="AF972" s="827"/>
      <c r="AG972" s="827"/>
      <c r="AH972" s="827"/>
      <c r="AI972" s="827"/>
      <c r="AJ972" s="827"/>
      <c r="EB972" s="846"/>
    </row>
    <row r="973" spans="5:132" ht="18" x14ac:dyDescent="0.25">
      <c r="E973" s="826"/>
      <c r="H973" s="849">
        <v>484</v>
      </c>
      <c r="I973" s="850"/>
      <c r="J973" s="827"/>
      <c r="K973" s="827"/>
      <c r="L973" s="827"/>
      <c r="M973" s="851"/>
      <c r="N973" s="827"/>
      <c r="O973" s="827"/>
      <c r="P973" s="827"/>
      <c r="Q973" s="827"/>
      <c r="R973" s="827"/>
      <c r="S973" s="827"/>
      <c r="T973" s="827"/>
      <c r="U973" s="827"/>
      <c r="V973" s="827"/>
      <c r="W973" s="827"/>
      <c r="X973" s="827"/>
      <c r="Y973" s="827"/>
      <c r="Z973" s="827"/>
      <c r="AA973" s="827"/>
      <c r="AB973" s="827"/>
      <c r="AC973" s="852"/>
      <c r="AD973" s="827"/>
      <c r="AE973" s="827"/>
      <c r="AF973" s="827"/>
      <c r="AG973" s="827"/>
      <c r="AH973" s="827"/>
      <c r="AI973" s="827"/>
      <c r="AJ973" s="827"/>
      <c r="EB973" s="846"/>
    </row>
    <row r="974" spans="5:132" ht="18" x14ac:dyDescent="0.25">
      <c r="E974" s="826"/>
      <c r="H974" s="849">
        <v>485</v>
      </c>
      <c r="I974" s="850"/>
      <c r="J974" s="827"/>
      <c r="K974" s="827"/>
      <c r="L974" s="827"/>
      <c r="M974" s="851"/>
      <c r="N974" s="827"/>
      <c r="O974" s="827"/>
      <c r="P974" s="827"/>
      <c r="Q974" s="827"/>
      <c r="R974" s="827"/>
      <c r="S974" s="827"/>
      <c r="T974" s="827"/>
      <c r="U974" s="827"/>
      <c r="V974" s="827"/>
      <c r="W974" s="827"/>
      <c r="X974" s="827"/>
      <c r="Y974" s="827"/>
      <c r="Z974" s="827"/>
      <c r="AA974" s="827"/>
      <c r="AB974" s="827"/>
      <c r="AC974" s="852"/>
      <c r="AD974" s="827"/>
      <c r="AE974" s="827"/>
      <c r="AF974" s="827"/>
      <c r="AG974" s="827"/>
      <c r="AH974" s="827"/>
      <c r="AI974" s="827"/>
      <c r="AJ974" s="827"/>
      <c r="EB974" s="846"/>
    </row>
    <row r="975" spans="5:132" ht="18" x14ac:dyDescent="0.25">
      <c r="E975" s="826"/>
      <c r="H975" s="849">
        <v>487</v>
      </c>
      <c r="I975" s="850"/>
      <c r="J975" s="827"/>
      <c r="K975" s="827"/>
      <c r="L975" s="827"/>
      <c r="M975" s="851"/>
      <c r="N975" s="827"/>
      <c r="O975" s="827"/>
      <c r="P975" s="827"/>
      <c r="Q975" s="827"/>
      <c r="R975" s="827"/>
      <c r="S975" s="827"/>
      <c r="T975" s="827"/>
      <c r="U975" s="827"/>
      <c r="V975" s="827"/>
      <c r="W975" s="827"/>
      <c r="X975" s="827"/>
      <c r="Y975" s="827"/>
      <c r="Z975" s="827"/>
      <c r="AA975" s="827"/>
      <c r="AB975" s="827"/>
      <c r="AC975" s="852"/>
      <c r="AD975" s="827"/>
      <c r="AE975" s="827"/>
      <c r="AF975" s="827"/>
      <c r="AG975" s="827"/>
      <c r="AH975" s="827"/>
      <c r="AI975" s="827"/>
      <c r="AJ975" s="827"/>
      <c r="EB975" s="846"/>
    </row>
    <row r="976" spans="5:132" ht="18" x14ac:dyDescent="0.25">
      <c r="E976" s="826"/>
      <c r="H976" s="849">
        <v>488</v>
      </c>
      <c r="I976" s="850"/>
      <c r="J976" s="827"/>
      <c r="K976" s="827"/>
      <c r="L976" s="827"/>
      <c r="M976" s="851"/>
      <c r="N976" s="827"/>
      <c r="O976" s="827"/>
      <c r="P976" s="827"/>
      <c r="Q976" s="827"/>
      <c r="R976" s="827"/>
      <c r="S976" s="827"/>
      <c r="T976" s="827"/>
      <c r="U976" s="827"/>
      <c r="V976" s="827"/>
      <c r="W976" s="827"/>
      <c r="X976" s="827"/>
      <c r="Y976" s="827"/>
      <c r="Z976" s="827"/>
      <c r="AA976" s="827"/>
      <c r="AB976" s="827"/>
      <c r="AC976" s="852"/>
      <c r="AD976" s="827"/>
      <c r="AE976" s="827"/>
      <c r="AF976" s="827"/>
      <c r="AG976" s="827"/>
      <c r="AH976" s="827"/>
      <c r="AI976" s="827"/>
      <c r="AJ976" s="827"/>
      <c r="EB976" s="846"/>
    </row>
    <row r="977" spans="5:132" ht="18" x14ac:dyDescent="0.25">
      <c r="E977" s="826"/>
      <c r="H977" s="849">
        <v>489</v>
      </c>
      <c r="I977" s="850"/>
      <c r="J977" s="827"/>
      <c r="K977" s="827"/>
      <c r="L977" s="827"/>
      <c r="M977" s="851"/>
      <c r="N977" s="827"/>
      <c r="O977" s="827"/>
      <c r="P977" s="827"/>
      <c r="Q977" s="827"/>
      <c r="R977" s="827"/>
      <c r="S977" s="827"/>
      <c r="T977" s="827"/>
      <c r="U977" s="827"/>
      <c r="V977" s="827"/>
      <c r="W977" s="827"/>
      <c r="X977" s="827"/>
      <c r="Y977" s="827"/>
      <c r="Z977" s="827"/>
      <c r="AA977" s="827"/>
      <c r="AB977" s="827"/>
      <c r="AC977" s="852"/>
      <c r="AD977" s="827"/>
      <c r="AE977" s="827"/>
      <c r="AF977" s="827"/>
      <c r="AG977" s="827"/>
      <c r="AH977" s="827"/>
      <c r="AI977" s="827"/>
      <c r="AJ977" s="827"/>
      <c r="EB977" s="846"/>
    </row>
    <row r="978" spans="5:132" ht="18" x14ac:dyDescent="0.25">
      <c r="E978" s="826"/>
      <c r="H978" s="849">
        <v>490</v>
      </c>
      <c r="I978" s="850"/>
      <c r="J978" s="827"/>
      <c r="K978" s="827"/>
      <c r="L978" s="827"/>
      <c r="M978" s="851"/>
      <c r="N978" s="827"/>
      <c r="O978" s="827"/>
      <c r="P978" s="827"/>
      <c r="Q978" s="827"/>
      <c r="R978" s="827"/>
      <c r="S978" s="827"/>
      <c r="T978" s="827"/>
      <c r="U978" s="827"/>
      <c r="V978" s="827"/>
      <c r="W978" s="827"/>
      <c r="X978" s="827"/>
      <c r="Y978" s="827"/>
      <c r="Z978" s="827"/>
      <c r="AA978" s="827"/>
      <c r="AB978" s="827"/>
      <c r="AC978" s="852"/>
      <c r="AD978" s="827"/>
      <c r="AE978" s="827"/>
      <c r="AF978" s="827"/>
      <c r="AG978" s="827"/>
      <c r="AH978" s="827"/>
      <c r="AI978" s="827"/>
      <c r="AJ978" s="827"/>
      <c r="EB978" s="846"/>
    </row>
    <row r="979" spans="5:132" ht="18" x14ac:dyDescent="0.25">
      <c r="E979" s="826"/>
      <c r="H979" s="849">
        <v>491</v>
      </c>
      <c r="I979" s="850"/>
      <c r="J979" s="827"/>
      <c r="K979" s="827"/>
      <c r="L979" s="827"/>
      <c r="M979" s="851"/>
      <c r="N979" s="827"/>
      <c r="O979" s="827"/>
      <c r="P979" s="827"/>
      <c r="Q979" s="827"/>
      <c r="R979" s="827"/>
      <c r="S979" s="827"/>
      <c r="T979" s="827"/>
      <c r="U979" s="827"/>
      <c r="V979" s="827"/>
      <c r="W979" s="827"/>
      <c r="X979" s="827"/>
      <c r="Y979" s="827"/>
      <c r="Z979" s="827"/>
      <c r="AA979" s="827"/>
      <c r="AB979" s="827"/>
      <c r="AC979" s="852"/>
      <c r="AD979" s="827"/>
      <c r="AE979" s="827"/>
      <c r="AF979" s="827"/>
      <c r="AG979" s="827"/>
      <c r="AH979" s="827"/>
      <c r="AI979" s="827"/>
      <c r="AJ979" s="827"/>
      <c r="EB979" s="846"/>
    </row>
    <row r="980" spans="5:132" ht="18" x14ac:dyDescent="0.25">
      <c r="E980" s="826"/>
      <c r="H980" s="849">
        <v>492</v>
      </c>
      <c r="I980" s="850"/>
      <c r="J980" s="827"/>
      <c r="K980" s="827"/>
      <c r="L980" s="827"/>
      <c r="M980" s="851"/>
      <c r="N980" s="827"/>
      <c r="O980" s="827"/>
      <c r="P980" s="827"/>
      <c r="Q980" s="827"/>
      <c r="R980" s="827"/>
      <c r="S980" s="827"/>
      <c r="T980" s="827"/>
      <c r="U980" s="827"/>
      <c r="V980" s="827"/>
      <c r="W980" s="827"/>
      <c r="X980" s="827"/>
      <c r="Y980" s="827"/>
      <c r="Z980" s="827"/>
      <c r="AA980" s="827"/>
      <c r="AB980" s="827"/>
      <c r="AC980" s="852"/>
      <c r="AD980" s="827"/>
      <c r="AE980" s="827"/>
      <c r="AF980" s="827"/>
      <c r="AG980" s="827"/>
      <c r="AH980" s="827"/>
      <c r="AI980" s="827"/>
      <c r="AJ980" s="827"/>
      <c r="EB980" s="846"/>
    </row>
    <row r="981" spans="5:132" ht="18" x14ac:dyDescent="0.25">
      <c r="E981" s="826"/>
      <c r="H981" s="849">
        <v>493</v>
      </c>
      <c r="I981" s="850"/>
      <c r="J981" s="827"/>
      <c r="K981" s="827"/>
      <c r="L981" s="827"/>
      <c r="M981" s="851"/>
      <c r="N981" s="827"/>
      <c r="O981" s="827"/>
      <c r="P981" s="827"/>
      <c r="Q981" s="827"/>
      <c r="R981" s="827"/>
      <c r="S981" s="827"/>
      <c r="T981" s="827"/>
      <c r="U981" s="827"/>
      <c r="V981" s="827"/>
      <c r="W981" s="827"/>
      <c r="X981" s="827"/>
      <c r="Y981" s="827"/>
      <c r="Z981" s="827"/>
      <c r="AA981" s="827"/>
      <c r="AB981" s="827"/>
      <c r="AC981" s="852"/>
      <c r="AD981" s="827"/>
      <c r="AE981" s="827"/>
      <c r="AF981" s="827"/>
      <c r="AG981" s="827"/>
      <c r="AH981" s="827"/>
      <c r="AI981" s="827"/>
      <c r="AJ981" s="827"/>
      <c r="EB981" s="846"/>
    </row>
    <row r="982" spans="5:132" ht="18" x14ac:dyDescent="0.25">
      <c r="E982" s="826"/>
      <c r="H982" s="849">
        <v>494</v>
      </c>
      <c r="I982" s="850"/>
      <c r="J982" s="827"/>
      <c r="K982" s="827"/>
      <c r="L982" s="827"/>
      <c r="M982" s="851"/>
      <c r="N982" s="827"/>
      <c r="O982" s="827"/>
      <c r="P982" s="827"/>
      <c r="Q982" s="827"/>
      <c r="R982" s="827"/>
      <c r="S982" s="827"/>
      <c r="T982" s="827"/>
      <c r="U982" s="827"/>
      <c r="V982" s="827"/>
      <c r="W982" s="827"/>
      <c r="X982" s="827"/>
      <c r="Y982" s="827"/>
      <c r="Z982" s="827"/>
      <c r="AA982" s="827"/>
      <c r="AB982" s="827"/>
      <c r="AC982" s="852"/>
      <c r="AD982" s="827"/>
      <c r="AE982" s="827"/>
      <c r="AF982" s="827"/>
      <c r="AG982" s="827"/>
      <c r="AH982" s="827"/>
      <c r="AI982" s="827"/>
      <c r="AJ982" s="827"/>
      <c r="EB982" s="846"/>
    </row>
    <row r="983" spans="5:132" ht="18" x14ac:dyDescent="0.25">
      <c r="E983" s="826"/>
      <c r="H983" s="849">
        <v>495</v>
      </c>
      <c r="I983" s="850"/>
      <c r="J983" s="827"/>
      <c r="K983" s="827"/>
      <c r="L983" s="827"/>
      <c r="M983" s="851"/>
      <c r="N983" s="827"/>
      <c r="O983" s="827"/>
      <c r="P983" s="827"/>
      <c r="Q983" s="827"/>
      <c r="R983" s="827"/>
      <c r="S983" s="827"/>
      <c r="T983" s="827"/>
      <c r="U983" s="827"/>
      <c r="V983" s="827"/>
      <c r="W983" s="827"/>
      <c r="X983" s="827"/>
      <c r="Y983" s="827"/>
      <c r="Z983" s="827"/>
      <c r="AA983" s="827"/>
      <c r="AB983" s="827"/>
      <c r="AC983" s="852"/>
      <c r="AD983" s="827"/>
      <c r="AE983" s="827"/>
      <c r="AF983" s="827"/>
      <c r="AG983" s="827"/>
      <c r="AH983" s="827"/>
      <c r="AI983" s="827"/>
      <c r="AJ983" s="827"/>
      <c r="EB983" s="846"/>
    </row>
    <row r="984" spans="5:132" ht="18" x14ac:dyDescent="0.25">
      <c r="E984" s="826"/>
      <c r="H984" s="849">
        <v>496</v>
      </c>
      <c r="I984" s="850"/>
      <c r="J984" s="827"/>
      <c r="K984" s="827"/>
      <c r="L984" s="827"/>
      <c r="M984" s="851"/>
      <c r="N984" s="827"/>
      <c r="O984" s="827"/>
      <c r="P984" s="827"/>
      <c r="Q984" s="827"/>
      <c r="R984" s="827"/>
      <c r="S984" s="827"/>
      <c r="T984" s="827"/>
      <c r="U984" s="827"/>
      <c r="V984" s="827"/>
      <c r="W984" s="827"/>
      <c r="X984" s="827"/>
      <c r="Y984" s="827"/>
      <c r="Z984" s="827"/>
      <c r="AA984" s="827"/>
      <c r="AB984" s="827"/>
      <c r="AC984" s="852"/>
      <c r="AD984" s="827"/>
      <c r="AE984" s="827"/>
      <c r="AF984" s="827"/>
      <c r="AG984" s="827"/>
      <c r="AH984" s="827"/>
      <c r="AI984" s="827"/>
      <c r="AJ984" s="827"/>
      <c r="EB984" s="846"/>
    </row>
    <row r="985" spans="5:132" ht="18" x14ac:dyDescent="0.25">
      <c r="E985" s="826"/>
      <c r="H985" s="849">
        <v>498</v>
      </c>
      <c r="I985" s="850"/>
      <c r="J985" s="827"/>
      <c r="K985" s="827"/>
      <c r="L985" s="827"/>
      <c r="M985" s="851"/>
      <c r="N985" s="827"/>
      <c r="O985" s="827"/>
      <c r="P985" s="827"/>
      <c r="Q985" s="827"/>
      <c r="R985" s="827"/>
      <c r="S985" s="827"/>
      <c r="T985" s="827"/>
      <c r="U985" s="827"/>
      <c r="V985" s="827"/>
      <c r="W985" s="827"/>
      <c r="X985" s="827"/>
      <c r="Y985" s="827"/>
      <c r="Z985" s="827"/>
      <c r="AA985" s="827"/>
      <c r="AB985" s="827"/>
      <c r="AC985" s="852"/>
      <c r="AD985" s="827"/>
      <c r="AE985" s="827"/>
      <c r="AF985" s="827"/>
      <c r="AG985" s="827"/>
      <c r="AH985" s="827"/>
      <c r="AI985" s="827"/>
      <c r="AJ985" s="827"/>
      <c r="EB985" s="846"/>
    </row>
    <row r="986" spans="5:132" ht="18" x14ac:dyDescent="0.25">
      <c r="E986" s="826"/>
      <c r="H986" s="849">
        <v>499</v>
      </c>
      <c r="I986" s="850"/>
      <c r="J986" s="827"/>
      <c r="K986" s="827"/>
      <c r="L986" s="827"/>
      <c r="M986" s="851"/>
      <c r="N986" s="827"/>
      <c r="O986" s="827"/>
      <c r="P986" s="827"/>
      <c r="Q986" s="827"/>
      <c r="R986" s="827"/>
      <c r="S986" s="827"/>
      <c r="T986" s="827"/>
      <c r="U986" s="827"/>
      <c r="V986" s="827"/>
      <c r="W986" s="827"/>
      <c r="X986" s="827"/>
      <c r="Y986" s="827"/>
      <c r="Z986" s="827"/>
      <c r="AA986" s="827"/>
      <c r="AB986" s="827"/>
      <c r="AC986" s="852"/>
      <c r="AD986" s="827"/>
      <c r="AE986" s="827"/>
      <c r="AF986" s="827"/>
      <c r="AG986" s="827"/>
      <c r="AH986" s="827"/>
      <c r="AI986" s="827"/>
      <c r="AJ986" s="827"/>
      <c r="EB986" s="846"/>
    </row>
    <row r="987" spans="5:132" ht="18" x14ac:dyDescent="0.25">
      <c r="E987" s="826"/>
      <c r="H987" s="849">
        <v>500</v>
      </c>
      <c r="I987" s="850"/>
      <c r="J987" s="827"/>
      <c r="K987" s="827"/>
      <c r="L987" s="827"/>
      <c r="M987" s="851"/>
      <c r="N987" s="827"/>
      <c r="O987" s="827"/>
      <c r="P987" s="827"/>
      <c r="Q987" s="827"/>
      <c r="R987" s="827"/>
      <c r="S987" s="827"/>
      <c r="T987" s="827"/>
      <c r="U987" s="827"/>
      <c r="V987" s="827"/>
      <c r="W987" s="827"/>
      <c r="X987" s="827"/>
      <c r="Y987" s="827"/>
      <c r="Z987" s="827"/>
      <c r="AA987" s="827"/>
      <c r="AB987" s="827"/>
      <c r="AC987" s="852"/>
      <c r="AD987" s="827"/>
      <c r="AE987" s="827"/>
      <c r="AF987" s="827"/>
      <c r="AG987" s="827"/>
      <c r="AH987" s="827"/>
      <c r="AI987" s="827"/>
      <c r="AJ987" s="827"/>
      <c r="EB987" s="846"/>
    </row>
    <row r="988" spans="5:132" ht="18" x14ac:dyDescent="0.25">
      <c r="E988" s="826"/>
      <c r="H988" s="849">
        <v>501</v>
      </c>
      <c r="I988" s="850"/>
      <c r="J988" s="827"/>
      <c r="K988" s="827"/>
      <c r="L988" s="827"/>
      <c r="M988" s="851"/>
      <c r="N988" s="827"/>
      <c r="O988" s="827"/>
      <c r="P988" s="827"/>
      <c r="Q988" s="827"/>
      <c r="R988" s="827"/>
      <c r="S988" s="827"/>
      <c r="T988" s="827"/>
      <c r="U988" s="827"/>
      <c r="V988" s="827"/>
      <c r="W988" s="827"/>
      <c r="X988" s="827"/>
      <c r="Y988" s="827"/>
      <c r="Z988" s="827"/>
      <c r="AA988" s="827"/>
      <c r="AB988" s="827"/>
      <c r="AC988" s="852"/>
      <c r="AD988" s="827"/>
      <c r="AE988" s="827"/>
      <c r="AF988" s="827"/>
      <c r="AG988" s="827"/>
      <c r="AH988" s="827"/>
      <c r="AI988" s="827"/>
      <c r="AJ988" s="827"/>
      <c r="EB988" s="846"/>
    </row>
    <row r="989" spans="5:132" ht="18" x14ac:dyDescent="0.25">
      <c r="E989" s="826"/>
      <c r="H989" s="849">
        <v>502</v>
      </c>
      <c r="I989" s="850"/>
      <c r="J989" s="827"/>
      <c r="K989" s="827"/>
      <c r="L989" s="827"/>
      <c r="M989" s="851"/>
      <c r="N989" s="827"/>
      <c r="O989" s="827"/>
      <c r="P989" s="827"/>
      <c r="Q989" s="827"/>
      <c r="R989" s="827"/>
      <c r="S989" s="827"/>
      <c r="T989" s="827"/>
      <c r="U989" s="827"/>
      <c r="V989" s="827"/>
      <c r="W989" s="827"/>
      <c r="X989" s="827"/>
      <c r="Y989" s="827"/>
      <c r="Z989" s="827"/>
      <c r="AA989" s="827"/>
      <c r="AB989" s="827"/>
      <c r="AC989" s="852"/>
      <c r="AD989" s="827"/>
      <c r="AE989" s="827"/>
      <c r="AF989" s="827"/>
      <c r="AG989" s="827"/>
      <c r="AH989" s="827"/>
      <c r="AI989" s="827"/>
      <c r="AJ989" s="827"/>
      <c r="EB989" s="846"/>
    </row>
    <row r="990" spans="5:132" ht="18" x14ac:dyDescent="0.25">
      <c r="E990" s="826"/>
      <c r="H990" s="849">
        <v>503</v>
      </c>
      <c r="I990" s="850"/>
      <c r="J990" s="827"/>
      <c r="K990" s="827"/>
      <c r="L990" s="827"/>
      <c r="M990" s="851"/>
      <c r="N990" s="827"/>
      <c r="O990" s="827"/>
      <c r="P990" s="827"/>
      <c r="Q990" s="827"/>
      <c r="R990" s="827"/>
      <c r="S990" s="827"/>
      <c r="T990" s="827"/>
      <c r="U990" s="827"/>
      <c r="V990" s="827"/>
      <c r="W990" s="827"/>
      <c r="X990" s="827"/>
      <c r="Y990" s="827"/>
      <c r="Z990" s="827"/>
      <c r="AA990" s="827"/>
      <c r="AB990" s="827"/>
      <c r="AC990" s="852"/>
      <c r="AD990" s="827"/>
      <c r="AE990" s="827"/>
      <c r="AF990" s="827"/>
      <c r="AG990" s="827"/>
      <c r="AH990" s="827"/>
      <c r="AI990" s="827"/>
      <c r="AJ990" s="827"/>
      <c r="EB990" s="846"/>
    </row>
    <row r="991" spans="5:132" ht="18" x14ac:dyDescent="0.25">
      <c r="E991" s="826"/>
      <c r="H991" s="849">
        <v>504</v>
      </c>
      <c r="I991" s="850"/>
      <c r="J991" s="827"/>
      <c r="K991" s="827"/>
      <c r="L991" s="827"/>
      <c r="M991" s="851"/>
      <c r="N991" s="827"/>
      <c r="O991" s="827"/>
      <c r="P991" s="827"/>
      <c r="Q991" s="827"/>
      <c r="R991" s="827"/>
      <c r="S991" s="827"/>
      <c r="T991" s="827"/>
      <c r="U991" s="827"/>
      <c r="V991" s="827"/>
      <c r="W991" s="827"/>
      <c r="X991" s="827"/>
      <c r="Y991" s="827"/>
      <c r="Z991" s="827"/>
      <c r="AA991" s="827"/>
      <c r="AB991" s="827"/>
      <c r="AC991" s="852"/>
      <c r="AD991" s="827"/>
      <c r="AE991" s="827"/>
      <c r="AF991" s="827"/>
      <c r="AG991" s="827"/>
      <c r="AH991" s="827"/>
      <c r="AI991" s="827"/>
      <c r="AJ991" s="827"/>
      <c r="EB991" s="846"/>
    </row>
    <row r="992" spans="5:132" ht="18" x14ac:dyDescent="0.25">
      <c r="E992" s="826"/>
      <c r="H992" s="849">
        <v>505</v>
      </c>
      <c r="I992" s="850"/>
      <c r="J992" s="827"/>
      <c r="K992" s="827"/>
      <c r="L992" s="827"/>
      <c r="M992" s="851"/>
      <c r="N992" s="827"/>
      <c r="O992" s="827"/>
      <c r="P992" s="827"/>
      <c r="Q992" s="827"/>
      <c r="R992" s="827"/>
      <c r="S992" s="827"/>
      <c r="T992" s="827"/>
      <c r="U992" s="827"/>
      <c r="V992" s="827"/>
      <c r="W992" s="827"/>
      <c r="X992" s="827"/>
      <c r="Y992" s="827"/>
      <c r="Z992" s="827"/>
      <c r="AA992" s="827"/>
      <c r="AB992" s="827"/>
      <c r="AC992" s="852"/>
      <c r="AD992" s="827"/>
      <c r="AE992" s="827"/>
      <c r="AF992" s="827"/>
      <c r="AG992" s="827"/>
      <c r="AH992" s="827"/>
      <c r="AI992" s="827"/>
      <c r="AJ992" s="827"/>
    </row>
    <row r="993" spans="5:36" ht="18" x14ac:dyDescent="0.25">
      <c r="E993" s="826"/>
      <c r="H993" s="849">
        <v>506</v>
      </c>
      <c r="I993" s="850"/>
      <c r="J993" s="827"/>
      <c r="K993" s="827"/>
      <c r="L993" s="827"/>
      <c r="M993" s="851"/>
      <c r="N993" s="827"/>
      <c r="O993" s="827"/>
      <c r="P993" s="827"/>
      <c r="Q993" s="827"/>
      <c r="R993" s="827"/>
      <c r="S993" s="827"/>
      <c r="T993" s="827"/>
      <c r="U993" s="827"/>
      <c r="V993" s="827"/>
      <c r="W993" s="827"/>
      <c r="X993" s="827"/>
      <c r="Y993" s="827"/>
      <c r="Z993" s="827"/>
      <c r="AA993" s="827"/>
      <c r="AB993" s="827"/>
      <c r="AC993" s="852"/>
      <c r="AD993" s="827"/>
      <c r="AE993" s="827"/>
      <c r="AF993" s="827"/>
      <c r="AG993" s="827"/>
      <c r="AH993" s="827"/>
      <c r="AI993" s="827"/>
      <c r="AJ993" s="827"/>
    </row>
    <row r="994" spans="5:36" ht="18" x14ac:dyDescent="0.25">
      <c r="E994" s="826"/>
      <c r="H994" s="849">
        <v>507</v>
      </c>
      <c r="I994" s="850"/>
      <c r="J994" s="827"/>
      <c r="K994" s="827"/>
      <c r="L994" s="827"/>
      <c r="M994" s="851"/>
      <c r="N994" s="827"/>
      <c r="O994" s="827"/>
      <c r="P994" s="827"/>
      <c r="Q994" s="827"/>
      <c r="R994" s="827"/>
      <c r="S994" s="827"/>
      <c r="T994" s="827"/>
      <c r="U994" s="827"/>
      <c r="V994" s="827"/>
      <c r="W994" s="827"/>
      <c r="X994" s="827"/>
      <c r="Y994" s="827"/>
      <c r="Z994" s="827"/>
      <c r="AA994" s="827"/>
      <c r="AB994" s="827"/>
      <c r="AC994" s="852"/>
      <c r="AD994" s="827"/>
      <c r="AE994" s="827"/>
      <c r="AF994" s="827"/>
      <c r="AG994" s="827"/>
      <c r="AH994" s="827"/>
      <c r="AI994" s="827"/>
      <c r="AJ994" s="827"/>
    </row>
    <row r="995" spans="5:36" ht="18" x14ac:dyDescent="0.25">
      <c r="E995" s="826"/>
      <c r="H995" s="849">
        <v>508</v>
      </c>
      <c r="I995" s="850"/>
      <c r="J995" s="827"/>
      <c r="K995" s="827"/>
      <c r="L995" s="827"/>
      <c r="M995" s="851"/>
      <c r="N995" s="827"/>
      <c r="O995" s="827"/>
      <c r="P995" s="827"/>
      <c r="Q995" s="827"/>
      <c r="R995" s="827"/>
      <c r="S995" s="827"/>
      <c r="T995" s="827"/>
      <c r="U995" s="827"/>
      <c r="V995" s="827"/>
      <c r="W995" s="827"/>
      <c r="X995" s="827"/>
      <c r="Y995" s="827"/>
      <c r="Z995" s="827"/>
      <c r="AA995" s="827"/>
      <c r="AB995" s="827"/>
      <c r="AC995" s="852"/>
      <c r="AD995" s="827"/>
      <c r="AE995" s="827"/>
      <c r="AF995" s="827"/>
      <c r="AG995" s="827"/>
      <c r="AH995" s="827"/>
      <c r="AI995" s="827"/>
      <c r="AJ995" s="827"/>
    </row>
    <row r="996" spans="5:36" ht="18" x14ac:dyDescent="0.25">
      <c r="E996" s="826"/>
      <c r="H996" s="849">
        <v>509</v>
      </c>
      <c r="I996" s="850"/>
      <c r="J996" s="827"/>
      <c r="K996" s="827"/>
      <c r="L996" s="827"/>
      <c r="M996" s="851"/>
      <c r="N996" s="827"/>
      <c r="O996" s="827"/>
      <c r="P996" s="827"/>
      <c r="Q996" s="827"/>
      <c r="R996" s="827"/>
      <c r="S996" s="827"/>
      <c r="T996" s="827"/>
      <c r="U996" s="827"/>
      <c r="V996" s="827"/>
      <c r="W996" s="827"/>
      <c r="X996" s="827"/>
      <c r="Y996" s="827"/>
      <c r="Z996" s="827"/>
      <c r="AA996" s="827"/>
      <c r="AB996" s="827"/>
      <c r="AC996" s="852"/>
      <c r="AD996" s="827"/>
      <c r="AE996" s="827"/>
      <c r="AF996" s="827"/>
      <c r="AG996" s="827"/>
      <c r="AH996" s="827"/>
      <c r="AI996" s="827"/>
      <c r="AJ996" s="827"/>
    </row>
    <row r="997" spans="5:36" ht="18" x14ac:dyDescent="0.25">
      <c r="E997" s="826"/>
      <c r="H997" s="849">
        <v>510</v>
      </c>
      <c r="I997" s="850"/>
      <c r="J997" s="827"/>
      <c r="K997" s="827"/>
      <c r="L997" s="827"/>
      <c r="M997" s="851"/>
      <c r="N997" s="827"/>
      <c r="O997" s="827"/>
      <c r="P997" s="827"/>
      <c r="Q997" s="827"/>
      <c r="R997" s="827"/>
      <c r="S997" s="827"/>
      <c r="T997" s="827"/>
      <c r="U997" s="827"/>
      <c r="V997" s="827"/>
      <c r="W997" s="827"/>
      <c r="X997" s="827"/>
      <c r="Y997" s="827"/>
      <c r="Z997" s="827"/>
      <c r="AA997" s="827"/>
      <c r="AB997" s="827"/>
      <c r="AC997" s="852"/>
      <c r="AD997" s="827"/>
      <c r="AE997" s="827"/>
      <c r="AF997" s="827"/>
      <c r="AG997" s="827"/>
      <c r="AH997" s="827"/>
      <c r="AI997" s="827"/>
      <c r="AJ997" s="827"/>
    </row>
    <row r="998" spans="5:36" ht="18" x14ac:dyDescent="0.25">
      <c r="E998" s="826"/>
      <c r="H998" s="849">
        <v>511</v>
      </c>
      <c r="I998" s="850"/>
      <c r="J998" s="827"/>
      <c r="K998" s="827"/>
      <c r="L998" s="827"/>
      <c r="M998" s="851"/>
      <c r="N998" s="827"/>
      <c r="O998" s="827"/>
      <c r="P998" s="827"/>
      <c r="Q998" s="827"/>
      <c r="R998" s="827"/>
      <c r="S998" s="827"/>
      <c r="T998" s="827"/>
      <c r="U998" s="827"/>
      <c r="V998" s="827"/>
      <c r="W998" s="827"/>
      <c r="X998" s="827"/>
      <c r="Y998" s="827"/>
      <c r="Z998" s="827"/>
      <c r="AA998" s="827"/>
      <c r="AB998" s="827"/>
      <c r="AC998" s="852"/>
      <c r="AD998" s="827"/>
      <c r="AE998" s="827"/>
      <c r="AF998" s="827"/>
      <c r="AG998" s="827"/>
      <c r="AH998" s="827"/>
      <c r="AI998" s="827"/>
      <c r="AJ998" s="827"/>
    </row>
    <row r="999" spans="5:36" ht="18" x14ac:dyDescent="0.25">
      <c r="E999" s="826"/>
      <c r="H999" s="849">
        <v>512</v>
      </c>
      <c r="I999" s="850"/>
      <c r="J999" s="827"/>
      <c r="K999" s="827"/>
      <c r="L999" s="827"/>
      <c r="M999" s="851"/>
      <c r="N999" s="827"/>
      <c r="O999" s="827"/>
      <c r="P999" s="827"/>
      <c r="Q999" s="827"/>
      <c r="R999" s="827"/>
      <c r="S999" s="827"/>
      <c r="T999" s="827"/>
      <c r="U999" s="827"/>
      <c r="V999" s="827"/>
      <c r="W999" s="827"/>
      <c r="X999" s="827"/>
      <c r="Y999" s="827"/>
      <c r="Z999" s="827"/>
      <c r="AA999" s="827"/>
      <c r="AB999" s="827"/>
      <c r="AC999" s="852"/>
      <c r="AD999" s="827"/>
      <c r="AE999" s="827"/>
      <c r="AF999" s="827"/>
      <c r="AG999" s="827"/>
      <c r="AH999" s="827"/>
      <c r="AI999" s="827"/>
      <c r="AJ999" s="827"/>
    </row>
    <row r="1000" spans="5:36" ht="18" x14ac:dyDescent="0.25">
      <c r="E1000" s="826"/>
      <c r="H1000" s="849">
        <v>513</v>
      </c>
      <c r="I1000" s="850"/>
      <c r="J1000" s="827"/>
      <c r="K1000" s="827"/>
      <c r="L1000" s="827"/>
      <c r="M1000" s="851"/>
      <c r="N1000" s="827"/>
      <c r="O1000" s="827"/>
      <c r="P1000" s="827"/>
      <c r="Q1000" s="827"/>
      <c r="R1000" s="827"/>
      <c r="S1000" s="827"/>
      <c r="T1000" s="827"/>
      <c r="U1000" s="827"/>
      <c r="V1000" s="827"/>
      <c r="W1000" s="827"/>
      <c r="X1000" s="827"/>
      <c r="Y1000" s="827"/>
      <c r="Z1000" s="827"/>
      <c r="AA1000" s="827"/>
      <c r="AB1000" s="827"/>
      <c r="AC1000" s="852"/>
      <c r="AD1000" s="827"/>
      <c r="AE1000" s="827"/>
      <c r="AF1000" s="827"/>
      <c r="AG1000" s="827"/>
      <c r="AH1000" s="827"/>
      <c r="AI1000" s="827"/>
      <c r="AJ1000" s="827"/>
    </row>
    <row r="1001" spans="5:36" ht="18" x14ac:dyDescent="0.25">
      <c r="E1001" s="826"/>
      <c r="H1001" s="849">
        <v>514</v>
      </c>
      <c r="I1001" s="850"/>
      <c r="J1001" s="827"/>
      <c r="K1001" s="827"/>
      <c r="L1001" s="827"/>
      <c r="M1001" s="851"/>
      <c r="N1001" s="827"/>
      <c r="O1001" s="827"/>
      <c r="P1001" s="827"/>
      <c r="Q1001" s="827"/>
      <c r="R1001" s="827"/>
      <c r="S1001" s="827"/>
      <c r="T1001" s="827"/>
      <c r="U1001" s="827"/>
      <c r="V1001" s="827"/>
      <c r="W1001" s="827"/>
      <c r="X1001" s="827"/>
      <c r="Y1001" s="827"/>
      <c r="Z1001" s="827"/>
      <c r="AA1001" s="827"/>
      <c r="AB1001" s="827"/>
      <c r="AC1001" s="852"/>
      <c r="AD1001" s="827"/>
      <c r="AE1001" s="827"/>
      <c r="AF1001" s="827"/>
      <c r="AG1001" s="827"/>
      <c r="AH1001" s="827"/>
      <c r="AI1001" s="827"/>
      <c r="AJ1001" s="827"/>
    </row>
    <row r="1002" spans="5:36" ht="18" x14ac:dyDescent="0.25">
      <c r="E1002" s="826"/>
      <c r="H1002" s="849">
        <v>515</v>
      </c>
      <c r="I1002" s="850"/>
      <c r="J1002" s="827"/>
      <c r="K1002" s="827"/>
      <c r="L1002" s="827"/>
      <c r="M1002" s="851"/>
      <c r="N1002" s="827"/>
      <c r="O1002" s="827"/>
      <c r="P1002" s="827"/>
      <c r="Q1002" s="827"/>
      <c r="R1002" s="827"/>
      <c r="S1002" s="827"/>
      <c r="T1002" s="827"/>
      <c r="U1002" s="827"/>
      <c r="V1002" s="827"/>
      <c r="W1002" s="827"/>
      <c r="X1002" s="827"/>
      <c r="Y1002" s="827"/>
      <c r="Z1002" s="827"/>
      <c r="AA1002" s="827"/>
      <c r="AB1002" s="827"/>
      <c r="AC1002" s="852"/>
      <c r="AD1002" s="827"/>
      <c r="AE1002" s="827"/>
      <c r="AF1002" s="827"/>
      <c r="AG1002" s="827"/>
      <c r="AH1002" s="827"/>
      <c r="AI1002" s="827"/>
      <c r="AJ1002" s="827"/>
    </row>
    <row r="1003" spans="5:36" ht="18" x14ac:dyDescent="0.25">
      <c r="E1003" s="826"/>
      <c r="H1003" s="849">
        <v>516</v>
      </c>
      <c r="I1003" s="850"/>
      <c r="J1003" s="827"/>
      <c r="K1003" s="827"/>
      <c r="L1003" s="827"/>
      <c r="M1003" s="851"/>
      <c r="N1003" s="827"/>
      <c r="O1003" s="827"/>
      <c r="P1003" s="827"/>
      <c r="Q1003" s="827"/>
      <c r="R1003" s="827"/>
      <c r="S1003" s="827"/>
      <c r="T1003" s="827"/>
      <c r="U1003" s="827"/>
      <c r="V1003" s="827"/>
      <c r="W1003" s="827"/>
      <c r="X1003" s="827"/>
      <c r="Y1003" s="827"/>
      <c r="Z1003" s="827"/>
      <c r="AA1003" s="827"/>
      <c r="AB1003" s="827"/>
      <c r="AC1003" s="852"/>
      <c r="AD1003" s="827"/>
      <c r="AE1003" s="827"/>
      <c r="AF1003" s="827"/>
      <c r="AG1003" s="827"/>
      <c r="AH1003" s="827"/>
      <c r="AI1003" s="827"/>
      <c r="AJ1003" s="827"/>
    </row>
    <row r="1004" spans="5:36" ht="18" x14ac:dyDescent="0.25">
      <c r="E1004" s="826"/>
      <c r="H1004" s="849">
        <v>517</v>
      </c>
      <c r="I1004" s="850"/>
      <c r="J1004" s="827"/>
      <c r="K1004" s="827"/>
      <c r="L1004" s="827"/>
      <c r="M1004" s="851"/>
      <c r="N1004" s="827"/>
      <c r="O1004" s="827"/>
      <c r="P1004" s="827"/>
      <c r="Q1004" s="827"/>
      <c r="R1004" s="827"/>
      <c r="S1004" s="827"/>
      <c r="T1004" s="827"/>
      <c r="U1004" s="827"/>
      <c r="V1004" s="827"/>
      <c r="W1004" s="827"/>
      <c r="X1004" s="827"/>
      <c r="Y1004" s="827"/>
      <c r="Z1004" s="827"/>
      <c r="AA1004" s="827"/>
      <c r="AB1004" s="827"/>
      <c r="AC1004" s="852"/>
      <c r="AD1004" s="827"/>
      <c r="AE1004" s="827"/>
      <c r="AF1004" s="827"/>
      <c r="AG1004" s="827"/>
      <c r="AH1004" s="827"/>
      <c r="AI1004" s="827"/>
      <c r="AJ1004" s="827"/>
    </row>
    <row r="1005" spans="5:36" ht="18" x14ac:dyDescent="0.25">
      <c r="E1005" s="826"/>
      <c r="H1005" s="849">
        <v>518</v>
      </c>
      <c r="I1005" s="850"/>
      <c r="J1005" s="827"/>
      <c r="K1005" s="827"/>
      <c r="L1005" s="827"/>
      <c r="M1005" s="851"/>
      <c r="N1005" s="827"/>
      <c r="O1005" s="827"/>
      <c r="P1005" s="827"/>
      <c r="Q1005" s="827"/>
      <c r="R1005" s="827"/>
      <c r="S1005" s="827"/>
      <c r="T1005" s="827"/>
      <c r="U1005" s="827"/>
      <c r="V1005" s="827"/>
      <c r="W1005" s="827"/>
      <c r="X1005" s="827"/>
      <c r="Y1005" s="827"/>
      <c r="Z1005" s="827"/>
      <c r="AA1005" s="827"/>
      <c r="AB1005" s="827"/>
      <c r="AC1005" s="852"/>
      <c r="AD1005" s="827"/>
      <c r="AE1005" s="827"/>
      <c r="AF1005" s="827"/>
      <c r="AG1005" s="827"/>
      <c r="AH1005" s="827"/>
      <c r="AI1005" s="827"/>
      <c r="AJ1005" s="827"/>
    </row>
    <row r="1006" spans="5:36" ht="18" x14ac:dyDescent="0.25">
      <c r="E1006" s="826"/>
      <c r="H1006" s="849">
        <v>519</v>
      </c>
      <c r="I1006" s="850"/>
      <c r="J1006" s="827"/>
      <c r="K1006" s="827"/>
      <c r="L1006" s="827"/>
      <c r="M1006" s="851"/>
      <c r="N1006" s="827"/>
      <c r="O1006" s="827"/>
      <c r="P1006" s="827"/>
      <c r="Q1006" s="827"/>
      <c r="R1006" s="827"/>
      <c r="S1006" s="827"/>
      <c r="T1006" s="827"/>
      <c r="U1006" s="827"/>
      <c r="V1006" s="827"/>
      <c r="W1006" s="827"/>
      <c r="X1006" s="827"/>
      <c r="Y1006" s="827"/>
      <c r="Z1006" s="827"/>
      <c r="AA1006" s="827"/>
      <c r="AB1006" s="827"/>
      <c r="AC1006" s="852"/>
      <c r="AD1006" s="827"/>
      <c r="AE1006" s="827"/>
      <c r="AF1006" s="827"/>
      <c r="AG1006" s="827"/>
      <c r="AH1006" s="827"/>
      <c r="AI1006" s="827"/>
      <c r="AJ1006" s="827"/>
    </row>
    <row r="1007" spans="5:36" ht="18" x14ac:dyDescent="0.25">
      <c r="E1007" s="826"/>
      <c r="H1007" s="849">
        <v>520</v>
      </c>
      <c r="I1007" s="850"/>
      <c r="J1007" s="827"/>
      <c r="K1007" s="827"/>
      <c r="L1007" s="827"/>
      <c r="M1007" s="851"/>
      <c r="N1007" s="827"/>
      <c r="O1007" s="827"/>
      <c r="P1007" s="827"/>
      <c r="Q1007" s="827"/>
      <c r="R1007" s="827"/>
      <c r="S1007" s="827"/>
      <c r="T1007" s="827"/>
      <c r="U1007" s="827"/>
      <c r="V1007" s="827"/>
      <c r="W1007" s="827"/>
      <c r="X1007" s="827"/>
      <c r="Y1007" s="827"/>
      <c r="Z1007" s="827"/>
      <c r="AA1007" s="827"/>
      <c r="AB1007" s="827"/>
      <c r="AC1007" s="852"/>
      <c r="AD1007" s="827"/>
      <c r="AE1007" s="827"/>
      <c r="AF1007" s="827"/>
      <c r="AG1007" s="827"/>
      <c r="AH1007" s="827"/>
      <c r="AI1007" s="827"/>
      <c r="AJ1007" s="827"/>
    </row>
    <row r="1008" spans="5:36" ht="18" x14ac:dyDescent="0.25">
      <c r="E1008" s="826"/>
      <c r="H1008" s="854">
        <v>521</v>
      </c>
      <c r="I1008" s="850"/>
      <c r="J1008" s="827"/>
      <c r="K1008" s="827"/>
      <c r="L1008" s="827"/>
      <c r="M1008" s="851"/>
      <c r="N1008" s="827"/>
      <c r="O1008" s="827"/>
      <c r="P1008" s="827"/>
      <c r="Q1008" s="827"/>
      <c r="R1008" s="827"/>
      <c r="S1008" s="827"/>
      <c r="T1008" s="827"/>
      <c r="U1008" s="827"/>
      <c r="V1008" s="827"/>
      <c r="W1008" s="827"/>
      <c r="X1008" s="827"/>
      <c r="Y1008" s="827"/>
      <c r="Z1008" s="827"/>
      <c r="AA1008" s="827"/>
      <c r="AB1008" s="827"/>
      <c r="AC1008" s="852"/>
      <c r="AD1008" s="827"/>
      <c r="AE1008" s="827"/>
      <c r="AF1008" s="827"/>
      <c r="AG1008" s="827"/>
      <c r="AH1008" s="827"/>
      <c r="AI1008" s="827"/>
      <c r="AJ1008" s="827"/>
    </row>
    <row r="1009" spans="5:36" ht="18" x14ac:dyDescent="0.25">
      <c r="E1009" s="826"/>
      <c r="H1009" s="849">
        <v>522</v>
      </c>
      <c r="I1009" s="850"/>
      <c r="J1009" s="827"/>
      <c r="K1009" s="827"/>
      <c r="L1009" s="827"/>
      <c r="M1009" s="851"/>
      <c r="N1009" s="827"/>
      <c r="O1009" s="827"/>
      <c r="P1009" s="827"/>
      <c r="Q1009" s="827"/>
      <c r="R1009" s="827"/>
      <c r="S1009" s="827"/>
      <c r="T1009" s="827"/>
      <c r="U1009" s="827"/>
      <c r="V1009" s="827"/>
      <c r="W1009" s="827"/>
      <c r="X1009" s="827"/>
      <c r="Y1009" s="827"/>
      <c r="Z1009" s="827"/>
      <c r="AA1009" s="827"/>
      <c r="AB1009" s="827"/>
      <c r="AC1009" s="852"/>
      <c r="AD1009" s="827"/>
      <c r="AE1009" s="827"/>
      <c r="AF1009" s="827"/>
      <c r="AG1009" s="827"/>
      <c r="AH1009" s="827"/>
      <c r="AI1009" s="827"/>
      <c r="AJ1009" s="827"/>
    </row>
    <row r="1010" spans="5:36" ht="18" x14ac:dyDescent="0.25">
      <c r="E1010" s="826"/>
      <c r="H1010" s="849">
        <v>523</v>
      </c>
      <c r="I1010" s="850"/>
      <c r="J1010" s="827"/>
      <c r="K1010" s="827"/>
      <c r="L1010" s="827"/>
      <c r="M1010" s="851"/>
      <c r="N1010" s="827"/>
      <c r="O1010" s="827"/>
      <c r="P1010" s="827"/>
      <c r="Q1010" s="827"/>
      <c r="R1010" s="827"/>
      <c r="S1010" s="827"/>
      <c r="T1010" s="827"/>
      <c r="U1010" s="827"/>
      <c r="V1010" s="827"/>
      <c r="W1010" s="827"/>
      <c r="X1010" s="827"/>
      <c r="Y1010" s="827"/>
      <c r="Z1010" s="827"/>
      <c r="AA1010" s="827"/>
      <c r="AB1010" s="827"/>
      <c r="AC1010" s="852"/>
      <c r="AD1010" s="827"/>
      <c r="AE1010" s="827"/>
      <c r="AF1010" s="827"/>
      <c r="AG1010" s="827"/>
      <c r="AH1010" s="827"/>
      <c r="AI1010" s="827"/>
      <c r="AJ1010" s="827"/>
    </row>
    <row r="1011" spans="5:36" ht="18" x14ac:dyDescent="0.25">
      <c r="E1011" s="826"/>
      <c r="H1011" s="849">
        <v>524</v>
      </c>
      <c r="I1011" s="850"/>
      <c r="J1011" s="827"/>
      <c r="K1011" s="827"/>
      <c r="L1011" s="827"/>
      <c r="M1011" s="851"/>
      <c r="N1011" s="827"/>
      <c r="O1011" s="827"/>
      <c r="P1011" s="827"/>
      <c r="Q1011" s="827"/>
      <c r="R1011" s="827"/>
      <c r="S1011" s="827"/>
      <c r="T1011" s="827"/>
      <c r="U1011" s="827"/>
      <c r="V1011" s="827"/>
      <c r="W1011" s="827"/>
      <c r="X1011" s="827"/>
      <c r="Y1011" s="827"/>
      <c r="Z1011" s="827"/>
      <c r="AA1011" s="827"/>
      <c r="AB1011" s="827"/>
      <c r="AC1011" s="852"/>
      <c r="AD1011" s="827"/>
      <c r="AE1011" s="827"/>
      <c r="AF1011" s="827"/>
      <c r="AG1011" s="827"/>
      <c r="AH1011" s="827"/>
      <c r="AI1011" s="827"/>
      <c r="AJ1011" s="827"/>
    </row>
    <row r="1012" spans="5:36" ht="18" x14ac:dyDescent="0.25">
      <c r="E1012" s="826"/>
      <c r="H1012" s="849">
        <v>525</v>
      </c>
      <c r="I1012" s="850"/>
      <c r="J1012" s="827"/>
      <c r="K1012" s="827"/>
      <c r="L1012" s="827"/>
      <c r="M1012" s="851"/>
      <c r="N1012" s="827"/>
      <c r="O1012" s="827"/>
      <c r="P1012" s="827"/>
      <c r="Q1012" s="827"/>
      <c r="R1012" s="827"/>
      <c r="S1012" s="827"/>
      <c r="T1012" s="827"/>
      <c r="U1012" s="827"/>
      <c r="V1012" s="827"/>
      <c r="W1012" s="827"/>
      <c r="X1012" s="827"/>
      <c r="Y1012" s="827"/>
      <c r="Z1012" s="827"/>
      <c r="AA1012" s="827"/>
      <c r="AB1012" s="827"/>
      <c r="AC1012" s="852"/>
      <c r="AD1012" s="827"/>
      <c r="AE1012" s="827"/>
      <c r="AF1012" s="827"/>
      <c r="AG1012" s="827"/>
      <c r="AH1012" s="827"/>
      <c r="AI1012" s="827"/>
      <c r="AJ1012" s="827"/>
    </row>
    <row r="1013" spans="5:36" ht="18" x14ac:dyDescent="0.25">
      <c r="E1013" s="826"/>
      <c r="H1013" s="849">
        <v>526</v>
      </c>
      <c r="I1013" s="850"/>
      <c r="J1013" s="827"/>
      <c r="K1013" s="827"/>
      <c r="L1013" s="827"/>
      <c r="M1013" s="851"/>
      <c r="N1013" s="827"/>
      <c r="O1013" s="827"/>
      <c r="P1013" s="827"/>
      <c r="Q1013" s="827"/>
      <c r="R1013" s="827"/>
      <c r="S1013" s="827"/>
      <c r="T1013" s="827"/>
      <c r="U1013" s="827"/>
      <c r="V1013" s="827"/>
      <c r="W1013" s="827"/>
      <c r="X1013" s="827"/>
      <c r="Y1013" s="827"/>
      <c r="Z1013" s="827"/>
      <c r="AA1013" s="827"/>
      <c r="AB1013" s="827"/>
      <c r="AC1013" s="852"/>
      <c r="AD1013" s="827"/>
      <c r="AE1013" s="827"/>
      <c r="AF1013" s="827"/>
      <c r="AG1013" s="827"/>
      <c r="AH1013" s="827"/>
      <c r="AI1013" s="827"/>
      <c r="AJ1013" s="827"/>
    </row>
    <row r="1014" spans="5:36" ht="18" x14ac:dyDescent="0.25">
      <c r="E1014" s="826"/>
      <c r="H1014" s="849">
        <v>527</v>
      </c>
      <c r="I1014" s="850"/>
      <c r="J1014" s="827"/>
      <c r="K1014" s="827"/>
      <c r="L1014" s="827"/>
      <c r="M1014" s="851"/>
      <c r="N1014" s="827"/>
      <c r="O1014" s="827"/>
      <c r="P1014" s="827"/>
      <c r="Q1014" s="827"/>
      <c r="R1014" s="827"/>
      <c r="S1014" s="827"/>
      <c r="T1014" s="827"/>
      <c r="U1014" s="827"/>
      <c r="V1014" s="827"/>
      <c r="W1014" s="827"/>
      <c r="X1014" s="827"/>
      <c r="Y1014" s="827"/>
      <c r="Z1014" s="827"/>
      <c r="AA1014" s="827"/>
      <c r="AB1014" s="827"/>
      <c r="AC1014" s="852"/>
      <c r="AD1014" s="827"/>
      <c r="AE1014" s="827"/>
      <c r="AF1014" s="827"/>
      <c r="AG1014" s="827"/>
      <c r="AH1014" s="827"/>
      <c r="AI1014" s="827"/>
      <c r="AJ1014" s="827"/>
    </row>
    <row r="1015" spans="5:36" ht="18" x14ac:dyDescent="0.25">
      <c r="E1015" s="826"/>
      <c r="H1015" s="849">
        <v>528</v>
      </c>
      <c r="I1015" s="850"/>
      <c r="J1015" s="827"/>
      <c r="K1015" s="827"/>
      <c r="L1015" s="827"/>
      <c r="M1015" s="851"/>
      <c r="N1015" s="827"/>
      <c r="O1015" s="827"/>
      <c r="P1015" s="827"/>
      <c r="Q1015" s="827"/>
      <c r="R1015" s="827"/>
      <c r="S1015" s="827"/>
      <c r="T1015" s="827"/>
      <c r="U1015" s="827"/>
      <c r="V1015" s="827"/>
      <c r="W1015" s="827"/>
      <c r="X1015" s="827"/>
      <c r="Y1015" s="827"/>
      <c r="Z1015" s="827"/>
      <c r="AA1015" s="827"/>
      <c r="AB1015" s="827"/>
      <c r="AC1015" s="852"/>
      <c r="AD1015" s="827"/>
      <c r="AE1015" s="827"/>
      <c r="AF1015" s="827"/>
      <c r="AG1015" s="827"/>
      <c r="AH1015" s="827"/>
      <c r="AI1015" s="827"/>
      <c r="AJ1015" s="827"/>
    </row>
    <row r="1016" spans="5:36" ht="18" x14ac:dyDescent="0.25">
      <c r="E1016" s="826"/>
      <c r="H1016" s="849">
        <v>529</v>
      </c>
      <c r="I1016" s="850"/>
      <c r="J1016" s="827"/>
      <c r="K1016" s="827"/>
      <c r="L1016" s="827"/>
      <c r="M1016" s="851"/>
      <c r="N1016" s="827"/>
      <c r="O1016" s="827"/>
      <c r="P1016" s="827"/>
      <c r="Q1016" s="827"/>
      <c r="R1016" s="827"/>
      <c r="S1016" s="827"/>
      <c r="T1016" s="827"/>
      <c r="U1016" s="827"/>
      <c r="V1016" s="827"/>
      <c r="W1016" s="827"/>
      <c r="X1016" s="827"/>
      <c r="Y1016" s="827"/>
      <c r="Z1016" s="827"/>
      <c r="AA1016" s="827"/>
      <c r="AB1016" s="827"/>
      <c r="AC1016" s="852"/>
      <c r="AD1016" s="827"/>
      <c r="AE1016" s="827"/>
      <c r="AF1016" s="827"/>
      <c r="AG1016" s="827"/>
      <c r="AH1016" s="827"/>
      <c r="AI1016" s="827"/>
      <c r="AJ1016" s="827"/>
    </row>
    <row r="1017" spans="5:36" ht="18" x14ac:dyDescent="0.25">
      <c r="E1017" s="826"/>
      <c r="H1017" s="849">
        <v>530</v>
      </c>
      <c r="I1017" s="850"/>
      <c r="J1017" s="827"/>
      <c r="K1017" s="827"/>
      <c r="L1017" s="827"/>
      <c r="M1017" s="851"/>
      <c r="N1017" s="827"/>
      <c r="O1017" s="827"/>
      <c r="P1017" s="827"/>
      <c r="Q1017" s="827"/>
      <c r="R1017" s="827"/>
      <c r="S1017" s="827"/>
      <c r="T1017" s="827"/>
      <c r="U1017" s="827"/>
      <c r="V1017" s="827"/>
      <c r="W1017" s="827"/>
      <c r="X1017" s="827"/>
      <c r="Y1017" s="827"/>
      <c r="Z1017" s="827"/>
      <c r="AA1017" s="827"/>
      <c r="AB1017" s="827"/>
      <c r="AC1017" s="852"/>
      <c r="AD1017" s="827"/>
      <c r="AE1017" s="827"/>
      <c r="AF1017" s="827"/>
      <c r="AG1017" s="827"/>
      <c r="AH1017" s="827"/>
      <c r="AI1017" s="827"/>
      <c r="AJ1017" s="827"/>
    </row>
    <row r="1018" spans="5:36" ht="18" x14ac:dyDescent="0.25">
      <c r="E1018" s="826"/>
      <c r="H1018" s="849">
        <v>531</v>
      </c>
      <c r="I1018" s="850"/>
      <c r="J1018" s="827"/>
      <c r="K1018" s="827"/>
      <c r="L1018" s="827"/>
      <c r="M1018" s="851"/>
      <c r="N1018" s="827"/>
      <c r="O1018" s="827"/>
      <c r="P1018" s="827"/>
      <c r="Q1018" s="827"/>
      <c r="R1018" s="827"/>
      <c r="S1018" s="827"/>
      <c r="T1018" s="827"/>
      <c r="U1018" s="827"/>
      <c r="V1018" s="827"/>
      <c r="W1018" s="827"/>
      <c r="X1018" s="827"/>
      <c r="Y1018" s="827"/>
      <c r="Z1018" s="827"/>
      <c r="AA1018" s="827"/>
      <c r="AB1018" s="827"/>
      <c r="AC1018" s="852"/>
      <c r="AD1018" s="827"/>
      <c r="AE1018" s="827"/>
      <c r="AF1018" s="827"/>
      <c r="AG1018" s="827"/>
      <c r="AH1018" s="827"/>
      <c r="AI1018" s="827"/>
      <c r="AJ1018" s="827"/>
    </row>
    <row r="1019" spans="5:36" ht="18" x14ac:dyDescent="0.25">
      <c r="E1019" s="826"/>
      <c r="H1019" s="849">
        <v>532</v>
      </c>
      <c r="I1019" s="850"/>
      <c r="J1019" s="827"/>
      <c r="K1019" s="827"/>
      <c r="L1019" s="827"/>
      <c r="M1019" s="851"/>
      <c r="N1019" s="827"/>
      <c r="O1019" s="827"/>
      <c r="P1019" s="827"/>
      <c r="Q1019" s="827"/>
      <c r="R1019" s="827"/>
      <c r="S1019" s="827"/>
      <c r="T1019" s="827"/>
      <c r="U1019" s="827"/>
      <c r="V1019" s="827"/>
      <c r="W1019" s="827"/>
      <c r="X1019" s="827"/>
      <c r="Y1019" s="827"/>
      <c r="Z1019" s="827"/>
      <c r="AA1019" s="827"/>
      <c r="AB1019" s="827"/>
      <c r="AC1019" s="852"/>
      <c r="AD1019" s="827"/>
      <c r="AE1019" s="827"/>
      <c r="AF1019" s="827"/>
      <c r="AG1019" s="827"/>
      <c r="AH1019" s="827"/>
      <c r="AI1019" s="827"/>
      <c r="AJ1019" s="827"/>
    </row>
    <row r="1020" spans="5:36" ht="18" x14ac:dyDescent="0.25">
      <c r="E1020" s="826"/>
      <c r="H1020" s="849">
        <v>533</v>
      </c>
      <c r="I1020" s="850"/>
      <c r="J1020" s="827"/>
      <c r="K1020" s="827"/>
      <c r="L1020" s="827"/>
      <c r="M1020" s="851"/>
      <c r="N1020" s="827"/>
      <c r="O1020" s="827"/>
      <c r="P1020" s="827"/>
      <c r="Q1020" s="827"/>
      <c r="R1020" s="827"/>
      <c r="S1020" s="827"/>
      <c r="T1020" s="827"/>
      <c r="U1020" s="827"/>
      <c r="V1020" s="827"/>
      <c r="W1020" s="827"/>
      <c r="X1020" s="827"/>
      <c r="Y1020" s="827"/>
      <c r="Z1020" s="827"/>
      <c r="AA1020" s="827"/>
      <c r="AB1020" s="827"/>
      <c r="AC1020" s="852"/>
      <c r="AD1020" s="827"/>
      <c r="AE1020" s="827"/>
      <c r="AF1020" s="827"/>
      <c r="AG1020" s="827"/>
      <c r="AH1020" s="827"/>
      <c r="AI1020" s="827"/>
      <c r="AJ1020" s="827"/>
    </row>
    <row r="1021" spans="5:36" ht="18" x14ac:dyDescent="0.25">
      <c r="E1021" s="826"/>
      <c r="H1021" s="849">
        <v>534</v>
      </c>
      <c r="I1021" s="850"/>
      <c r="J1021" s="827"/>
      <c r="K1021" s="827"/>
      <c r="L1021" s="827"/>
      <c r="M1021" s="851"/>
      <c r="N1021" s="827"/>
      <c r="O1021" s="827"/>
      <c r="P1021" s="827"/>
      <c r="Q1021" s="827"/>
      <c r="R1021" s="827"/>
      <c r="S1021" s="827"/>
      <c r="T1021" s="827"/>
      <c r="U1021" s="827"/>
      <c r="V1021" s="827"/>
      <c r="W1021" s="827"/>
      <c r="X1021" s="827"/>
      <c r="Y1021" s="827"/>
      <c r="Z1021" s="827"/>
      <c r="AA1021" s="827"/>
      <c r="AB1021" s="827"/>
      <c r="AC1021" s="852"/>
      <c r="AD1021" s="827"/>
      <c r="AE1021" s="827"/>
      <c r="AF1021" s="827"/>
      <c r="AG1021" s="827"/>
      <c r="AH1021" s="827"/>
      <c r="AI1021" s="827"/>
      <c r="AJ1021" s="827"/>
    </row>
    <row r="1022" spans="5:36" ht="18" x14ac:dyDescent="0.25">
      <c r="E1022" s="826"/>
      <c r="H1022" s="849">
        <v>535</v>
      </c>
      <c r="I1022" s="850"/>
      <c r="J1022" s="827"/>
      <c r="K1022" s="827"/>
      <c r="L1022" s="827"/>
      <c r="M1022" s="851"/>
      <c r="N1022" s="827"/>
      <c r="O1022" s="827"/>
      <c r="P1022" s="827"/>
      <c r="Q1022" s="827"/>
      <c r="R1022" s="827"/>
      <c r="S1022" s="827"/>
      <c r="T1022" s="827"/>
      <c r="U1022" s="827"/>
      <c r="V1022" s="827"/>
      <c r="W1022" s="827"/>
      <c r="X1022" s="827"/>
      <c r="Y1022" s="827"/>
      <c r="Z1022" s="827"/>
      <c r="AA1022" s="827"/>
      <c r="AB1022" s="827"/>
      <c r="AC1022" s="852"/>
      <c r="AD1022" s="827"/>
      <c r="AE1022" s="827"/>
      <c r="AF1022" s="827"/>
      <c r="AG1022" s="827"/>
      <c r="AH1022" s="827"/>
      <c r="AI1022" s="827"/>
      <c r="AJ1022" s="827"/>
    </row>
    <row r="1023" spans="5:36" ht="18" x14ac:dyDescent="0.25">
      <c r="E1023" s="826"/>
      <c r="H1023" s="849">
        <v>536</v>
      </c>
      <c r="I1023" s="850"/>
      <c r="J1023" s="827"/>
      <c r="K1023" s="827"/>
      <c r="L1023" s="827"/>
      <c r="M1023" s="851"/>
      <c r="N1023" s="827"/>
      <c r="O1023" s="827"/>
      <c r="P1023" s="827"/>
      <c r="Q1023" s="827"/>
      <c r="R1023" s="827"/>
      <c r="S1023" s="827"/>
      <c r="T1023" s="827"/>
      <c r="U1023" s="827"/>
      <c r="V1023" s="827"/>
      <c r="W1023" s="827"/>
      <c r="X1023" s="827"/>
      <c r="Y1023" s="827"/>
      <c r="Z1023" s="827"/>
      <c r="AA1023" s="827"/>
      <c r="AB1023" s="827"/>
      <c r="AC1023" s="852"/>
      <c r="AD1023" s="827"/>
      <c r="AE1023" s="827"/>
      <c r="AF1023" s="827"/>
      <c r="AG1023" s="827"/>
      <c r="AH1023" s="827"/>
      <c r="AI1023" s="827"/>
      <c r="AJ1023" s="827"/>
    </row>
    <row r="1024" spans="5:36" ht="18" x14ac:dyDescent="0.25">
      <c r="E1024" s="826"/>
      <c r="H1024" s="849">
        <v>537</v>
      </c>
      <c r="I1024" s="850"/>
      <c r="J1024" s="827"/>
      <c r="K1024" s="827"/>
      <c r="L1024" s="827"/>
      <c r="M1024" s="851"/>
      <c r="N1024" s="827"/>
      <c r="O1024" s="827"/>
      <c r="P1024" s="827"/>
      <c r="Q1024" s="827"/>
      <c r="R1024" s="827"/>
      <c r="S1024" s="827"/>
      <c r="T1024" s="827"/>
      <c r="U1024" s="827"/>
      <c r="V1024" s="827"/>
      <c r="W1024" s="827"/>
      <c r="X1024" s="827"/>
      <c r="Y1024" s="827"/>
      <c r="Z1024" s="827"/>
      <c r="AA1024" s="827"/>
      <c r="AB1024" s="827"/>
      <c r="AC1024" s="852"/>
      <c r="AD1024" s="827"/>
      <c r="AE1024" s="827"/>
      <c r="AF1024" s="827"/>
      <c r="AG1024" s="827"/>
      <c r="AH1024" s="827"/>
      <c r="AI1024" s="827"/>
      <c r="AJ1024" s="827"/>
    </row>
    <row r="1025" spans="5:36" ht="18" x14ac:dyDescent="0.25">
      <c r="E1025" s="826"/>
      <c r="H1025" s="849">
        <v>538</v>
      </c>
      <c r="I1025" s="850"/>
      <c r="J1025" s="827"/>
      <c r="K1025" s="827"/>
      <c r="L1025" s="827"/>
      <c r="M1025" s="851"/>
      <c r="N1025" s="827"/>
      <c r="O1025" s="827"/>
      <c r="P1025" s="827"/>
      <c r="Q1025" s="827"/>
      <c r="R1025" s="827"/>
      <c r="S1025" s="827"/>
      <c r="T1025" s="827"/>
      <c r="U1025" s="827"/>
      <c r="V1025" s="827"/>
      <c r="W1025" s="827"/>
      <c r="X1025" s="827"/>
      <c r="Y1025" s="827"/>
      <c r="Z1025" s="827"/>
      <c r="AA1025" s="827"/>
      <c r="AB1025" s="827"/>
      <c r="AC1025" s="852"/>
      <c r="AD1025" s="827"/>
      <c r="AE1025" s="827"/>
      <c r="AF1025" s="827"/>
      <c r="AG1025" s="827"/>
      <c r="AH1025" s="827"/>
      <c r="AI1025" s="827"/>
      <c r="AJ1025" s="827"/>
    </row>
    <row r="1026" spans="5:36" ht="18" x14ac:dyDescent="0.25">
      <c r="E1026" s="826"/>
      <c r="H1026" s="849">
        <v>539</v>
      </c>
      <c r="I1026" s="850"/>
      <c r="J1026" s="827"/>
      <c r="K1026" s="827"/>
      <c r="L1026" s="827"/>
      <c r="M1026" s="851"/>
      <c r="N1026" s="827"/>
      <c r="O1026" s="827"/>
      <c r="P1026" s="827"/>
      <c r="Q1026" s="827"/>
      <c r="R1026" s="827"/>
      <c r="S1026" s="827"/>
      <c r="T1026" s="827"/>
      <c r="U1026" s="827"/>
      <c r="V1026" s="827"/>
      <c r="W1026" s="827"/>
      <c r="X1026" s="827"/>
      <c r="Y1026" s="827"/>
      <c r="Z1026" s="827"/>
      <c r="AA1026" s="827"/>
      <c r="AB1026" s="827"/>
      <c r="AC1026" s="852"/>
      <c r="AD1026" s="827"/>
      <c r="AE1026" s="827"/>
      <c r="AF1026" s="827"/>
      <c r="AG1026" s="827"/>
      <c r="AH1026" s="827"/>
      <c r="AI1026" s="827"/>
      <c r="AJ1026" s="827"/>
    </row>
    <row r="1027" spans="5:36" ht="18" x14ac:dyDescent="0.25">
      <c r="E1027" s="826"/>
      <c r="H1027" s="849">
        <v>540</v>
      </c>
      <c r="I1027" s="850"/>
      <c r="J1027" s="827"/>
      <c r="K1027" s="827"/>
      <c r="L1027" s="827"/>
      <c r="M1027" s="851"/>
      <c r="N1027" s="827"/>
      <c r="O1027" s="827"/>
      <c r="P1027" s="827"/>
      <c r="Q1027" s="827"/>
      <c r="R1027" s="827"/>
      <c r="S1027" s="827"/>
      <c r="T1027" s="827"/>
      <c r="U1027" s="827"/>
      <c r="V1027" s="827"/>
      <c r="W1027" s="827"/>
      <c r="X1027" s="827"/>
      <c r="Y1027" s="827"/>
      <c r="Z1027" s="827"/>
      <c r="AA1027" s="827"/>
      <c r="AB1027" s="827"/>
      <c r="AC1027" s="852"/>
      <c r="AD1027" s="827"/>
      <c r="AE1027" s="827"/>
      <c r="AF1027" s="827"/>
      <c r="AG1027" s="827"/>
      <c r="AH1027" s="827"/>
      <c r="AI1027" s="827"/>
      <c r="AJ1027" s="827"/>
    </row>
    <row r="1028" spans="5:36" ht="18" x14ac:dyDescent="0.25">
      <c r="E1028" s="826"/>
      <c r="H1028" s="849">
        <v>541</v>
      </c>
      <c r="I1028" s="850"/>
      <c r="J1028" s="827"/>
      <c r="K1028" s="827"/>
      <c r="L1028" s="827"/>
      <c r="M1028" s="851"/>
      <c r="N1028" s="827"/>
      <c r="O1028" s="827"/>
      <c r="P1028" s="827"/>
      <c r="Q1028" s="827"/>
      <c r="R1028" s="827"/>
      <c r="S1028" s="827"/>
      <c r="T1028" s="827"/>
      <c r="U1028" s="827"/>
      <c r="V1028" s="827"/>
      <c r="W1028" s="827"/>
      <c r="X1028" s="827"/>
      <c r="Y1028" s="827"/>
      <c r="Z1028" s="827"/>
      <c r="AA1028" s="827"/>
      <c r="AB1028" s="827"/>
      <c r="AC1028" s="852"/>
      <c r="AD1028" s="827"/>
      <c r="AE1028" s="827"/>
      <c r="AF1028" s="827"/>
      <c r="AG1028" s="827"/>
      <c r="AH1028" s="827"/>
      <c r="AI1028" s="827"/>
      <c r="AJ1028" s="827"/>
    </row>
    <row r="1029" spans="5:36" ht="18" x14ac:dyDescent="0.25">
      <c r="E1029" s="826"/>
      <c r="H1029" s="849">
        <v>542</v>
      </c>
      <c r="I1029" s="850"/>
      <c r="J1029" s="827"/>
      <c r="K1029" s="827"/>
      <c r="L1029" s="827"/>
      <c r="M1029" s="851"/>
      <c r="N1029" s="827"/>
      <c r="O1029" s="827"/>
      <c r="P1029" s="827"/>
      <c r="Q1029" s="827"/>
      <c r="R1029" s="827"/>
      <c r="S1029" s="827"/>
      <c r="T1029" s="827"/>
      <c r="U1029" s="827"/>
      <c r="V1029" s="827"/>
      <c r="W1029" s="827"/>
      <c r="X1029" s="827"/>
      <c r="Y1029" s="827"/>
      <c r="Z1029" s="827"/>
      <c r="AA1029" s="827"/>
      <c r="AB1029" s="827"/>
      <c r="AC1029" s="852"/>
      <c r="AD1029" s="827"/>
      <c r="AE1029" s="827"/>
      <c r="AF1029" s="827"/>
      <c r="AG1029" s="827"/>
      <c r="AH1029" s="827"/>
      <c r="AI1029" s="827"/>
      <c r="AJ1029" s="827"/>
    </row>
    <row r="1030" spans="5:36" ht="18" x14ac:dyDescent="0.25">
      <c r="E1030" s="826"/>
      <c r="H1030" s="849">
        <v>543</v>
      </c>
      <c r="I1030" s="850"/>
      <c r="J1030" s="827"/>
      <c r="K1030" s="827"/>
      <c r="L1030" s="827"/>
      <c r="M1030" s="851"/>
      <c r="N1030" s="827"/>
      <c r="O1030" s="827"/>
      <c r="P1030" s="827"/>
      <c r="Q1030" s="827"/>
      <c r="R1030" s="827"/>
      <c r="S1030" s="827"/>
      <c r="T1030" s="827"/>
      <c r="U1030" s="827"/>
      <c r="V1030" s="827"/>
      <c r="W1030" s="827"/>
      <c r="X1030" s="827"/>
      <c r="Y1030" s="827"/>
      <c r="Z1030" s="827"/>
      <c r="AA1030" s="827"/>
      <c r="AB1030" s="827"/>
      <c r="AC1030" s="852"/>
      <c r="AD1030" s="827"/>
      <c r="AE1030" s="827"/>
      <c r="AF1030" s="827"/>
      <c r="AG1030" s="827"/>
      <c r="AH1030" s="827"/>
      <c r="AI1030" s="827"/>
      <c r="AJ1030" s="827"/>
    </row>
    <row r="1031" spans="5:36" ht="18" x14ac:dyDescent="0.25">
      <c r="E1031" s="826"/>
      <c r="H1031" s="849">
        <v>544</v>
      </c>
      <c r="I1031" s="850"/>
      <c r="J1031" s="827"/>
      <c r="K1031" s="827"/>
      <c r="L1031" s="827"/>
      <c r="M1031" s="851"/>
      <c r="N1031" s="827"/>
      <c r="O1031" s="827"/>
      <c r="P1031" s="827"/>
      <c r="Q1031" s="827"/>
      <c r="R1031" s="827"/>
      <c r="S1031" s="827"/>
      <c r="T1031" s="827"/>
      <c r="U1031" s="827"/>
      <c r="V1031" s="827"/>
      <c r="W1031" s="827"/>
      <c r="X1031" s="827"/>
      <c r="Y1031" s="827"/>
      <c r="Z1031" s="827"/>
      <c r="AA1031" s="827"/>
      <c r="AB1031" s="827"/>
      <c r="AC1031" s="852"/>
      <c r="AD1031" s="827"/>
      <c r="AE1031" s="827"/>
      <c r="AF1031" s="827"/>
      <c r="AG1031" s="827"/>
      <c r="AH1031" s="827"/>
      <c r="AI1031" s="827"/>
      <c r="AJ1031" s="827"/>
    </row>
    <row r="1032" spans="5:36" ht="18" x14ac:dyDescent="0.25">
      <c r="E1032" s="826"/>
      <c r="H1032" s="849">
        <v>545</v>
      </c>
      <c r="I1032" s="850"/>
      <c r="J1032" s="827"/>
      <c r="K1032" s="827"/>
      <c r="L1032" s="827"/>
      <c r="M1032" s="851"/>
      <c r="N1032" s="827"/>
      <c r="O1032" s="827"/>
      <c r="P1032" s="827"/>
      <c r="Q1032" s="827"/>
      <c r="R1032" s="827"/>
      <c r="S1032" s="827"/>
      <c r="T1032" s="827"/>
      <c r="U1032" s="827"/>
      <c r="V1032" s="827"/>
      <c r="W1032" s="827"/>
      <c r="X1032" s="827"/>
      <c r="Y1032" s="827"/>
      <c r="Z1032" s="827"/>
      <c r="AA1032" s="827"/>
      <c r="AB1032" s="827"/>
      <c r="AC1032" s="852"/>
      <c r="AD1032" s="827"/>
      <c r="AE1032" s="827"/>
      <c r="AF1032" s="827"/>
      <c r="AG1032" s="827"/>
      <c r="AH1032" s="827"/>
      <c r="AI1032" s="827"/>
      <c r="AJ1032" s="827"/>
    </row>
    <row r="1033" spans="5:36" ht="18" x14ac:dyDescent="0.25">
      <c r="E1033" s="826"/>
      <c r="H1033" s="849">
        <v>546</v>
      </c>
      <c r="I1033" s="850"/>
      <c r="J1033" s="827"/>
      <c r="K1033" s="827"/>
      <c r="L1033" s="827"/>
      <c r="M1033" s="851"/>
      <c r="N1033" s="827"/>
      <c r="O1033" s="827"/>
      <c r="P1033" s="827"/>
      <c r="Q1033" s="827"/>
      <c r="R1033" s="827"/>
      <c r="S1033" s="827"/>
      <c r="T1033" s="827"/>
      <c r="U1033" s="827"/>
      <c r="V1033" s="827"/>
      <c r="W1033" s="827"/>
      <c r="X1033" s="827"/>
      <c r="Y1033" s="827"/>
      <c r="Z1033" s="827"/>
      <c r="AA1033" s="827"/>
      <c r="AB1033" s="827"/>
      <c r="AC1033" s="852"/>
      <c r="AD1033" s="827"/>
      <c r="AE1033" s="827"/>
      <c r="AF1033" s="827"/>
      <c r="AG1033" s="827"/>
      <c r="AH1033" s="827"/>
      <c r="AI1033" s="827"/>
      <c r="AJ1033" s="827"/>
    </row>
    <row r="1034" spans="5:36" ht="18" x14ac:dyDescent="0.25">
      <c r="E1034" s="826"/>
      <c r="H1034" s="849">
        <v>547</v>
      </c>
      <c r="I1034" s="850"/>
      <c r="J1034" s="827"/>
      <c r="K1034" s="827"/>
      <c r="L1034" s="827"/>
      <c r="M1034" s="851"/>
      <c r="N1034" s="827"/>
      <c r="O1034" s="827"/>
      <c r="P1034" s="827"/>
      <c r="Q1034" s="827"/>
      <c r="R1034" s="827"/>
      <c r="S1034" s="827"/>
      <c r="T1034" s="827"/>
      <c r="U1034" s="827"/>
      <c r="V1034" s="827"/>
      <c r="W1034" s="827"/>
      <c r="X1034" s="827"/>
      <c r="Y1034" s="827"/>
      <c r="Z1034" s="827"/>
      <c r="AA1034" s="827"/>
      <c r="AB1034" s="827"/>
      <c r="AC1034" s="852"/>
      <c r="AD1034" s="827"/>
      <c r="AE1034" s="827"/>
      <c r="AF1034" s="827"/>
      <c r="AG1034" s="827"/>
      <c r="AH1034" s="827"/>
      <c r="AI1034" s="827"/>
      <c r="AJ1034" s="827"/>
    </row>
    <row r="1035" spans="5:36" ht="18" x14ac:dyDescent="0.25">
      <c r="E1035" s="826"/>
      <c r="H1035" s="849">
        <v>548</v>
      </c>
      <c r="I1035" s="850"/>
      <c r="J1035" s="827"/>
      <c r="K1035" s="827"/>
      <c r="L1035" s="827"/>
      <c r="M1035" s="851"/>
      <c r="N1035" s="827"/>
      <c r="O1035" s="827"/>
      <c r="P1035" s="827"/>
      <c r="Q1035" s="827"/>
      <c r="R1035" s="827"/>
      <c r="S1035" s="827"/>
      <c r="T1035" s="827"/>
      <c r="U1035" s="827"/>
      <c r="V1035" s="827"/>
      <c r="W1035" s="827"/>
      <c r="X1035" s="827"/>
      <c r="Y1035" s="827"/>
      <c r="Z1035" s="827"/>
      <c r="AA1035" s="827"/>
      <c r="AB1035" s="827"/>
      <c r="AC1035" s="852"/>
      <c r="AD1035" s="827"/>
      <c r="AE1035" s="827"/>
      <c r="AF1035" s="827"/>
      <c r="AG1035" s="827"/>
      <c r="AH1035" s="827"/>
      <c r="AI1035" s="827"/>
      <c r="AJ1035" s="827"/>
    </row>
    <row r="1036" spans="5:36" ht="18" x14ac:dyDescent="0.25">
      <c r="E1036" s="826"/>
      <c r="H1036" s="849">
        <v>549</v>
      </c>
      <c r="I1036" s="850"/>
      <c r="J1036" s="827"/>
      <c r="K1036" s="827"/>
      <c r="L1036" s="827"/>
      <c r="M1036" s="851"/>
      <c r="N1036" s="827"/>
      <c r="O1036" s="827"/>
      <c r="P1036" s="827"/>
      <c r="Q1036" s="827"/>
      <c r="R1036" s="827"/>
      <c r="S1036" s="827"/>
      <c r="T1036" s="827"/>
      <c r="U1036" s="827"/>
      <c r="V1036" s="827"/>
      <c r="W1036" s="827"/>
      <c r="X1036" s="827"/>
      <c r="Y1036" s="827"/>
      <c r="Z1036" s="827"/>
      <c r="AA1036" s="827"/>
      <c r="AB1036" s="827"/>
      <c r="AC1036" s="852"/>
      <c r="AD1036" s="827"/>
      <c r="AE1036" s="827"/>
      <c r="AF1036" s="827"/>
      <c r="AG1036" s="827"/>
      <c r="AH1036" s="827"/>
      <c r="AI1036" s="827"/>
      <c r="AJ1036" s="827"/>
    </row>
    <row r="1037" spans="5:36" ht="18" x14ac:dyDescent="0.25">
      <c r="E1037" s="826"/>
      <c r="H1037" s="849">
        <v>550</v>
      </c>
      <c r="I1037" s="850"/>
      <c r="J1037" s="827"/>
      <c r="K1037" s="827"/>
      <c r="L1037" s="827"/>
      <c r="M1037" s="851"/>
      <c r="N1037" s="827"/>
      <c r="O1037" s="827"/>
      <c r="P1037" s="827"/>
      <c r="Q1037" s="827"/>
      <c r="R1037" s="827"/>
      <c r="S1037" s="827"/>
      <c r="T1037" s="827"/>
      <c r="U1037" s="827"/>
      <c r="V1037" s="827"/>
      <c r="W1037" s="827"/>
      <c r="X1037" s="827"/>
      <c r="Y1037" s="827"/>
      <c r="Z1037" s="827"/>
      <c r="AA1037" s="827"/>
      <c r="AB1037" s="827"/>
      <c r="AC1037" s="852"/>
      <c r="AD1037" s="827"/>
      <c r="AE1037" s="827"/>
      <c r="AF1037" s="827"/>
      <c r="AG1037" s="827"/>
      <c r="AH1037" s="827"/>
      <c r="AI1037" s="827"/>
      <c r="AJ1037" s="827"/>
    </row>
    <row r="1038" spans="5:36" ht="18" x14ac:dyDescent="0.25">
      <c r="E1038" s="826"/>
      <c r="H1038" s="849">
        <v>551</v>
      </c>
      <c r="I1038" s="850"/>
      <c r="J1038" s="827"/>
      <c r="K1038" s="827"/>
      <c r="L1038" s="827"/>
      <c r="M1038" s="851"/>
      <c r="N1038" s="827"/>
      <c r="O1038" s="827"/>
      <c r="P1038" s="827"/>
      <c r="Q1038" s="827"/>
      <c r="R1038" s="827"/>
      <c r="S1038" s="827"/>
      <c r="T1038" s="827"/>
      <c r="U1038" s="827"/>
      <c r="V1038" s="827"/>
      <c r="W1038" s="827"/>
      <c r="X1038" s="827"/>
      <c r="Y1038" s="827"/>
      <c r="Z1038" s="827"/>
      <c r="AA1038" s="827"/>
      <c r="AB1038" s="827"/>
      <c r="AC1038" s="852"/>
      <c r="AD1038" s="827"/>
      <c r="AE1038" s="827"/>
      <c r="AF1038" s="827"/>
      <c r="AG1038" s="827"/>
      <c r="AH1038" s="827"/>
      <c r="AI1038" s="827"/>
      <c r="AJ1038" s="827"/>
    </row>
    <row r="1039" spans="5:36" ht="18" x14ac:dyDescent="0.25">
      <c r="E1039" s="826"/>
      <c r="H1039" s="849">
        <v>552</v>
      </c>
      <c r="I1039" s="850"/>
      <c r="J1039" s="827"/>
      <c r="K1039" s="827"/>
      <c r="L1039" s="827"/>
      <c r="M1039" s="851"/>
      <c r="N1039" s="827"/>
      <c r="O1039" s="827"/>
      <c r="P1039" s="827"/>
      <c r="Q1039" s="827"/>
      <c r="R1039" s="827"/>
      <c r="S1039" s="827"/>
      <c r="T1039" s="827"/>
      <c r="U1039" s="827"/>
      <c r="V1039" s="827"/>
      <c r="W1039" s="827"/>
      <c r="X1039" s="827"/>
      <c r="Y1039" s="827"/>
      <c r="Z1039" s="827"/>
      <c r="AA1039" s="827"/>
      <c r="AB1039" s="827"/>
      <c r="AC1039" s="852"/>
      <c r="AD1039" s="827"/>
      <c r="AE1039" s="827"/>
      <c r="AF1039" s="827"/>
      <c r="AG1039" s="827"/>
      <c r="AH1039" s="827"/>
      <c r="AI1039" s="827"/>
      <c r="AJ1039" s="827"/>
    </row>
    <row r="1040" spans="5:36" ht="18" x14ac:dyDescent="0.25">
      <c r="E1040" s="826"/>
      <c r="H1040" s="849">
        <v>553</v>
      </c>
      <c r="I1040" s="850"/>
      <c r="J1040" s="827"/>
      <c r="K1040" s="827"/>
      <c r="L1040" s="827"/>
      <c r="M1040" s="851"/>
      <c r="N1040" s="827"/>
      <c r="O1040" s="827"/>
      <c r="P1040" s="827"/>
      <c r="Q1040" s="827"/>
      <c r="R1040" s="827"/>
      <c r="S1040" s="827"/>
      <c r="T1040" s="827"/>
      <c r="U1040" s="827"/>
      <c r="V1040" s="827"/>
      <c r="W1040" s="827"/>
      <c r="X1040" s="827"/>
      <c r="Y1040" s="827"/>
      <c r="Z1040" s="827"/>
      <c r="AA1040" s="827"/>
      <c r="AB1040" s="827"/>
      <c r="AC1040" s="852"/>
      <c r="AD1040" s="827"/>
      <c r="AE1040" s="827"/>
      <c r="AF1040" s="827"/>
      <c r="AG1040" s="827"/>
      <c r="AH1040" s="827"/>
      <c r="AI1040" s="827"/>
      <c r="AJ1040" s="827"/>
    </row>
    <row r="1041" spans="5:36" ht="18" x14ac:dyDescent="0.25">
      <c r="E1041" s="826"/>
      <c r="H1041" s="849">
        <v>554</v>
      </c>
      <c r="I1041" s="850"/>
      <c r="J1041" s="827"/>
      <c r="K1041" s="827"/>
      <c r="L1041" s="827"/>
      <c r="M1041" s="851"/>
      <c r="N1041" s="827"/>
      <c r="O1041" s="827"/>
      <c r="P1041" s="827"/>
      <c r="Q1041" s="827"/>
      <c r="R1041" s="827"/>
      <c r="S1041" s="827"/>
      <c r="T1041" s="827"/>
      <c r="U1041" s="827"/>
      <c r="V1041" s="827"/>
      <c r="W1041" s="827"/>
      <c r="X1041" s="827"/>
      <c r="Y1041" s="827"/>
      <c r="Z1041" s="827"/>
      <c r="AA1041" s="827"/>
      <c r="AB1041" s="827"/>
      <c r="AC1041" s="852"/>
      <c r="AD1041" s="827"/>
      <c r="AE1041" s="827"/>
      <c r="AF1041" s="827"/>
      <c r="AG1041" s="827"/>
      <c r="AH1041" s="827"/>
      <c r="AI1041" s="827"/>
      <c r="AJ1041" s="827"/>
    </row>
    <row r="1042" spans="5:36" ht="18" x14ac:dyDescent="0.25">
      <c r="E1042" s="826"/>
      <c r="H1042" s="849">
        <v>555</v>
      </c>
      <c r="I1042" s="850"/>
      <c r="J1042" s="827"/>
      <c r="K1042" s="827"/>
      <c r="L1042" s="827"/>
      <c r="M1042" s="851"/>
      <c r="N1042" s="827"/>
      <c r="O1042" s="827"/>
      <c r="P1042" s="827"/>
      <c r="Q1042" s="827"/>
      <c r="R1042" s="827"/>
      <c r="S1042" s="827"/>
      <c r="T1042" s="827"/>
      <c r="U1042" s="827"/>
      <c r="V1042" s="827"/>
      <c r="W1042" s="827"/>
      <c r="X1042" s="827"/>
      <c r="Y1042" s="827"/>
      <c r="Z1042" s="827"/>
      <c r="AA1042" s="827"/>
      <c r="AB1042" s="827"/>
      <c r="AC1042" s="852"/>
      <c r="AD1042" s="827"/>
      <c r="AE1042" s="827"/>
      <c r="AF1042" s="827"/>
      <c r="AG1042" s="827"/>
      <c r="AH1042" s="827"/>
      <c r="AI1042" s="827"/>
      <c r="AJ1042" s="827"/>
    </row>
    <row r="1043" spans="5:36" ht="18" x14ac:dyDescent="0.25">
      <c r="E1043" s="826"/>
      <c r="H1043" s="849">
        <v>556</v>
      </c>
      <c r="I1043" s="850"/>
      <c r="J1043" s="827"/>
      <c r="K1043" s="827"/>
      <c r="L1043" s="827"/>
      <c r="M1043" s="851"/>
      <c r="N1043" s="827"/>
      <c r="O1043" s="827"/>
      <c r="P1043" s="827"/>
      <c r="Q1043" s="827"/>
      <c r="R1043" s="827"/>
      <c r="S1043" s="827"/>
      <c r="T1043" s="827"/>
      <c r="U1043" s="827"/>
      <c r="V1043" s="827"/>
      <c r="W1043" s="827"/>
      <c r="X1043" s="827"/>
      <c r="Y1043" s="827"/>
      <c r="Z1043" s="827"/>
      <c r="AA1043" s="827"/>
      <c r="AB1043" s="827"/>
      <c r="AC1043" s="852"/>
      <c r="AD1043" s="827"/>
      <c r="AE1043" s="827"/>
      <c r="AF1043" s="827"/>
      <c r="AG1043" s="827"/>
      <c r="AH1043" s="827"/>
      <c r="AI1043" s="827"/>
      <c r="AJ1043" s="827"/>
    </row>
    <row r="1044" spans="5:36" ht="18" x14ac:dyDescent="0.25">
      <c r="E1044" s="826"/>
      <c r="H1044" s="849">
        <v>557</v>
      </c>
      <c r="I1044" s="850"/>
      <c r="J1044" s="827"/>
      <c r="K1044" s="827"/>
      <c r="L1044" s="827"/>
      <c r="M1044" s="851"/>
      <c r="N1044" s="827"/>
      <c r="O1044" s="827"/>
      <c r="P1044" s="827"/>
      <c r="Q1044" s="827"/>
      <c r="R1044" s="827"/>
      <c r="S1044" s="827"/>
      <c r="T1044" s="827"/>
      <c r="U1044" s="827"/>
      <c r="V1044" s="827"/>
      <c r="W1044" s="827"/>
      <c r="X1044" s="827"/>
      <c r="Y1044" s="827"/>
      <c r="Z1044" s="827"/>
      <c r="AA1044" s="827"/>
      <c r="AB1044" s="827"/>
      <c r="AC1044" s="852"/>
      <c r="AD1044" s="827"/>
      <c r="AE1044" s="827"/>
      <c r="AF1044" s="827"/>
      <c r="AG1044" s="827"/>
      <c r="AH1044" s="827"/>
      <c r="AI1044" s="827"/>
      <c r="AJ1044" s="827"/>
    </row>
    <row r="1045" spans="5:36" ht="18" x14ac:dyDescent="0.25">
      <c r="E1045" s="826"/>
      <c r="H1045" s="849">
        <v>558</v>
      </c>
      <c r="I1045" s="850"/>
      <c r="J1045" s="827"/>
      <c r="K1045" s="827"/>
      <c r="L1045" s="827"/>
      <c r="M1045" s="851"/>
      <c r="N1045" s="827"/>
      <c r="O1045" s="827"/>
      <c r="P1045" s="827"/>
      <c r="Q1045" s="827"/>
      <c r="R1045" s="827"/>
      <c r="S1045" s="827"/>
      <c r="T1045" s="827"/>
      <c r="U1045" s="827"/>
      <c r="V1045" s="827"/>
      <c r="W1045" s="827"/>
      <c r="X1045" s="827"/>
      <c r="Y1045" s="827"/>
      <c r="Z1045" s="827"/>
      <c r="AA1045" s="827"/>
      <c r="AB1045" s="827"/>
      <c r="AC1045" s="852"/>
      <c r="AD1045" s="827"/>
      <c r="AE1045" s="827"/>
      <c r="AF1045" s="827"/>
      <c r="AG1045" s="827"/>
      <c r="AH1045" s="827"/>
      <c r="AI1045" s="827"/>
      <c r="AJ1045" s="827"/>
    </row>
    <row r="1046" spans="5:36" ht="18" x14ac:dyDescent="0.25">
      <c r="E1046" s="826"/>
      <c r="H1046" s="849">
        <v>559</v>
      </c>
      <c r="I1046" s="850"/>
      <c r="J1046" s="827"/>
      <c r="K1046" s="827"/>
      <c r="L1046" s="827"/>
      <c r="M1046" s="851"/>
      <c r="N1046" s="827"/>
      <c r="O1046" s="827"/>
      <c r="P1046" s="827"/>
      <c r="Q1046" s="827"/>
      <c r="R1046" s="827"/>
      <c r="S1046" s="827"/>
      <c r="T1046" s="827"/>
      <c r="U1046" s="827"/>
      <c r="V1046" s="827"/>
      <c r="W1046" s="827"/>
      <c r="X1046" s="827"/>
      <c r="Y1046" s="827"/>
      <c r="Z1046" s="827"/>
      <c r="AA1046" s="827"/>
      <c r="AB1046" s="827"/>
      <c r="AC1046" s="852"/>
      <c r="AD1046" s="827"/>
      <c r="AE1046" s="827"/>
      <c r="AF1046" s="827"/>
      <c r="AG1046" s="827"/>
      <c r="AH1046" s="827"/>
      <c r="AI1046" s="827"/>
      <c r="AJ1046" s="827"/>
    </row>
    <row r="1047" spans="5:36" ht="18" x14ac:dyDescent="0.25">
      <c r="E1047" s="826"/>
      <c r="H1047" s="849">
        <v>560</v>
      </c>
      <c r="I1047" s="850"/>
      <c r="J1047" s="827"/>
      <c r="K1047" s="827"/>
      <c r="L1047" s="827"/>
      <c r="M1047" s="851"/>
      <c r="N1047" s="827"/>
      <c r="O1047" s="827"/>
      <c r="P1047" s="827"/>
      <c r="Q1047" s="827"/>
      <c r="R1047" s="827"/>
      <c r="S1047" s="827"/>
      <c r="T1047" s="827"/>
      <c r="U1047" s="827"/>
      <c r="V1047" s="827"/>
      <c r="W1047" s="827"/>
      <c r="X1047" s="827"/>
      <c r="Y1047" s="827"/>
      <c r="Z1047" s="827"/>
      <c r="AA1047" s="827"/>
      <c r="AB1047" s="827"/>
      <c r="AC1047" s="852"/>
      <c r="AD1047" s="827"/>
      <c r="AE1047" s="827"/>
      <c r="AF1047" s="827"/>
      <c r="AG1047" s="827"/>
      <c r="AH1047" s="827"/>
      <c r="AI1047" s="827"/>
      <c r="AJ1047" s="827"/>
    </row>
    <row r="1048" spans="5:36" ht="18" x14ac:dyDescent="0.25">
      <c r="E1048" s="826"/>
      <c r="H1048" s="849">
        <v>561</v>
      </c>
      <c r="I1048" s="850"/>
      <c r="J1048" s="827"/>
      <c r="K1048" s="827"/>
      <c r="L1048" s="827"/>
      <c r="M1048" s="851"/>
      <c r="N1048" s="827"/>
      <c r="O1048" s="827"/>
      <c r="P1048" s="827"/>
      <c r="Q1048" s="827"/>
      <c r="R1048" s="827"/>
      <c r="S1048" s="827"/>
      <c r="T1048" s="827"/>
      <c r="U1048" s="827"/>
      <c r="V1048" s="827"/>
      <c r="W1048" s="827"/>
      <c r="X1048" s="827"/>
      <c r="Y1048" s="827"/>
      <c r="Z1048" s="827"/>
      <c r="AA1048" s="827"/>
      <c r="AB1048" s="827"/>
      <c r="AC1048" s="852"/>
      <c r="AD1048" s="827"/>
      <c r="AE1048" s="827"/>
      <c r="AF1048" s="827"/>
      <c r="AG1048" s="827"/>
      <c r="AH1048" s="827"/>
      <c r="AI1048" s="827"/>
      <c r="AJ1048" s="827"/>
    </row>
    <row r="1049" spans="5:36" ht="18" x14ac:dyDescent="0.25">
      <c r="E1049" s="826"/>
      <c r="H1049" s="849">
        <v>562</v>
      </c>
      <c r="I1049" s="850"/>
      <c r="J1049" s="827"/>
      <c r="K1049" s="827"/>
      <c r="L1049" s="827"/>
      <c r="M1049" s="851"/>
      <c r="N1049" s="827"/>
      <c r="O1049" s="827"/>
      <c r="P1049" s="827"/>
      <c r="Q1049" s="827"/>
      <c r="R1049" s="827"/>
      <c r="S1049" s="827"/>
      <c r="T1049" s="827"/>
      <c r="U1049" s="827"/>
      <c r="V1049" s="827"/>
      <c r="W1049" s="827"/>
      <c r="X1049" s="827"/>
      <c r="Y1049" s="827"/>
      <c r="Z1049" s="827"/>
      <c r="AA1049" s="827"/>
      <c r="AB1049" s="827"/>
      <c r="AC1049" s="852"/>
      <c r="AD1049" s="827"/>
      <c r="AE1049" s="827"/>
      <c r="AF1049" s="827"/>
      <c r="AG1049" s="827"/>
      <c r="AH1049" s="827"/>
      <c r="AI1049" s="827"/>
      <c r="AJ1049" s="827"/>
    </row>
    <row r="1050" spans="5:36" ht="18" x14ac:dyDescent="0.25">
      <c r="E1050" s="826"/>
      <c r="H1050" s="849">
        <v>563</v>
      </c>
      <c r="I1050" s="850"/>
      <c r="J1050" s="827"/>
      <c r="K1050" s="827"/>
      <c r="L1050" s="827"/>
      <c r="M1050" s="851"/>
      <c r="N1050" s="827"/>
      <c r="O1050" s="827"/>
      <c r="P1050" s="827"/>
      <c r="Q1050" s="827"/>
      <c r="R1050" s="827"/>
      <c r="S1050" s="827"/>
      <c r="T1050" s="827"/>
      <c r="U1050" s="827"/>
      <c r="V1050" s="827"/>
      <c r="W1050" s="827"/>
      <c r="X1050" s="827"/>
      <c r="Y1050" s="827"/>
      <c r="Z1050" s="827"/>
      <c r="AA1050" s="827"/>
      <c r="AB1050" s="827"/>
      <c r="AC1050" s="852"/>
      <c r="AD1050" s="827"/>
      <c r="AE1050" s="827"/>
      <c r="AF1050" s="827"/>
      <c r="AG1050" s="827"/>
      <c r="AH1050" s="827"/>
      <c r="AI1050" s="827"/>
      <c r="AJ1050" s="827"/>
    </row>
    <row r="1051" spans="5:36" ht="18" x14ac:dyDescent="0.25">
      <c r="E1051" s="826"/>
      <c r="H1051" s="849">
        <v>564</v>
      </c>
      <c r="I1051" s="850"/>
      <c r="J1051" s="827"/>
      <c r="K1051" s="827"/>
      <c r="L1051" s="827"/>
      <c r="M1051" s="851"/>
      <c r="N1051" s="827"/>
      <c r="O1051" s="827"/>
      <c r="P1051" s="827"/>
      <c r="Q1051" s="827"/>
      <c r="R1051" s="827"/>
      <c r="S1051" s="827"/>
      <c r="T1051" s="827"/>
      <c r="U1051" s="827"/>
      <c r="V1051" s="827"/>
      <c r="W1051" s="827"/>
      <c r="X1051" s="827"/>
      <c r="Y1051" s="827"/>
      <c r="Z1051" s="827"/>
      <c r="AA1051" s="827"/>
      <c r="AB1051" s="827"/>
      <c r="AC1051" s="852"/>
      <c r="AD1051" s="827"/>
      <c r="AE1051" s="827"/>
      <c r="AF1051" s="827"/>
      <c r="AG1051" s="827"/>
      <c r="AH1051" s="827"/>
      <c r="AI1051" s="827"/>
      <c r="AJ1051" s="827"/>
    </row>
    <row r="1052" spans="5:36" ht="18" x14ac:dyDescent="0.25">
      <c r="E1052" s="826"/>
      <c r="H1052" s="849">
        <v>565</v>
      </c>
      <c r="I1052" s="850"/>
      <c r="J1052" s="827"/>
      <c r="K1052" s="827"/>
      <c r="L1052" s="827"/>
      <c r="M1052" s="851"/>
      <c r="N1052" s="827"/>
      <c r="O1052" s="827"/>
      <c r="P1052" s="827"/>
      <c r="Q1052" s="827"/>
      <c r="R1052" s="827"/>
      <c r="S1052" s="827"/>
      <c r="T1052" s="827"/>
      <c r="U1052" s="827"/>
      <c r="V1052" s="827"/>
      <c r="W1052" s="827"/>
      <c r="X1052" s="827"/>
      <c r="Y1052" s="827"/>
      <c r="Z1052" s="827"/>
      <c r="AA1052" s="827"/>
      <c r="AB1052" s="827"/>
      <c r="AC1052" s="852"/>
      <c r="AD1052" s="827"/>
      <c r="AE1052" s="827"/>
      <c r="AF1052" s="827"/>
      <c r="AG1052" s="827"/>
      <c r="AH1052" s="827"/>
      <c r="AI1052" s="827"/>
      <c r="AJ1052" s="827"/>
    </row>
    <row r="1053" spans="5:36" ht="18" x14ac:dyDescent="0.25">
      <c r="E1053" s="826"/>
      <c r="H1053" s="849">
        <v>566</v>
      </c>
      <c r="I1053" s="850"/>
      <c r="J1053" s="827"/>
      <c r="K1053" s="827"/>
      <c r="L1053" s="827"/>
      <c r="M1053" s="851"/>
      <c r="N1053" s="827"/>
      <c r="O1053" s="827"/>
      <c r="P1053" s="827"/>
      <c r="Q1053" s="827"/>
      <c r="R1053" s="827"/>
      <c r="S1053" s="827"/>
      <c r="T1053" s="827"/>
      <c r="U1053" s="827"/>
      <c r="V1053" s="827"/>
      <c r="W1053" s="827"/>
      <c r="X1053" s="827"/>
      <c r="Y1053" s="827"/>
      <c r="Z1053" s="827"/>
      <c r="AA1053" s="827"/>
      <c r="AB1053" s="827"/>
      <c r="AC1053" s="852"/>
      <c r="AD1053" s="827"/>
      <c r="AE1053" s="827"/>
      <c r="AF1053" s="827"/>
      <c r="AG1053" s="827"/>
      <c r="AH1053" s="827"/>
      <c r="AI1053" s="827"/>
      <c r="AJ1053" s="827"/>
    </row>
    <row r="1054" spans="5:36" ht="18" x14ac:dyDescent="0.25">
      <c r="E1054" s="826"/>
      <c r="H1054" s="849">
        <v>567</v>
      </c>
      <c r="I1054" s="850"/>
      <c r="J1054" s="827"/>
      <c r="K1054" s="827"/>
      <c r="L1054" s="827"/>
      <c r="M1054" s="851"/>
      <c r="N1054" s="827"/>
      <c r="O1054" s="827"/>
      <c r="P1054" s="827"/>
      <c r="Q1054" s="827"/>
      <c r="R1054" s="827"/>
      <c r="S1054" s="827"/>
      <c r="T1054" s="827"/>
      <c r="U1054" s="827"/>
      <c r="V1054" s="827"/>
      <c r="W1054" s="827"/>
      <c r="X1054" s="827"/>
      <c r="Y1054" s="827"/>
      <c r="Z1054" s="827"/>
      <c r="AA1054" s="827"/>
      <c r="AB1054" s="827"/>
      <c r="AC1054" s="852"/>
      <c r="AD1054" s="827"/>
      <c r="AE1054" s="827"/>
      <c r="AF1054" s="827"/>
      <c r="AG1054" s="827"/>
      <c r="AH1054" s="827"/>
      <c r="AI1054" s="827"/>
      <c r="AJ1054" s="827"/>
    </row>
    <row r="1055" spans="5:36" ht="18" x14ac:dyDescent="0.25">
      <c r="E1055" s="826"/>
      <c r="H1055" s="849">
        <v>568</v>
      </c>
      <c r="I1055" s="850"/>
      <c r="J1055" s="827"/>
      <c r="K1055" s="827"/>
      <c r="L1055" s="827"/>
      <c r="M1055" s="851"/>
      <c r="N1055" s="827"/>
      <c r="O1055" s="827"/>
      <c r="P1055" s="827"/>
      <c r="Q1055" s="827"/>
      <c r="R1055" s="827"/>
      <c r="S1055" s="827"/>
      <c r="T1055" s="827"/>
      <c r="U1055" s="827"/>
      <c r="V1055" s="827"/>
      <c r="W1055" s="827"/>
      <c r="X1055" s="827"/>
      <c r="Y1055" s="827"/>
      <c r="Z1055" s="827"/>
      <c r="AA1055" s="827"/>
      <c r="AB1055" s="827"/>
      <c r="AC1055" s="852"/>
      <c r="AD1055" s="827"/>
      <c r="AE1055" s="827"/>
      <c r="AF1055" s="827"/>
      <c r="AG1055" s="827"/>
      <c r="AH1055" s="827"/>
      <c r="AI1055" s="827"/>
      <c r="AJ1055" s="827"/>
    </row>
    <row r="1056" spans="5:36" ht="18" x14ac:dyDescent="0.25">
      <c r="E1056" s="826"/>
      <c r="H1056" s="849">
        <v>569</v>
      </c>
      <c r="I1056" s="850"/>
      <c r="J1056" s="827"/>
      <c r="K1056" s="827"/>
      <c r="L1056" s="827"/>
      <c r="M1056" s="851"/>
      <c r="N1056" s="827"/>
      <c r="O1056" s="827"/>
      <c r="P1056" s="827"/>
      <c r="Q1056" s="827"/>
      <c r="R1056" s="827"/>
      <c r="S1056" s="827"/>
      <c r="T1056" s="827"/>
      <c r="U1056" s="827"/>
      <c r="V1056" s="827"/>
      <c r="W1056" s="827"/>
      <c r="X1056" s="827"/>
      <c r="Y1056" s="827"/>
      <c r="Z1056" s="827"/>
      <c r="AA1056" s="827"/>
      <c r="AB1056" s="827"/>
      <c r="AC1056" s="852"/>
      <c r="AD1056" s="827"/>
      <c r="AE1056" s="827"/>
      <c r="AF1056" s="827"/>
      <c r="AG1056" s="827"/>
      <c r="AH1056" s="827"/>
      <c r="AI1056" s="827"/>
      <c r="AJ1056" s="827"/>
    </row>
    <row r="1057" spans="5:36" ht="18" x14ac:dyDescent="0.25">
      <c r="E1057" s="826"/>
      <c r="H1057" s="849">
        <v>570</v>
      </c>
      <c r="I1057" s="850"/>
      <c r="J1057" s="827"/>
      <c r="K1057" s="827"/>
      <c r="L1057" s="827"/>
      <c r="M1057" s="851"/>
      <c r="N1057" s="827"/>
      <c r="O1057" s="827"/>
      <c r="P1057" s="827"/>
      <c r="Q1057" s="827"/>
      <c r="R1057" s="827"/>
      <c r="S1057" s="827"/>
      <c r="T1057" s="827"/>
      <c r="U1057" s="827"/>
      <c r="V1057" s="827"/>
      <c r="W1057" s="827"/>
      <c r="X1057" s="827"/>
      <c r="Y1057" s="827"/>
      <c r="Z1057" s="827"/>
      <c r="AA1057" s="827"/>
      <c r="AB1057" s="827"/>
      <c r="AC1057" s="852"/>
      <c r="AD1057" s="827"/>
      <c r="AE1057" s="827"/>
      <c r="AF1057" s="827"/>
      <c r="AG1057" s="827"/>
      <c r="AH1057" s="827"/>
      <c r="AI1057" s="827"/>
      <c r="AJ1057" s="827"/>
    </row>
    <row r="1058" spans="5:36" ht="18" x14ac:dyDescent="0.25">
      <c r="E1058" s="826"/>
      <c r="H1058" s="849">
        <v>571</v>
      </c>
      <c r="I1058" s="850"/>
      <c r="J1058" s="827"/>
      <c r="K1058" s="827"/>
      <c r="L1058" s="827"/>
      <c r="M1058" s="851"/>
      <c r="N1058" s="827"/>
      <c r="O1058" s="827"/>
      <c r="P1058" s="827"/>
      <c r="Q1058" s="827"/>
      <c r="R1058" s="827"/>
      <c r="S1058" s="827"/>
      <c r="T1058" s="827"/>
      <c r="U1058" s="827"/>
      <c r="V1058" s="827"/>
      <c r="W1058" s="827"/>
      <c r="X1058" s="827"/>
      <c r="Y1058" s="827"/>
      <c r="Z1058" s="827"/>
      <c r="AA1058" s="827"/>
      <c r="AB1058" s="827"/>
      <c r="AC1058" s="852"/>
      <c r="AD1058" s="827"/>
      <c r="AE1058" s="827"/>
      <c r="AF1058" s="827"/>
      <c r="AG1058" s="827"/>
      <c r="AH1058" s="827"/>
      <c r="AI1058" s="827"/>
      <c r="AJ1058" s="827"/>
    </row>
    <row r="1059" spans="5:36" ht="18" x14ac:dyDescent="0.25">
      <c r="E1059" s="826"/>
      <c r="H1059" s="849">
        <v>572</v>
      </c>
      <c r="I1059" s="850"/>
      <c r="J1059" s="827"/>
      <c r="K1059" s="827"/>
      <c r="L1059" s="827"/>
      <c r="M1059" s="851"/>
      <c r="N1059" s="827"/>
      <c r="O1059" s="827"/>
      <c r="P1059" s="827"/>
      <c r="Q1059" s="827"/>
      <c r="R1059" s="827"/>
      <c r="S1059" s="827"/>
      <c r="T1059" s="827"/>
      <c r="U1059" s="827"/>
      <c r="V1059" s="827"/>
      <c r="W1059" s="827"/>
      <c r="X1059" s="827"/>
      <c r="Y1059" s="827"/>
      <c r="Z1059" s="827"/>
      <c r="AA1059" s="827"/>
      <c r="AB1059" s="827"/>
      <c r="AC1059" s="852"/>
      <c r="AD1059" s="827"/>
      <c r="AE1059" s="827"/>
      <c r="AF1059" s="827"/>
      <c r="AG1059" s="827"/>
      <c r="AH1059" s="827"/>
      <c r="AI1059" s="827"/>
      <c r="AJ1059" s="827"/>
    </row>
    <row r="1060" spans="5:36" ht="18" x14ac:dyDescent="0.25">
      <c r="E1060" s="826"/>
      <c r="H1060" s="849">
        <v>573</v>
      </c>
      <c r="I1060" s="850"/>
      <c r="J1060" s="827"/>
      <c r="K1060" s="827"/>
      <c r="L1060" s="827"/>
      <c r="M1060" s="851"/>
      <c r="N1060" s="827"/>
      <c r="O1060" s="827"/>
      <c r="P1060" s="827"/>
      <c r="Q1060" s="827"/>
      <c r="R1060" s="827"/>
      <c r="S1060" s="827"/>
      <c r="T1060" s="827"/>
      <c r="U1060" s="827"/>
      <c r="V1060" s="827"/>
      <c r="W1060" s="827"/>
      <c r="X1060" s="827"/>
      <c r="Y1060" s="827"/>
      <c r="Z1060" s="827"/>
      <c r="AA1060" s="827"/>
      <c r="AB1060" s="827"/>
      <c r="AC1060" s="852"/>
      <c r="AD1060" s="827"/>
      <c r="AE1060" s="827"/>
      <c r="AF1060" s="827"/>
      <c r="AG1060" s="827"/>
      <c r="AH1060" s="827"/>
      <c r="AI1060" s="827"/>
      <c r="AJ1060" s="827"/>
    </row>
    <row r="1061" spans="5:36" ht="18" x14ac:dyDescent="0.25">
      <c r="E1061" s="826"/>
      <c r="H1061" s="849">
        <v>575</v>
      </c>
      <c r="I1061" s="850"/>
      <c r="J1061" s="827"/>
      <c r="K1061" s="827"/>
      <c r="L1061" s="827"/>
      <c r="M1061" s="851"/>
      <c r="N1061" s="827"/>
      <c r="O1061" s="827"/>
      <c r="P1061" s="827"/>
      <c r="Q1061" s="827"/>
      <c r="R1061" s="827"/>
      <c r="S1061" s="827"/>
      <c r="T1061" s="827"/>
      <c r="U1061" s="827"/>
      <c r="V1061" s="827"/>
      <c r="W1061" s="827"/>
      <c r="X1061" s="827"/>
      <c r="Y1061" s="827"/>
      <c r="Z1061" s="827"/>
      <c r="AA1061" s="827"/>
      <c r="AB1061" s="827"/>
      <c r="AC1061" s="852"/>
      <c r="AD1061" s="827"/>
      <c r="AE1061" s="827"/>
      <c r="AF1061" s="827"/>
      <c r="AG1061" s="827"/>
      <c r="AH1061" s="827"/>
      <c r="AI1061" s="827"/>
      <c r="AJ1061" s="827"/>
    </row>
    <row r="1062" spans="5:36" ht="18" x14ac:dyDescent="0.25">
      <c r="E1062" s="826"/>
      <c r="H1062" s="849">
        <v>576</v>
      </c>
      <c r="I1062" s="850"/>
      <c r="J1062" s="827"/>
      <c r="K1062" s="827"/>
      <c r="L1062" s="827"/>
      <c r="M1062" s="851"/>
      <c r="N1062" s="827"/>
      <c r="O1062" s="827"/>
      <c r="P1062" s="827"/>
      <c r="Q1062" s="827"/>
      <c r="R1062" s="827"/>
      <c r="S1062" s="827"/>
      <c r="T1062" s="827"/>
      <c r="U1062" s="827"/>
      <c r="V1062" s="827"/>
      <c r="W1062" s="827"/>
      <c r="X1062" s="827"/>
      <c r="Y1062" s="827"/>
      <c r="Z1062" s="827"/>
      <c r="AA1062" s="827"/>
      <c r="AB1062" s="827"/>
      <c r="AC1062" s="852"/>
      <c r="AD1062" s="827"/>
      <c r="AE1062" s="827"/>
      <c r="AF1062" s="827"/>
      <c r="AG1062" s="827"/>
      <c r="AH1062" s="827"/>
      <c r="AI1062" s="827"/>
      <c r="AJ1062" s="827"/>
    </row>
    <row r="1063" spans="5:36" ht="18" x14ac:dyDescent="0.25">
      <c r="E1063" s="826"/>
      <c r="H1063" s="849">
        <v>577</v>
      </c>
      <c r="I1063" s="850"/>
      <c r="J1063" s="827"/>
      <c r="K1063" s="827"/>
      <c r="L1063" s="827"/>
      <c r="M1063" s="851"/>
      <c r="N1063" s="827"/>
      <c r="O1063" s="827"/>
      <c r="P1063" s="827"/>
      <c r="Q1063" s="827"/>
      <c r="R1063" s="827"/>
      <c r="S1063" s="827"/>
      <c r="T1063" s="827"/>
      <c r="U1063" s="827"/>
      <c r="V1063" s="827"/>
      <c r="W1063" s="827"/>
      <c r="X1063" s="827"/>
      <c r="Y1063" s="827"/>
      <c r="Z1063" s="827"/>
      <c r="AA1063" s="827"/>
      <c r="AB1063" s="827"/>
      <c r="AC1063" s="852"/>
      <c r="AD1063" s="827"/>
      <c r="AE1063" s="827"/>
      <c r="AF1063" s="827"/>
      <c r="AG1063" s="827"/>
      <c r="AH1063" s="827"/>
      <c r="AI1063" s="827"/>
      <c r="AJ1063" s="827"/>
    </row>
    <row r="1064" spans="5:36" ht="18" x14ac:dyDescent="0.25">
      <c r="E1064" s="826"/>
      <c r="H1064" s="849">
        <v>578</v>
      </c>
      <c r="I1064" s="850"/>
      <c r="J1064" s="827"/>
      <c r="K1064" s="827"/>
      <c r="L1064" s="827"/>
      <c r="M1064" s="851"/>
      <c r="N1064" s="827"/>
      <c r="O1064" s="827"/>
      <c r="P1064" s="827"/>
      <c r="Q1064" s="827"/>
      <c r="R1064" s="827"/>
      <c r="S1064" s="827"/>
      <c r="T1064" s="827"/>
      <c r="U1064" s="827"/>
      <c r="V1064" s="827"/>
      <c r="W1064" s="827"/>
      <c r="X1064" s="827"/>
      <c r="Y1064" s="827"/>
      <c r="Z1064" s="827"/>
      <c r="AA1064" s="827"/>
      <c r="AB1064" s="827"/>
      <c r="AC1064" s="852"/>
      <c r="AD1064" s="827"/>
      <c r="AE1064" s="827"/>
      <c r="AF1064" s="827"/>
      <c r="AG1064" s="827"/>
      <c r="AH1064" s="827"/>
      <c r="AI1064" s="827"/>
      <c r="AJ1064" s="827"/>
    </row>
    <row r="1065" spans="5:36" ht="18" x14ac:dyDescent="0.25">
      <c r="E1065" s="826"/>
      <c r="H1065" s="849">
        <v>579</v>
      </c>
      <c r="I1065" s="850"/>
      <c r="J1065" s="827"/>
      <c r="K1065" s="827"/>
      <c r="L1065" s="827"/>
      <c r="M1065" s="851"/>
      <c r="N1065" s="827"/>
      <c r="O1065" s="827"/>
      <c r="P1065" s="827"/>
      <c r="Q1065" s="827"/>
      <c r="R1065" s="827"/>
      <c r="S1065" s="827"/>
      <c r="T1065" s="827"/>
      <c r="U1065" s="827"/>
      <c r="V1065" s="827"/>
      <c r="W1065" s="827"/>
      <c r="X1065" s="827"/>
      <c r="Y1065" s="827"/>
      <c r="Z1065" s="827"/>
      <c r="AA1065" s="827"/>
      <c r="AB1065" s="827"/>
      <c r="AC1065" s="852"/>
      <c r="AD1065" s="827"/>
      <c r="AE1065" s="827"/>
      <c r="AF1065" s="827"/>
      <c r="AG1065" s="827"/>
      <c r="AH1065" s="827"/>
      <c r="AI1065" s="827"/>
      <c r="AJ1065" s="827"/>
    </row>
    <row r="1066" spans="5:36" ht="18" x14ac:dyDescent="0.25">
      <c r="E1066" s="826"/>
      <c r="H1066" s="849">
        <v>580</v>
      </c>
      <c r="I1066" s="850"/>
      <c r="J1066" s="827"/>
      <c r="K1066" s="827"/>
      <c r="L1066" s="827"/>
      <c r="M1066" s="851"/>
      <c r="N1066" s="827"/>
      <c r="O1066" s="827"/>
      <c r="P1066" s="827"/>
      <c r="Q1066" s="827"/>
      <c r="R1066" s="827"/>
      <c r="S1066" s="827"/>
      <c r="T1066" s="827"/>
      <c r="U1066" s="827"/>
      <c r="V1066" s="827"/>
      <c r="W1066" s="827"/>
      <c r="X1066" s="827"/>
      <c r="Y1066" s="827"/>
      <c r="Z1066" s="827"/>
      <c r="AA1066" s="827"/>
      <c r="AB1066" s="827"/>
      <c r="AC1066" s="852"/>
      <c r="AD1066" s="827"/>
      <c r="AE1066" s="827"/>
      <c r="AF1066" s="827"/>
      <c r="AG1066" s="827"/>
      <c r="AH1066" s="827"/>
      <c r="AI1066" s="827"/>
      <c r="AJ1066" s="827"/>
    </row>
    <row r="1067" spans="5:36" ht="18" x14ac:dyDescent="0.25">
      <c r="E1067" s="826"/>
      <c r="H1067" s="849">
        <v>581</v>
      </c>
      <c r="I1067" s="850"/>
      <c r="J1067" s="827"/>
      <c r="K1067" s="827"/>
      <c r="L1067" s="827"/>
      <c r="M1067" s="851"/>
      <c r="N1067" s="827"/>
      <c r="O1067" s="827"/>
      <c r="P1067" s="827"/>
      <c r="Q1067" s="827"/>
      <c r="R1067" s="827"/>
      <c r="S1067" s="827"/>
      <c r="T1067" s="827"/>
      <c r="U1067" s="827"/>
      <c r="V1067" s="827"/>
      <c r="W1067" s="827"/>
      <c r="X1067" s="827"/>
      <c r="Y1067" s="827"/>
      <c r="Z1067" s="827"/>
      <c r="AA1067" s="827"/>
      <c r="AB1067" s="827"/>
      <c r="AC1067" s="852"/>
      <c r="AD1067" s="827"/>
      <c r="AE1067" s="827"/>
      <c r="AF1067" s="827"/>
      <c r="AG1067" s="827"/>
      <c r="AH1067" s="827"/>
      <c r="AI1067" s="827"/>
      <c r="AJ1067" s="827"/>
    </row>
    <row r="1068" spans="5:36" ht="18" x14ac:dyDescent="0.25">
      <c r="E1068" s="826"/>
      <c r="H1068" s="849">
        <v>582</v>
      </c>
      <c r="I1068" s="850"/>
      <c r="J1068" s="827"/>
      <c r="K1068" s="827"/>
      <c r="L1068" s="827"/>
      <c r="M1068" s="851"/>
      <c r="N1068" s="827"/>
      <c r="O1068" s="827"/>
      <c r="P1068" s="827"/>
      <c r="Q1068" s="827"/>
      <c r="R1068" s="827"/>
      <c r="S1068" s="827"/>
      <c r="T1068" s="827"/>
      <c r="U1068" s="827"/>
      <c r="V1068" s="827"/>
      <c r="W1068" s="827"/>
      <c r="X1068" s="827"/>
      <c r="Y1068" s="827"/>
      <c r="Z1068" s="827"/>
      <c r="AA1068" s="827"/>
      <c r="AB1068" s="827"/>
      <c r="AC1068" s="852"/>
      <c r="AD1068" s="827"/>
      <c r="AE1068" s="827"/>
      <c r="AF1068" s="827"/>
      <c r="AG1068" s="827"/>
      <c r="AH1068" s="827"/>
      <c r="AI1068" s="827"/>
      <c r="AJ1068" s="827"/>
    </row>
    <row r="1069" spans="5:36" ht="18" x14ac:dyDescent="0.25">
      <c r="E1069" s="826"/>
      <c r="H1069" s="849">
        <v>583</v>
      </c>
      <c r="I1069" s="850"/>
      <c r="J1069" s="827"/>
      <c r="K1069" s="827"/>
      <c r="L1069" s="827"/>
      <c r="M1069" s="851"/>
      <c r="N1069" s="827"/>
      <c r="O1069" s="827"/>
      <c r="P1069" s="827"/>
      <c r="Q1069" s="827"/>
      <c r="R1069" s="827"/>
      <c r="S1069" s="827"/>
      <c r="T1069" s="827"/>
      <c r="U1069" s="827"/>
      <c r="V1069" s="827"/>
      <c r="W1069" s="827"/>
      <c r="X1069" s="827"/>
      <c r="Y1069" s="827"/>
      <c r="Z1069" s="827"/>
      <c r="AA1069" s="827"/>
      <c r="AB1069" s="827"/>
      <c r="AC1069" s="852"/>
      <c r="AD1069" s="827"/>
      <c r="AE1069" s="827"/>
      <c r="AF1069" s="827"/>
      <c r="AG1069" s="827"/>
      <c r="AH1069" s="827"/>
      <c r="AI1069" s="827"/>
      <c r="AJ1069" s="827"/>
    </row>
    <row r="1070" spans="5:36" ht="18" x14ac:dyDescent="0.25">
      <c r="E1070" s="826"/>
      <c r="H1070" s="849">
        <v>584</v>
      </c>
      <c r="I1070" s="850"/>
      <c r="J1070" s="827"/>
      <c r="K1070" s="827"/>
      <c r="L1070" s="827"/>
      <c r="M1070" s="851"/>
      <c r="N1070" s="827"/>
      <c r="O1070" s="827"/>
      <c r="P1070" s="827"/>
      <c r="Q1070" s="827"/>
      <c r="R1070" s="827"/>
      <c r="S1070" s="827"/>
      <c r="T1070" s="827"/>
      <c r="U1070" s="827"/>
      <c r="V1070" s="827"/>
      <c r="W1070" s="827"/>
      <c r="X1070" s="827"/>
      <c r="Y1070" s="827"/>
      <c r="Z1070" s="827"/>
      <c r="AA1070" s="827"/>
      <c r="AB1070" s="827"/>
      <c r="AC1070" s="852"/>
      <c r="AD1070" s="827"/>
      <c r="AE1070" s="827"/>
      <c r="AF1070" s="827"/>
      <c r="AG1070" s="827"/>
      <c r="AH1070" s="827"/>
      <c r="AI1070" s="827"/>
      <c r="AJ1070" s="827"/>
    </row>
    <row r="1071" spans="5:36" ht="18" x14ac:dyDescent="0.25">
      <c r="E1071" s="826"/>
      <c r="H1071" s="849">
        <v>585</v>
      </c>
      <c r="I1071" s="850"/>
      <c r="J1071" s="827"/>
      <c r="K1071" s="827"/>
      <c r="L1071" s="827"/>
      <c r="M1071" s="851"/>
      <c r="N1071" s="827"/>
      <c r="O1071" s="827"/>
      <c r="P1071" s="827"/>
      <c r="Q1071" s="827"/>
      <c r="R1071" s="827"/>
      <c r="S1071" s="827"/>
      <c r="T1071" s="827"/>
      <c r="U1071" s="827"/>
      <c r="V1071" s="827"/>
      <c r="W1071" s="827"/>
      <c r="X1071" s="827"/>
      <c r="Y1071" s="827"/>
      <c r="Z1071" s="827"/>
      <c r="AA1071" s="827"/>
      <c r="AB1071" s="827"/>
      <c r="AC1071" s="852"/>
      <c r="AD1071" s="827"/>
      <c r="AE1071" s="827"/>
      <c r="AF1071" s="827"/>
      <c r="AG1071" s="827"/>
      <c r="AH1071" s="827"/>
      <c r="AI1071" s="827"/>
      <c r="AJ1071" s="827"/>
    </row>
    <row r="1072" spans="5:36" ht="18" x14ac:dyDescent="0.25">
      <c r="E1072" s="826"/>
      <c r="H1072" s="849">
        <v>586</v>
      </c>
      <c r="I1072" s="850"/>
      <c r="J1072" s="827"/>
      <c r="K1072" s="827"/>
      <c r="L1072" s="827"/>
      <c r="M1072" s="851"/>
      <c r="N1072" s="827"/>
      <c r="O1072" s="827"/>
      <c r="P1072" s="827"/>
      <c r="Q1072" s="827"/>
      <c r="R1072" s="827"/>
      <c r="S1072" s="827"/>
      <c r="T1072" s="827"/>
      <c r="U1072" s="827"/>
      <c r="V1072" s="827"/>
      <c r="W1072" s="827"/>
      <c r="X1072" s="827"/>
      <c r="Y1072" s="827"/>
      <c r="Z1072" s="827"/>
      <c r="AA1072" s="827"/>
      <c r="AB1072" s="827"/>
      <c r="AC1072" s="852"/>
      <c r="AD1072" s="827"/>
      <c r="AE1072" s="827"/>
      <c r="AF1072" s="827"/>
      <c r="AG1072" s="827"/>
      <c r="AH1072" s="827"/>
      <c r="AI1072" s="827"/>
      <c r="AJ1072" s="827"/>
    </row>
    <row r="1073" spans="5:36" ht="18" x14ac:dyDescent="0.25">
      <c r="E1073" s="826"/>
      <c r="H1073" s="849">
        <v>587</v>
      </c>
      <c r="I1073" s="850"/>
      <c r="J1073" s="827"/>
      <c r="K1073" s="827"/>
      <c r="L1073" s="827"/>
      <c r="M1073" s="851"/>
      <c r="N1073" s="827"/>
      <c r="O1073" s="827"/>
      <c r="P1073" s="827"/>
      <c r="Q1073" s="827"/>
      <c r="R1073" s="827"/>
      <c r="S1073" s="827"/>
      <c r="T1073" s="827"/>
      <c r="U1073" s="827"/>
      <c r="V1073" s="827"/>
      <c r="W1073" s="827"/>
      <c r="X1073" s="827"/>
      <c r="Y1073" s="827"/>
      <c r="Z1073" s="827"/>
      <c r="AA1073" s="827"/>
      <c r="AB1073" s="827"/>
      <c r="AC1073" s="852"/>
      <c r="AD1073" s="827"/>
      <c r="AE1073" s="827"/>
      <c r="AF1073" s="827"/>
      <c r="AG1073" s="827"/>
      <c r="AH1073" s="827"/>
      <c r="AI1073" s="827"/>
      <c r="AJ1073" s="827"/>
    </row>
    <row r="1074" spans="5:36" ht="18" x14ac:dyDescent="0.25">
      <c r="E1074" s="826"/>
      <c r="H1074" s="849">
        <v>588</v>
      </c>
      <c r="I1074" s="850"/>
      <c r="J1074" s="827"/>
      <c r="K1074" s="827"/>
      <c r="L1074" s="827"/>
      <c r="M1074" s="851"/>
      <c r="N1074" s="827"/>
      <c r="O1074" s="827"/>
      <c r="P1074" s="827"/>
      <c r="Q1074" s="827"/>
      <c r="R1074" s="827"/>
      <c r="S1074" s="827"/>
      <c r="T1074" s="827"/>
      <c r="U1074" s="827"/>
      <c r="V1074" s="827"/>
      <c r="W1074" s="827"/>
      <c r="X1074" s="827"/>
      <c r="Y1074" s="827"/>
      <c r="Z1074" s="827"/>
      <c r="AA1074" s="827"/>
      <c r="AB1074" s="827"/>
      <c r="AC1074" s="852"/>
      <c r="AD1074" s="827"/>
      <c r="AE1074" s="827"/>
      <c r="AF1074" s="827"/>
      <c r="AG1074" s="827"/>
      <c r="AH1074" s="827"/>
      <c r="AI1074" s="827"/>
      <c r="AJ1074" s="827"/>
    </row>
    <row r="1075" spans="5:36" ht="18" x14ac:dyDescent="0.25">
      <c r="E1075" s="826"/>
      <c r="H1075" s="849">
        <v>589</v>
      </c>
      <c r="I1075" s="850"/>
      <c r="J1075" s="827"/>
      <c r="K1075" s="827"/>
      <c r="L1075" s="827"/>
      <c r="M1075" s="851"/>
      <c r="N1075" s="827"/>
      <c r="O1075" s="827"/>
      <c r="P1075" s="827"/>
      <c r="Q1075" s="827"/>
      <c r="R1075" s="827"/>
      <c r="S1075" s="827"/>
      <c r="T1075" s="827"/>
      <c r="U1075" s="827"/>
      <c r="V1075" s="827"/>
      <c r="W1075" s="827"/>
      <c r="X1075" s="827"/>
      <c r="Y1075" s="827"/>
      <c r="Z1075" s="827"/>
      <c r="AA1075" s="827"/>
      <c r="AB1075" s="827"/>
      <c r="AC1075" s="852"/>
      <c r="AD1075" s="827"/>
      <c r="AE1075" s="827"/>
      <c r="AF1075" s="827"/>
      <c r="AG1075" s="827"/>
      <c r="AH1075" s="827"/>
      <c r="AI1075" s="827"/>
      <c r="AJ1075" s="827"/>
    </row>
    <row r="1076" spans="5:36" ht="18" x14ac:dyDescent="0.25">
      <c r="E1076" s="826"/>
      <c r="H1076" s="849">
        <v>590</v>
      </c>
      <c r="I1076" s="850"/>
      <c r="J1076" s="827"/>
      <c r="K1076" s="827"/>
      <c r="L1076" s="827"/>
      <c r="M1076" s="851"/>
      <c r="N1076" s="827"/>
      <c r="O1076" s="827"/>
      <c r="P1076" s="827"/>
      <c r="Q1076" s="827"/>
      <c r="R1076" s="827"/>
      <c r="S1076" s="827"/>
      <c r="T1076" s="827"/>
      <c r="U1076" s="827"/>
      <c r="V1076" s="827"/>
      <c r="W1076" s="827"/>
      <c r="X1076" s="827"/>
      <c r="Y1076" s="827"/>
      <c r="Z1076" s="827"/>
      <c r="AA1076" s="827"/>
      <c r="AB1076" s="827"/>
      <c r="AC1076" s="852"/>
      <c r="AD1076" s="827"/>
      <c r="AE1076" s="827"/>
      <c r="AF1076" s="827"/>
      <c r="AG1076" s="827"/>
      <c r="AH1076" s="827"/>
      <c r="AI1076" s="827"/>
      <c r="AJ1076" s="827"/>
    </row>
    <row r="1077" spans="5:36" ht="18" x14ac:dyDescent="0.25">
      <c r="E1077" s="826"/>
      <c r="H1077" s="849">
        <v>591</v>
      </c>
      <c r="I1077" s="850"/>
      <c r="J1077" s="827"/>
      <c r="K1077" s="827"/>
      <c r="L1077" s="827"/>
      <c r="M1077" s="851"/>
      <c r="N1077" s="827"/>
      <c r="O1077" s="827"/>
      <c r="P1077" s="827"/>
      <c r="Q1077" s="827"/>
      <c r="R1077" s="827"/>
      <c r="S1077" s="827"/>
      <c r="T1077" s="827"/>
      <c r="U1077" s="827"/>
      <c r="V1077" s="827"/>
      <c r="W1077" s="827"/>
      <c r="X1077" s="827"/>
      <c r="Y1077" s="827"/>
      <c r="Z1077" s="827"/>
      <c r="AA1077" s="827"/>
      <c r="AB1077" s="827"/>
      <c r="AC1077" s="852"/>
      <c r="AD1077" s="827"/>
      <c r="AE1077" s="827"/>
      <c r="AF1077" s="827"/>
      <c r="AG1077" s="827"/>
      <c r="AH1077" s="827"/>
      <c r="AI1077" s="827"/>
      <c r="AJ1077" s="827"/>
    </row>
    <row r="1078" spans="5:36" ht="18" x14ac:dyDescent="0.25">
      <c r="E1078" s="826"/>
      <c r="H1078" s="849">
        <v>592</v>
      </c>
      <c r="I1078" s="850"/>
      <c r="J1078" s="827"/>
      <c r="K1078" s="827"/>
      <c r="L1078" s="827"/>
      <c r="M1078" s="851"/>
      <c r="N1078" s="827"/>
      <c r="O1078" s="827"/>
      <c r="P1078" s="827"/>
      <c r="Q1078" s="827"/>
      <c r="R1078" s="827"/>
      <c r="S1078" s="827"/>
      <c r="T1078" s="827"/>
      <c r="U1078" s="827"/>
      <c r="V1078" s="827"/>
      <c r="W1078" s="827"/>
      <c r="X1078" s="827"/>
      <c r="Y1078" s="827"/>
      <c r="Z1078" s="827"/>
      <c r="AA1078" s="827"/>
      <c r="AB1078" s="827"/>
      <c r="AC1078" s="852"/>
      <c r="AD1078" s="827"/>
      <c r="AE1078" s="827"/>
      <c r="AF1078" s="827"/>
      <c r="AG1078" s="827"/>
      <c r="AH1078" s="827"/>
      <c r="AI1078" s="827"/>
      <c r="AJ1078" s="827"/>
    </row>
    <row r="1079" spans="5:36" ht="18" x14ac:dyDescent="0.25">
      <c r="E1079" s="826"/>
      <c r="H1079" s="849">
        <v>593</v>
      </c>
      <c r="I1079" s="850"/>
      <c r="J1079" s="827"/>
      <c r="K1079" s="827"/>
      <c r="L1079" s="827"/>
      <c r="M1079" s="851"/>
      <c r="N1079" s="827"/>
      <c r="O1079" s="827"/>
      <c r="P1079" s="827"/>
      <c r="Q1079" s="827"/>
      <c r="R1079" s="827"/>
      <c r="S1079" s="827"/>
      <c r="T1079" s="827"/>
      <c r="U1079" s="827"/>
      <c r="V1079" s="827"/>
      <c r="W1079" s="827"/>
      <c r="X1079" s="827"/>
      <c r="Y1079" s="827"/>
      <c r="Z1079" s="827"/>
      <c r="AA1079" s="827"/>
      <c r="AB1079" s="827"/>
      <c r="AC1079" s="852"/>
      <c r="AD1079" s="827"/>
      <c r="AE1079" s="827"/>
      <c r="AF1079" s="827"/>
      <c r="AG1079" s="827"/>
      <c r="AH1079" s="827"/>
      <c r="AI1079" s="827"/>
      <c r="AJ1079" s="827"/>
    </row>
    <row r="1080" spans="5:36" ht="18" x14ac:dyDescent="0.25">
      <c r="E1080" s="826"/>
      <c r="H1080" s="849">
        <v>594</v>
      </c>
      <c r="I1080" s="850"/>
      <c r="J1080" s="827"/>
      <c r="K1080" s="827"/>
      <c r="L1080" s="827"/>
      <c r="M1080" s="851"/>
      <c r="N1080" s="827"/>
      <c r="O1080" s="827"/>
      <c r="P1080" s="827"/>
      <c r="Q1080" s="827"/>
      <c r="R1080" s="827"/>
      <c r="S1080" s="827"/>
      <c r="T1080" s="827"/>
      <c r="U1080" s="827"/>
      <c r="V1080" s="827"/>
      <c r="W1080" s="827"/>
      <c r="X1080" s="827"/>
      <c r="Y1080" s="827"/>
      <c r="Z1080" s="827"/>
      <c r="AA1080" s="827"/>
      <c r="AB1080" s="827"/>
      <c r="AC1080" s="852"/>
      <c r="AD1080" s="827"/>
      <c r="AE1080" s="827"/>
      <c r="AF1080" s="827"/>
      <c r="AG1080" s="827"/>
      <c r="AH1080" s="827"/>
      <c r="AI1080" s="827"/>
      <c r="AJ1080" s="827"/>
    </row>
    <row r="1081" spans="5:36" ht="18" x14ac:dyDescent="0.25">
      <c r="E1081" s="826"/>
      <c r="H1081" s="849">
        <v>595</v>
      </c>
      <c r="I1081" s="850"/>
      <c r="J1081" s="827"/>
      <c r="K1081" s="827"/>
      <c r="L1081" s="827"/>
      <c r="M1081" s="851"/>
      <c r="N1081" s="827"/>
      <c r="O1081" s="827"/>
      <c r="P1081" s="827"/>
      <c r="Q1081" s="827"/>
      <c r="R1081" s="827"/>
      <c r="S1081" s="827"/>
      <c r="T1081" s="827"/>
      <c r="U1081" s="827"/>
      <c r="V1081" s="827"/>
      <c r="W1081" s="827"/>
      <c r="X1081" s="827"/>
      <c r="Y1081" s="827"/>
      <c r="Z1081" s="827"/>
      <c r="AA1081" s="827"/>
      <c r="AB1081" s="827"/>
      <c r="AC1081" s="852"/>
      <c r="AD1081" s="827"/>
      <c r="AE1081" s="827"/>
      <c r="AF1081" s="827"/>
      <c r="AG1081" s="827"/>
      <c r="AH1081" s="827"/>
      <c r="AI1081" s="827"/>
      <c r="AJ1081" s="827"/>
    </row>
    <row r="1082" spans="5:36" ht="18" x14ac:dyDescent="0.25">
      <c r="E1082" s="826"/>
      <c r="H1082" s="849">
        <v>597</v>
      </c>
      <c r="I1082" s="850"/>
      <c r="J1082" s="827"/>
      <c r="K1082" s="827"/>
      <c r="L1082" s="827"/>
      <c r="M1082" s="851"/>
      <c r="N1082" s="827"/>
      <c r="O1082" s="827"/>
      <c r="P1082" s="827"/>
      <c r="Q1082" s="827"/>
      <c r="R1082" s="827"/>
      <c r="S1082" s="827"/>
      <c r="T1082" s="827"/>
      <c r="U1082" s="827"/>
      <c r="V1082" s="827"/>
      <c r="W1082" s="827"/>
      <c r="X1082" s="827"/>
      <c r="Y1082" s="827"/>
      <c r="Z1082" s="827"/>
      <c r="AA1082" s="827"/>
      <c r="AB1082" s="827"/>
      <c r="AC1082" s="852"/>
      <c r="AD1082" s="827"/>
      <c r="AE1082" s="827"/>
      <c r="AF1082" s="827"/>
      <c r="AG1082" s="827"/>
      <c r="AH1082" s="827"/>
      <c r="AI1082" s="827"/>
      <c r="AJ1082" s="827"/>
    </row>
    <row r="1083" spans="5:36" ht="18" x14ac:dyDescent="0.25">
      <c r="E1083" s="826"/>
      <c r="H1083" s="849">
        <v>599</v>
      </c>
      <c r="I1083" s="850"/>
      <c r="J1083" s="827"/>
      <c r="K1083" s="827"/>
      <c r="L1083" s="827"/>
      <c r="M1083" s="851"/>
      <c r="N1083" s="827"/>
      <c r="O1083" s="827"/>
      <c r="P1083" s="827"/>
      <c r="Q1083" s="827"/>
      <c r="R1083" s="827"/>
      <c r="S1083" s="827"/>
      <c r="T1083" s="827"/>
      <c r="U1083" s="827"/>
      <c r="V1083" s="827"/>
      <c r="W1083" s="827"/>
      <c r="X1083" s="827"/>
      <c r="Y1083" s="827"/>
      <c r="Z1083" s="827"/>
      <c r="AA1083" s="827"/>
      <c r="AB1083" s="827"/>
      <c r="AC1083" s="852"/>
      <c r="AD1083" s="827"/>
      <c r="AE1083" s="827"/>
      <c r="AF1083" s="827"/>
      <c r="AG1083" s="827"/>
      <c r="AH1083" s="827"/>
      <c r="AI1083" s="827"/>
      <c r="AJ1083" s="827"/>
    </row>
    <row r="1084" spans="5:36" ht="18" x14ac:dyDescent="0.25">
      <c r="E1084" s="826"/>
      <c r="H1084" s="849">
        <v>600</v>
      </c>
      <c r="I1084" s="850"/>
      <c r="J1084" s="827"/>
      <c r="K1084" s="827"/>
      <c r="L1084" s="827"/>
      <c r="M1084" s="851"/>
      <c r="N1084" s="827"/>
      <c r="O1084" s="827"/>
      <c r="P1084" s="827"/>
      <c r="Q1084" s="827"/>
      <c r="R1084" s="827"/>
      <c r="S1084" s="827"/>
      <c r="T1084" s="827"/>
      <c r="U1084" s="827"/>
      <c r="V1084" s="827"/>
      <c r="W1084" s="827"/>
      <c r="X1084" s="827"/>
      <c r="Y1084" s="827"/>
      <c r="Z1084" s="827"/>
      <c r="AA1084" s="827"/>
      <c r="AB1084" s="827"/>
      <c r="AC1084" s="852"/>
      <c r="AD1084" s="827"/>
      <c r="AE1084" s="827"/>
      <c r="AF1084" s="827"/>
      <c r="AG1084" s="827"/>
      <c r="AH1084" s="827"/>
      <c r="AI1084" s="827"/>
      <c r="AJ1084" s="827"/>
    </row>
    <row r="1085" spans="5:36" ht="18" x14ac:dyDescent="0.25">
      <c r="E1085" s="826"/>
      <c r="H1085" s="849">
        <v>601</v>
      </c>
      <c r="I1085" s="850"/>
      <c r="J1085" s="827"/>
      <c r="K1085" s="827"/>
      <c r="L1085" s="827"/>
      <c r="M1085" s="851"/>
      <c r="N1085" s="827"/>
      <c r="O1085" s="827"/>
      <c r="P1085" s="827"/>
      <c r="Q1085" s="827"/>
      <c r="R1085" s="827"/>
      <c r="S1085" s="827"/>
      <c r="T1085" s="827"/>
      <c r="U1085" s="827"/>
      <c r="V1085" s="827"/>
      <c r="W1085" s="827"/>
      <c r="X1085" s="827"/>
      <c r="Y1085" s="827"/>
      <c r="Z1085" s="827"/>
      <c r="AA1085" s="827"/>
      <c r="AB1085" s="827"/>
      <c r="AC1085" s="852"/>
      <c r="AD1085" s="827"/>
      <c r="AE1085" s="827"/>
      <c r="AF1085" s="827"/>
      <c r="AG1085" s="827"/>
      <c r="AH1085" s="827"/>
      <c r="AI1085" s="827"/>
      <c r="AJ1085" s="827"/>
    </row>
    <row r="1086" spans="5:36" ht="18" x14ac:dyDescent="0.25">
      <c r="E1086" s="826"/>
      <c r="H1086" s="849">
        <v>602</v>
      </c>
      <c r="I1086" s="850"/>
      <c r="J1086" s="827"/>
      <c r="K1086" s="827"/>
      <c r="L1086" s="827"/>
      <c r="M1086" s="851"/>
      <c r="N1086" s="827"/>
      <c r="O1086" s="827"/>
      <c r="P1086" s="827"/>
      <c r="Q1086" s="827"/>
      <c r="R1086" s="827"/>
      <c r="S1086" s="827"/>
      <c r="T1086" s="827"/>
      <c r="U1086" s="827"/>
      <c r="V1086" s="827"/>
      <c r="W1086" s="827"/>
      <c r="X1086" s="827"/>
      <c r="Y1086" s="827"/>
      <c r="Z1086" s="827"/>
      <c r="AA1086" s="827"/>
      <c r="AB1086" s="827"/>
      <c r="AC1086" s="852"/>
      <c r="AD1086" s="827"/>
      <c r="AE1086" s="827"/>
      <c r="AF1086" s="827"/>
      <c r="AG1086" s="827"/>
      <c r="AH1086" s="827"/>
      <c r="AI1086" s="827"/>
      <c r="AJ1086" s="827"/>
    </row>
    <row r="1087" spans="5:36" ht="18" x14ac:dyDescent="0.25">
      <c r="E1087" s="826"/>
      <c r="H1087" s="849">
        <v>603</v>
      </c>
      <c r="I1087" s="850"/>
      <c r="J1087" s="827"/>
      <c r="K1087" s="827"/>
      <c r="L1087" s="827"/>
      <c r="M1087" s="851"/>
      <c r="N1087" s="827"/>
      <c r="O1087" s="827"/>
      <c r="P1087" s="827"/>
      <c r="Q1087" s="827"/>
      <c r="R1087" s="827"/>
      <c r="S1087" s="827"/>
      <c r="T1087" s="827"/>
      <c r="U1087" s="827"/>
      <c r="V1087" s="827"/>
      <c r="W1087" s="827"/>
      <c r="X1087" s="827"/>
      <c r="Y1087" s="827"/>
      <c r="Z1087" s="827"/>
      <c r="AA1087" s="827"/>
      <c r="AB1087" s="827"/>
      <c r="AC1087" s="852"/>
      <c r="AD1087" s="827"/>
      <c r="AE1087" s="827"/>
      <c r="AF1087" s="827"/>
      <c r="AG1087" s="827"/>
      <c r="AH1087" s="827"/>
      <c r="AI1087" s="827"/>
      <c r="AJ1087" s="827"/>
    </row>
    <row r="1088" spans="5:36" ht="18" x14ac:dyDescent="0.25">
      <c r="E1088" s="826"/>
      <c r="H1088" s="849">
        <v>604</v>
      </c>
      <c r="I1088" s="850"/>
      <c r="J1088" s="827"/>
      <c r="K1088" s="827"/>
      <c r="L1088" s="827"/>
      <c r="M1088" s="851"/>
      <c r="N1088" s="827"/>
      <c r="O1088" s="827"/>
      <c r="P1088" s="827"/>
      <c r="Q1088" s="827"/>
      <c r="R1088" s="827"/>
      <c r="S1088" s="827"/>
      <c r="T1088" s="827"/>
      <c r="U1088" s="827"/>
      <c r="V1088" s="827"/>
      <c r="W1088" s="827"/>
      <c r="X1088" s="827"/>
      <c r="Y1088" s="827"/>
      <c r="Z1088" s="827"/>
      <c r="AA1088" s="827"/>
      <c r="AB1088" s="827"/>
      <c r="AC1088" s="852"/>
      <c r="AD1088" s="827"/>
      <c r="AE1088" s="827"/>
      <c r="AF1088" s="827"/>
      <c r="AG1088" s="827"/>
      <c r="AH1088" s="827"/>
      <c r="AI1088" s="827"/>
      <c r="AJ1088" s="827"/>
    </row>
    <row r="1089" spans="5:36" ht="18" x14ac:dyDescent="0.25">
      <c r="E1089" s="826"/>
      <c r="H1089" s="849">
        <v>605</v>
      </c>
      <c r="I1089" s="850"/>
      <c r="J1089" s="827"/>
      <c r="K1089" s="827"/>
      <c r="L1089" s="827"/>
      <c r="M1089" s="851"/>
      <c r="N1089" s="827"/>
      <c r="O1089" s="827"/>
      <c r="P1089" s="827"/>
      <c r="Q1089" s="827"/>
      <c r="R1089" s="827"/>
      <c r="S1089" s="827"/>
      <c r="T1089" s="827"/>
      <c r="U1089" s="827"/>
      <c r="V1089" s="827"/>
      <c r="W1089" s="827"/>
      <c r="X1089" s="827"/>
      <c r="Y1089" s="827"/>
      <c r="Z1089" s="827"/>
      <c r="AA1089" s="827"/>
      <c r="AB1089" s="827"/>
      <c r="AC1089" s="852"/>
      <c r="AD1089" s="827"/>
      <c r="AE1089" s="827"/>
      <c r="AF1089" s="827"/>
      <c r="AG1089" s="827"/>
      <c r="AH1089" s="827"/>
      <c r="AI1089" s="827"/>
      <c r="AJ1089" s="827"/>
    </row>
    <row r="1090" spans="5:36" ht="18" x14ac:dyDescent="0.25">
      <c r="E1090" s="826"/>
      <c r="H1090" s="849">
        <v>606</v>
      </c>
      <c r="I1090" s="850"/>
      <c r="J1090" s="827"/>
      <c r="K1090" s="827"/>
      <c r="L1090" s="827"/>
      <c r="M1090" s="851"/>
      <c r="N1090" s="827"/>
      <c r="O1090" s="827"/>
      <c r="P1090" s="827"/>
      <c r="Q1090" s="827"/>
      <c r="R1090" s="827"/>
      <c r="S1090" s="827"/>
      <c r="T1090" s="827"/>
      <c r="U1090" s="827"/>
      <c r="V1090" s="827"/>
      <c r="W1090" s="827"/>
      <c r="X1090" s="827"/>
      <c r="Y1090" s="827"/>
      <c r="Z1090" s="827"/>
      <c r="AA1090" s="827"/>
      <c r="AB1090" s="827"/>
      <c r="AC1090" s="852"/>
      <c r="AD1090" s="827"/>
      <c r="AE1090" s="827"/>
      <c r="AF1090" s="827"/>
      <c r="AG1090" s="827"/>
      <c r="AH1090" s="827"/>
      <c r="AI1090" s="827"/>
      <c r="AJ1090" s="827"/>
    </row>
    <row r="1091" spans="5:36" ht="18" x14ac:dyDescent="0.25">
      <c r="H1091" s="849">
        <v>607</v>
      </c>
      <c r="I1091" s="850"/>
      <c r="J1091" s="827"/>
      <c r="K1091" s="827"/>
      <c r="L1091" s="827"/>
      <c r="M1091" s="851"/>
      <c r="N1091" s="827"/>
      <c r="O1091" s="827"/>
      <c r="P1091" s="827"/>
      <c r="Q1091" s="827"/>
      <c r="R1091" s="827"/>
      <c r="S1091" s="827"/>
      <c r="T1091" s="827"/>
      <c r="U1091" s="827"/>
      <c r="V1091" s="827"/>
      <c r="W1091" s="827"/>
      <c r="X1091" s="827"/>
      <c r="Y1091" s="827"/>
      <c r="Z1091" s="827"/>
      <c r="AA1091" s="827"/>
      <c r="AB1091" s="827"/>
      <c r="AC1091" s="852"/>
      <c r="AD1091" s="827"/>
      <c r="AE1091" s="827"/>
      <c r="AF1091" s="827"/>
      <c r="AG1091" s="827"/>
      <c r="AH1091" s="827"/>
      <c r="AI1091" s="827"/>
      <c r="AJ1091" s="827"/>
    </row>
    <row r="1092" spans="5:36" ht="18" x14ac:dyDescent="0.25">
      <c r="H1092" s="849">
        <v>608</v>
      </c>
      <c r="I1092" s="850"/>
      <c r="J1092" s="827"/>
      <c r="K1092" s="827"/>
      <c r="L1092" s="827"/>
      <c r="M1092" s="851"/>
      <c r="N1092" s="827"/>
      <c r="O1092" s="827"/>
      <c r="P1092" s="827"/>
      <c r="Q1092" s="827"/>
      <c r="R1092" s="827"/>
      <c r="S1092" s="827"/>
      <c r="T1092" s="827"/>
      <c r="U1092" s="827"/>
      <c r="V1092" s="827"/>
      <c r="W1092" s="827"/>
      <c r="X1092" s="827"/>
      <c r="Y1092" s="827"/>
      <c r="Z1092" s="827"/>
      <c r="AA1092" s="827"/>
      <c r="AB1092" s="827"/>
      <c r="AC1092" s="852"/>
      <c r="AD1092" s="827"/>
      <c r="AE1092" s="827"/>
      <c r="AF1092" s="827"/>
      <c r="AG1092" s="827"/>
      <c r="AH1092" s="827"/>
      <c r="AI1092" s="827"/>
      <c r="AJ1092" s="827"/>
    </row>
    <row r="1093" spans="5:36" ht="18" x14ac:dyDescent="0.25">
      <c r="H1093" s="849">
        <v>624</v>
      </c>
      <c r="I1093" s="850"/>
      <c r="J1093" s="827"/>
      <c r="K1093" s="827"/>
      <c r="L1093" s="827"/>
      <c r="M1093" s="851"/>
      <c r="N1093" s="827"/>
      <c r="O1093" s="827"/>
      <c r="P1093" s="827"/>
      <c r="Q1093" s="827"/>
      <c r="R1093" s="827"/>
      <c r="S1093" s="827"/>
      <c r="T1093" s="827"/>
      <c r="U1093" s="827"/>
      <c r="V1093" s="827"/>
      <c r="W1093" s="827"/>
      <c r="X1093" s="827"/>
      <c r="Y1093" s="827"/>
      <c r="Z1093" s="827"/>
      <c r="AA1093" s="827"/>
      <c r="AB1093" s="827"/>
      <c r="AC1093" s="852"/>
      <c r="AD1093" s="827"/>
      <c r="AE1093" s="827"/>
      <c r="AF1093" s="827"/>
      <c r="AG1093" s="827"/>
      <c r="AH1093" s="827"/>
      <c r="AI1093" s="827"/>
      <c r="AJ1093" s="827"/>
    </row>
    <row r="1094" spans="5:36" ht="18" x14ac:dyDescent="0.25">
      <c r="H1094" s="849">
        <v>625</v>
      </c>
      <c r="I1094" s="850"/>
      <c r="J1094" s="827"/>
      <c r="K1094" s="827"/>
      <c r="L1094" s="827"/>
      <c r="M1094" s="851"/>
      <c r="N1094" s="827"/>
      <c r="O1094" s="827"/>
      <c r="P1094" s="827"/>
      <c r="Q1094" s="827"/>
      <c r="R1094" s="827"/>
      <c r="S1094" s="827"/>
      <c r="T1094" s="827"/>
      <c r="U1094" s="827"/>
      <c r="V1094" s="827"/>
      <c r="W1094" s="827"/>
      <c r="X1094" s="827"/>
      <c r="Y1094" s="827"/>
      <c r="Z1094" s="827"/>
      <c r="AA1094" s="827"/>
      <c r="AB1094" s="827"/>
      <c r="AC1094" s="852"/>
      <c r="AD1094" s="827"/>
      <c r="AE1094" s="827"/>
      <c r="AF1094" s="827"/>
      <c r="AG1094" s="827"/>
      <c r="AH1094" s="827"/>
      <c r="AI1094" s="827"/>
      <c r="AJ1094" s="827"/>
    </row>
    <row r="1095" spans="5:36" ht="18" x14ac:dyDescent="0.25">
      <c r="H1095" s="849">
        <v>626</v>
      </c>
      <c r="I1095" s="850"/>
      <c r="J1095" s="827"/>
      <c r="K1095" s="827"/>
      <c r="L1095" s="827"/>
      <c r="M1095" s="851"/>
      <c r="N1095" s="827"/>
      <c r="O1095" s="827"/>
      <c r="P1095" s="827"/>
      <c r="Q1095" s="827"/>
      <c r="R1095" s="827"/>
      <c r="S1095" s="827"/>
      <c r="T1095" s="827"/>
      <c r="U1095" s="827"/>
      <c r="V1095" s="827"/>
      <c r="W1095" s="827"/>
      <c r="X1095" s="827"/>
      <c r="Y1095" s="827"/>
      <c r="Z1095" s="827"/>
      <c r="AA1095" s="827"/>
      <c r="AB1095" s="827"/>
      <c r="AC1095" s="852"/>
      <c r="AD1095" s="827"/>
      <c r="AE1095" s="827"/>
      <c r="AF1095" s="827"/>
      <c r="AG1095" s="827"/>
      <c r="AH1095" s="827"/>
      <c r="AI1095" s="827"/>
      <c r="AJ1095" s="827"/>
    </row>
    <row r="1096" spans="5:36" ht="18" x14ac:dyDescent="0.25">
      <c r="H1096" s="849">
        <v>627</v>
      </c>
      <c r="I1096" s="850"/>
      <c r="J1096" s="827"/>
      <c r="K1096" s="827"/>
      <c r="L1096" s="827"/>
      <c r="M1096" s="851"/>
      <c r="N1096" s="827"/>
      <c r="O1096" s="827"/>
      <c r="P1096" s="827"/>
      <c r="Q1096" s="827"/>
      <c r="R1096" s="827"/>
      <c r="S1096" s="827"/>
      <c r="T1096" s="827"/>
      <c r="U1096" s="827"/>
      <c r="V1096" s="827"/>
      <c r="W1096" s="827"/>
      <c r="X1096" s="827"/>
      <c r="Y1096" s="827"/>
      <c r="Z1096" s="827"/>
      <c r="AA1096" s="827"/>
      <c r="AB1096" s="827"/>
      <c r="AC1096" s="852"/>
      <c r="AD1096" s="827"/>
      <c r="AE1096" s="827"/>
      <c r="AF1096" s="827"/>
      <c r="AG1096" s="827"/>
      <c r="AH1096" s="827"/>
      <c r="AI1096" s="827"/>
      <c r="AJ1096" s="827"/>
    </row>
  </sheetData>
  <sheetProtection algorithmName="SHA-512" hashValue="q74B9+/K/sy380M2CvTBo6/UEEU5Hvudu+XfApn51kxrM+gyOUMhYchtb5/V2wFbOP389CVGzf86LLSMGkkwDg==" saltValue="urT52NXl6+b4mDrBGykY5A==" spinCount="100000" sheet="1" objects="1" scenarios="1" formatCells="0" formatRows="0" autoFilter="0"/>
  <autoFilter ref="E4:EE542">
    <filterColumn colId="2">
      <filters>
        <filter val="SECRETARIA DE AGRICULTURA"/>
      </filters>
    </filterColumn>
  </autoFilter>
  <conditionalFormatting sqref="CG535">
    <cfRule type="colorScale" priority="26">
      <colorScale>
        <cfvo type="percent" val="0"/>
        <cfvo type="percent" val="1"/>
        <color rgb="FFFF0000"/>
        <color rgb="FF00B050"/>
      </colorScale>
    </cfRule>
  </conditionalFormatting>
  <conditionalFormatting sqref="BB5:BB541">
    <cfRule type="iconSet" priority="24">
      <iconSet>
        <cfvo type="percent" val="0"/>
        <cfvo type="num" val="60"/>
        <cfvo type="num" val="90"/>
      </iconSet>
    </cfRule>
    <cfRule type="iconSet" priority="25">
      <iconSet>
        <cfvo type="percent" val="0"/>
        <cfvo type="percent" val="33"/>
        <cfvo type="percent" val="67"/>
      </iconSet>
    </cfRule>
  </conditionalFormatting>
  <conditionalFormatting sqref="CF5:CF541">
    <cfRule type="iconSet" priority="22">
      <iconSet>
        <cfvo type="percent" val="0"/>
        <cfvo type="num" val="60"/>
        <cfvo type="num" val="90"/>
      </iconSet>
    </cfRule>
    <cfRule type="iconSet" priority="23">
      <iconSet>
        <cfvo type="percent" val="0"/>
        <cfvo type="percent" val="33"/>
        <cfvo type="percent" val="67"/>
      </iconSet>
    </cfRule>
  </conditionalFormatting>
  <conditionalFormatting sqref="DU5 DU10:DU452 DW6:DW452 DU454:DU537 DW454:DW537">
    <cfRule type="expression" dxfId="34" priority="7">
      <formula>"MOD(ROW(),2)=0"</formula>
    </cfRule>
    <cfRule type="expression" dxfId="33" priority="8">
      <formula>"RESTO(FILA(),2)=0"</formula>
    </cfRule>
    <cfRule type="expression" priority="9">
      <formula>"RESTO(FILA(),2)=0"</formula>
    </cfRule>
  </conditionalFormatting>
  <conditionalFormatting sqref="DU6:DU9">
    <cfRule type="expression" dxfId="32" priority="4">
      <formula>"MOD(ROW(),2)=0"</formula>
    </cfRule>
    <cfRule type="expression" dxfId="31" priority="5">
      <formula>"RESTO(FILA(),2)=0"</formula>
    </cfRule>
    <cfRule type="expression" priority="6">
      <formula>"RESTO(FILA(),2)=0"</formula>
    </cfRule>
  </conditionalFormatting>
  <conditionalFormatting sqref="DW5">
    <cfRule type="expression" dxfId="30" priority="1">
      <formula>"MOD(ROW(),2)=0"</formula>
    </cfRule>
    <cfRule type="expression" dxfId="29" priority="2">
      <formula>"RESTO(FILA(),2)=0"</formula>
    </cfRule>
    <cfRule type="expression" priority="3">
      <formula>"RESTO(FILA(),2)=0"</formula>
    </cfRule>
  </conditionalFormatting>
  <printOptions horizontalCentered="1" verticalCentered="1"/>
  <pageMargins left="0.51181102362204722" right="0.51181102362204722" top="0.55118110236220474" bottom="0.74803149606299213" header="0.31496062992125984" footer="0.31496062992125984"/>
  <pageSetup paperSize="14" scale="51" orientation="landscape" horizontalDpi="4294967294" verticalDpi="4294967294" r:id="rId1"/>
  <ignoredErrors>
    <ignoredError sqref="O7:O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3"/>
  <sheetViews>
    <sheetView workbookViewId="0">
      <selection activeCell="C37" sqref="C37"/>
    </sheetView>
  </sheetViews>
  <sheetFormatPr baseColWidth="10" defaultRowHeight="12.75" x14ac:dyDescent="0.2"/>
  <cols>
    <col min="3" max="3" width="139.7109375" customWidth="1"/>
  </cols>
  <sheetData>
    <row r="3" spans="2:12" ht="13.5" thickBot="1" x14ac:dyDescent="0.25"/>
    <row r="4" spans="2:12" ht="25.5" x14ac:dyDescent="0.2">
      <c r="B4" s="1053">
        <v>311</v>
      </c>
      <c r="C4" s="1056" t="s">
        <v>2909</v>
      </c>
    </row>
    <row r="5" spans="2:12" ht="25.5" x14ac:dyDescent="0.2">
      <c r="B5" s="1054">
        <v>312</v>
      </c>
      <c r="C5" s="1057" t="s">
        <v>2916</v>
      </c>
    </row>
    <row r="6" spans="2:12" ht="25.5" x14ac:dyDescent="0.2">
      <c r="B6" s="1054">
        <v>313</v>
      </c>
      <c r="C6" s="1058" t="s">
        <v>242</v>
      </c>
    </row>
    <row r="7" spans="2:12" ht="25.5" x14ac:dyDescent="0.2">
      <c r="B7" s="1054">
        <v>361</v>
      </c>
      <c r="C7" s="1058" t="s">
        <v>2910</v>
      </c>
    </row>
    <row r="8" spans="2:12" ht="25.5" x14ac:dyDescent="0.2">
      <c r="B8" s="1054">
        <v>362</v>
      </c>
      <c r="C8" s="1058" t="s">
        <v>242</v>
      </c>
    </row>
    <row r="9" spans="2:12" ht="25.5" x14ac:dyDescent="0.2">
      <c r="B9" s="1054">
        <v>363</v>
      </c>
      <c r="C9" s="1057" t="s">
        <v>2919</v>
      </c>
    </row>
    <row r="10" spans="2:12" ht="25.5" x14ac:dyDescent="0.2">
      <c r="B10" s="1054">
        <v>364</v>
      </c>
      <c r="C10" s="1058" t="s">
        <v>2911</v>
      </c>
    </row>
    <row r="11" spans="2:12" ht="25.5" x14ac:dyDescent="0.2">
      <c r="B11" s="1054">
        <v>365</v>
      </c>
      <c r="C11" s="1058" t="s">
        <v>2912</v>
      </c>
    </row>
    <row r="12" spans="2:12" ht="25.5" x14ac:dyDescent="0.2">
      <c r="B12" s="1054">
        <v>366</v>
      </c>
      <c r="C12" s="1058" t="s">
        <v>2913</v>
      </c>
    </row>
    <row r="13" spans="2:12" ht="25.5" x14ac:dyDescent="0.2">
      <c r="B13" s="1054">
        <v>367</v>
      </c>
      <c r="C13" s="1057" t="s">
        <v>2918</v>
      </c>
    </row>
    <row r="14" spans="2:12" ht="25.5" x14ac:dyDescent="0.2">
      <c r="B14" s="1054">
        <v>368</v>
      </c>
      <c r="C14" s="1057" t="s">
        <v>2929</v>
      </c>
    </row>
    <row r="15" spans="2:12" ht="25.5" x14ac:dyDescent="0.2">
      <c r="B15" s="1054">
        <v>369</v>
      </c>
      <c r="C15" s="1057" t="s">
        <v>2930</v>
      </c>
    </row>
    <row r="16" spans="2:12" ht="25.5" x14ac:dyDescent="0.2">
      <c r="B16" s="1054">
        <v>370</v>
      </c>
      <c r="C16" s="1057" t="s">
        <v>2921</v>
      </c>
      <c r="L16" s="1052"/>
    </row>
    <row r="17" spans="2:3" ht="25.5" x14ac:dyDescent="0.2">
      <c r="B17" s="1054">
        <v>371</v>
      </c>
      <c r="C17" s="1057" t="s">
        <v>2922</v>
      </c>
    </row>
    <row r="18" spans="2:3" ht="25.5" x14ac:dyDescent="0.2">
      <c r="B18" s="1054">
        <v>372</v>
      </c>
      <c r="C18" s="1060" t="s">
        <v>2923</v>
      </c>
    </row>
    <row r="19" spans="2:3" ht="25.5" x14ac:dyDescent="0.2">
      <c r="B19" s="1054">
        <v>373</v>
      </c>
      <c r="C19" s="1058" t="s">
        <v>242</v>
      </c>
    </row>
    <row r="20" spans="2:3" ht="25.5" x14ac:dyDescent="0.2">
      <c r="B20" s="1054">
        <v>374</v>
      </c>
      <c r="C20" s="1060" t="s">
        <v>2924</v>
      </c>
    </row>
    <row r="21" spans="2:3" ht="25.5" x14ac:dyDescent="0.2">
      <c r="B21" s="1054">
        <v>376</v>
      </c>
      <c r="C21" s="1058" t="s">
        <v>242</v>
      </c>
    </row>
    <row r="22" spans="2:3" ht="25.5" x14ac:dyDescent="0.2">
      <c r="B22" s="1054">
        <v>377</v>
      </c>
      <c r="C22" s="1058" t="s">
        <v>2914</v>
      </c>
    </row>
    <row r="23" spans="2:3" ht="25.5" x14ac:dyDescent="0.2">
      <c r="B23" s="1054">
        <v>378</v>
      </c>
      <c r="C23" s="1057" t="s">
        <v>2920</v>
      </c>
    </row>
    <row r="24" spans="2:3" ht="25.5" x14ac:dyDescent="0.2">
      <c r="B24" s="1054">
        <v>379</v>
      </c>
      <c r="C24" s="1058" t="s">
        <v>2915</v>
      </c>
    </row>
    <row r="25" spans="2:3" ht="25.5" x14ac:dyDescent="0.2">
      <c r="B25" s="1054">
        <v>380</v>
      </c>
      <c r="C25" s="1057" t="s">
        <v>2917</v>
      </c>
    </row>
    <row r="26" spans="2:3" ht="25.5" x14ac:dyDescent="0.2">
      <c r="B26" s="1054">
        <v>381</v>
      </c>
      <c r="C26" s="1058"/>
    </row>
    <row r="27" spans="2:3" ht="25.5" x14ac:dyDescent="0.2">
      <c r="B27" s="1054">
        <v>382</v>
      </c>
      <c r="C27" s="1058"/>
    </row>
    <row r="28" spans="2:3" ht="25.5" x14ac:dyDescent="0.2">
      <c r="B28" s="1054">
        <v>383</v>
      </c>
      <c r="C28" s="1060" t="s">
        <v>2925</v>
      </c>
    </row>
    <row r="29" spans="2:3" ht="25.5" x14ac:dyDescent="0.2">
      <c r="B29" s="1054">
        <v>384</v>
      </c>
      <c r="C29" s="1058"/>
    </row>
    <row r="30" spans="2:3" ht="25.5" x14ac:dyDescent="0.2">
      <c r="B30" s="1054">
        <v>385</v>
      </c>
      <c r="C30" s="1057" t="s">
        <v>2928</v>
      </c>
    </row>
    <row r="31" spans="2:3" ht="25.5" x14ac:dyDescent="0.2">
      <c r="B31" s="1054">
        <v>386</v>
      </c>
      <c r="C31" s="1060" t="s">
        <v>2926</v>
      </c>
    </row>
    <row r="32" spans="2:3" ht="25.5" x14ac:dyDescent="0.2">
      <c r="B32" s="1054">
        <v>387</v>
      </c>
      <c r="C32" s="1057" t="s">
        <v>2927</v>
      </c>
    </row>
    <row r="33" spans="2:3" ht="26.25" thickBot="1" x14ac:dyDescent="0.25">
      <c r="B33" s="1055">
        <v>401</v>
      </c>
      <c r="C33" s="1061" t="s">
        <v>2931</v>
      </c>
    </row>
  </sheetData>
  <pageMargins left="0.70866141732283472" right="0.70866141732283472" top="0.55118110236220474" bottom="0.55118110236220474" header="0.31496062992125984" footer="0.31496062992125984"/>
  <pageSetup scale="65"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S317"/>
  <sheetViews>
    <sheetView zoomScale="86" zoomScaleNormal="86" workbookViewId="0">
      <selection activeCell="S17" sqref="S17"/>
    </sheetView>
  </sheetViews>
  <sheetFormatPr baseColWidth="10" defaultColWidth="0" defaultRowHeight="12.75" zeroHeight="1" x14ac:dyDescent="0.2"/>
  <cols>
    <col min="1" max="1" width="1.42578125" style="116" customWidth="1"/>
    <col min="2" max="2" width="6.5703125" style="121" customWidth="1"/>
    <col min="3" max="3" width="15.42578125" style="121" customWidth="1"/>
    <col min="4" max="4" width="10.7109375" style="120" customWidth="1"/>
    <col min="5" max="5" width="8.7109375" style="120" customWidth="1"/>
    <col min="6" max="6" width="8.85546875" style="120" customWidth="1"/>
    <col min="7" max="7" width="9" style="119" customWidth="1"/>
    <col min="8" max="8" width="9.42578125" style="119" customWidth="1"/>
    <col min="9" max="9" width="12" style="119" customWidth="1"/>
    <col min="10" max="10" width="12.140625" style="119" customWidth="1"/>
    <col min="11" max="11" width="12.28515625" style="119" customWidth="1"/>
    <col min="12" max="12" width="5" style="119" customWidth="1"/>
    <col min="13" max="13" width="5.42578125" style="119" customWidth="1"/>
    <col min="14" max="14" width="7" style="118" customWidth="1"/>
    <col min="15" max="15" width="17.7109375" style="118" customWidth="1"/>
    <col min="16" max="16" width="10.5703125" style="118" customWidth="1"/>
    <col min="17" max="17" width="15.7109375" style="118" customWidth="1"/>
    <col min="18" max="18" width="6.28515625" style="117" bestFit="1" customWidth="1"/>
    <col min="19" max="19" width="5.85546875" style="116" customWidth="1"/>
    <col min="20" max="16384" width="11.42578125" style="116" hidden="1"/>
  </cols>
  <sheetData>
    <row r="1" spans="2:18" ht="18" customHeight="1" x14ac:dyDescent="0.2">
      <c r="B1" s="1136" t="s">
        <v>0</v>
      </c>
      <c r="C1" s="1136"/>
      <c r="D1" s="1136"/>
      <c r="E1" s="1136"/>
      <c r="F1" s="1136"/>
      <c r="G1" s="1136"/>
      <c r="H1" s="1136"/>
      <c r="I1" s="1136"/>
      <c r="J1" s="1136"/>
      <c r="K1" s="1136"/>
      <c r="L1" s="1136"/>
      <c r="M1" s="1136"/>
      <c r="N1" s="1136"/>
      <c r="O1" s="1136"/>
      <c r="P1" s="1136"/>
      <c r="Q1" s="220"/>
    </row>
    <row r="2" spans="2:18" ht="17.25" customHeight="1" x14ac:dyDescent="0.2">
      <c r="B2" s="1137" t="s">
        <v>164</v>
      </c>
      <c r="C2" s="1137"/>
      <c r="D2" s="1137"/>
      <c r="E2" s="1137"/>
      <c r="F2" s="1137"/>
      <c r="G2" s="1137"/>
      <c r="H2" s="1137"/>
      <c r="I2" s="1137"/>
      <c r="J2" s="1137"/>
      <c r="K2" s="1137"/>
      <c r="L2" s="1137"/>
      <c r="M2" s="1137"/>
      <c r="N2" s="1137"/>
      <c r="O2" s="1137"/>
      <c r="P2" s="1137"/>
      <c r="Q2" s="220"/>
    </row>
    <row r="3" spans="2:18" ht="20.25" x14ac:dyDescent="0.3">
      <c r="B3" s="220"/>
      <c r="C3" s="220"/>
      <c r="D3" s="219"/>
      <c r="E3" s="1138" t="s">
        <v>237</v>
      </c>
      <c r="F3" s="1138"/>
      <c r="G3" s="1138"/>
      <c r="H3" s="1138"/>
      <c r="I3" s="1138"/>
      <c r="J3" s="1138"/>
      <c r="K3" s="1138"/>
      <c r="L3" s="1138"/>
      <c r="M3" s="1138"/>
      <c r="N3" s="220"/>
      <c r="O3" s="1140" t="s">
        <v>1517</v>
      </c>
      <c r="P3" s="1141"/>
      <c r="Q3" s="1142"/>
    </row>
    <row r="4" spans="2:18" ht="1.5" customHeight="1" x14ac:dyDescent="0.3">
      <c r="B4" s="220"/>
      <c r="C4" s="220"/>
      <c r="D4" s="219"/>
      <c r="E4" s="224"/>
      <c r="F4" s="224"/>
      <c r="G4" s="224"/>
      <c r="H4" s="224"/>
      <c r="I4" s="224"/>
      <c r="J4" s="224"/>
      <c r="K4" s="224"/>
      <c r="L4" s="224"/>
      <c r="M4" s="224"/>
      <c r="N4" s="220"/>
      <c r="O4" s="223"/>
      <c r="P4" s="223"/>
      <c r="Q4" s="222"/>
    </row>
    <row r="5" spans="2:18" ht="21" customHeight="1" x14ac:dyDescent="0.2">
      <c r="B5" s="220"/>
      <c r="C5" s="220"/>
      <c r="D5" s="219"/>
      <c r="E5" s="328"/>
      <c r="F5" s="328"/>
      <c r="G5" s="328"/>
      <c r="H5" s="328"/>
      <c r="I5" s="328"/>
      <c r="J5" s="328"/>
      <c r="K5" s="328"/>
      <c r="L5" s="328"/>
      <c r="M5" s="328"/>
      <c r="N5" s="1139" t="s">
        <v>236</v>
      </c>
      <c r="O5" s="1139"/>
      <c r="P5" s="328"/>
      <c r="Q5" s="221">
        <v>78</v>
      </c>
    </row>
    <row r="6" spans="2:18" ht="2.25" customHeight="1" x14ac:dyDescent="0.2">
      <c r="B6" s="220"/>
      <c r="C6" s="220"/>
      <c r="D6" s="219"/>
      <c r="E6" s="218"/>
      <c r="F6" s="218"/>
      <c r="G6" s="218"/>
      <c r="H6" s="218"/>
      <c r="I6" s="218"/>
      <c r="J6" s="218"/>
      <c r="K6" s="218"/>
      <c r="L6" s="218"/>
      <c r="M6" s="218"/>
      <c r="N6" s="218"/>
      <c r="O6" s="218"/>
      <c r="P6" s="218"/>
      <c r="Q6" s="217"/>
    </row>
    <row r="7" spans="2:18" ht="2.25" customHeight="1" x14ac:dyDescent="0.3">
      <c r="B7" s="214"/>
      <c r="C7" s="214"/>
      <c r="D7" s="216"/>
      <c r="E7" s="214"/>
      <c r="F7" s="214"/>
      <c r="G7" s="215"/>
      <c r="H7" s="214"/>
      <c r="I7" s="214"/>
      <c r="J7" s="214"/>
      <c r="K7" s="214"/>
      <c r="L7" s="214"/>
      <c r="M7" s="214"/>
      <c r="N7" s="214"/>
      <c r="O7" s="214"/>
      <c r="P7" s="214"/>
      <c r="Q7" s="214"/>
    </row>
    <row r="8" spans="2:18" ht="18" x14ac:dyDescent="0.2">
      <c r="B8" s="213" t="s">
        <v>235</v>
      </c>
      <c r="C8" s="212"/>
      <c r="D8" s="210"/>
      <c r="E8" s="1147" t="str">
        <f>VLOOKUP($Q$5,datos_R!$D$4:$CA$121,2,FALSE)</f>
        <v>EDUCACION</v>
      </c>
      <c r="F8" s="1147"/>
      <c r="G8" s="1147"/>
      <c r="H8" s="1147"/>
      <c r="I8" s="1147"/>
      <c r="J8" s="1147"/>
      <c r="K8" s="1147"/>
      <c r="L8" s="1147"/>
      <c r="M8" s="1147"/>
      <c r="N8" s="1147"/>
      <c r="O8" s="1147"/>
      <c r="P8" s="211"/>
      <c r="Q8" s="210"/>
      <c r="R8" s="225" t="s">
        <v>204</v>
      </c>
    </row>
    <row r="9" spans="2:18" ht="2.25" customHeight="1" x14ac:dyDescent="0.2">
      <c r="B9" s="8"/>
      <c r="C9" s="8"/>
      <c r="D9" s="208"/>
      <c r="E9" s="209"/>
      <c r="F9" s="209"/>
      <c r="G9" s="209"/>
      <c r="H9" s="209"/>
      <c r="I9" s="209"/>
      <c r="J9" s="209"/>
      <c r="K9" s="209"/>
      <c r="L9" s="209"/>
      <c r="M9" s="209"/>
      <c r="N9" s="209"/>
      <c r="O9" s="209"/>
      <c r="P9" s="208"/>
      <c r="Q9" s="208"/>
      <c r="R9" s="207"/>
    </row>
    <row r="10" spans="2:18" s="202" customFormat="1" ht="15.75" x14ac:dyDescent="0.2">
      <c r="B10" s="1124" t="s">
        <v>234</v>
      </c>
      <c r="C10" s="1124"/>
      <c r="D10" s="1124"/>
      <c r="E10" s="1124"/>
      <c r="F10" s="1124"/>
      <c r="G10" s="1124"/>
      <c r="H10" s="1124"/>
      <c r="I10" s="1124"/>
      <c r="J10" s="1124"/>
      <c r="K10" s="1124"/>
      <c r="L10" s="1124"/>
      <c r="M10" s="1124"/>
      <c r="N10" s="1124"/>
      <c r="O10" s="1124"/>
      <c r="P10" s="1124"/>
      <c r="Q10" s="1124"/>
      <c r="R10" s="203"/>
    </row>
    <row r="11" spans="2:18" s="202" customFormat="1" ht="28.5" customHeight="1" x14ac:dyDescent="0.2">
      <c r="B11" s="184" t="s">
        <v>233</v>
      </c>
      <c r="C11" s="204"/>
      <c r="D11" s="206">
        <f>VLOOKUP($Q$5,datos_R!$D$4:$CA$121,1,FALSE)</f>
        <v>78</v>
      </c>
      <c r="E11" s="1115" t="str">
        <f>VLOOKUP($Q$5,datos_R!$D$4:$CA$121,5,FALSE)</f>
        <v>ALCANZAR EN EL CUATRIENIO UNA COBERTURA BRUTA EN EDUCACIÓN MEDIA DE 78,9%, PRIORIZANDO LA POBLACIÓN EN SITUACIÓN DE POBREZA EXTREMA QUE LO DEMANDE</v>
      </c>
      <c r="F11" s="1115"/>
      <c r="G11" s="1115"/>
      <c r="H11" s="1115"/>
      <c r="I11" s="1115"/>
      <c r="J11" s="1115"/>
      <c r="K11" s="1115"/>
      <c r="L11" s="1115"/>
      <c r="M11" s="1115"/>
      <c r="N11" s="1115"/>
      <c r="O11" s="1115"/>
      <c r="P11" s="205" t="s">
        <v>226</v>
      </c>
      <c r="Q11" s="326" t="str">
        <f>VLOOKUP($Q$5,datos_R!$D$4:$CA$121,6,FALSE)</f>
        <v>RESULTADO</v>
      </c>
      <c r="R11" s="203"/>
    </row>
    <row r="12" spans="2:18" s="202" customFormat="1" ht="13.5" x14ac:dyDescent="0.2">
      <c r="B12" s="184" t="s">
        <v>232</v>
      </c>
      <c r="C12" s="204"/>
      <c r="D12" s="1115" t="str">
        <f>VLOOKUP($Q$5,datos_R!$D$4:$CA$121,3,FALSE)</f>
        <v>DESARROLLO INTEGRAL DEL SER HUMANO</v>
      </c>
      <c r="E12" s="1115"/>
      <c r="F12" s="1115"/>
      <c r="G12" s="1115"/>
      <c r="H12" s="1115"/>
      <c r="I12" s="1115"/>
      <c r="J12" s="1115"/>
      <c r="K12" s="1115"/>
      <c r="L12" s="1115"/>
      <c r="M12" s="1115"/>
      <c r="N12" s="1115"/>
      <c r="O12" s="1115"/>
      <c r="P12" s="1115"/>
      <c r="Q12" s="1115"/>
      <c r="R12" s="203"/>
    </row>
    <row r="13" spans="2:18" s="202" customFormat="1" ht="13.5" x14ac:dyDescent="0.2">
      <c r="B13" s="184" t="s">
        <v>231</v>
      </c>
      <c r="C13" s="204"/>
      <c r="D13" s="1115" t="str">
        <f>VLOOKUP($Q$5,datos_R!$D$4:$CA$121,4,FALSE)</f>
        <v>VIVE Y CRECE ADOLESCENCIA</v>
      </c>
      <c r="E13" s="1115"/>
      <c r="F13" s="1115"/>
      <c r="G13" s="1115"/>
      <c r="H13" s="1115"/>
      <c r="I13" s="1115"/>
      <c r="J13" s="1115"/>
      <c r="K13" s="1115"/>
      <c r="L13" s="1115"/>
      <c r="M13" s="1115"/>
      <c r="N13" s="1115"/>
      <c r="O13" s="1115"/>
      <c r="P13" s="1115"/>
      <c r="Q13" s="1115"/>
      <c r="R13" s="203"/>
    </row>
    <row r="14" spans="2:18" x14ac:dyDescent="0.2">
      <c r="B14" s="327" t="s">
        <v>230</v>
      </c>
      <c r="C14" s="201"/>
      <c r="D14" s="200"/>
      <c r="E14" s="199">
        <f>VLOOKUP($Q$5,datos_R!$D$4:$CA$121,51,FALSE)</f>
        <v>105</v>
      </c>
      <c r="F14" s="198">
        <f>VLOOKUP($Q$5,datos_R!$D$4:$CA$121,52,FALSE)</f>
        <v>0</v>
      </c>
      <c r="G14" s="198">
        <f>VLOOKUP($Q$5,datos_R!$D$4:$CA$121,53,FALSE)</f>
        <v>0</v>
      </c>
      <c r="H14" s="198">
        <f>VLOOKUP($Q$5,datos_R!$D$4:$CA$121,54,FALSE)</f>
        <v>0</v>
      </c>
      <c r="I14" s="198">
        <f>VLOOKUP($Q$5,datos_R!$D$4:$CA$121,55,FALSE)</f>
        <v>0</v>
      </c>
      <c r="J14" s="198">
        <f>VLOOKUP($Q$5,datos_R!$D$4:$CA$121,56,FALSE)</f>
        <v>0</v>
      </c>
      <c r="K14" s="198">
        <f>VLOOKUP($Q$5,datos_R!$D$4:$CA$121,57,FALSE)</f>
        <v>0</v>
      </c>
      <c r="L14" s="198">
        <f>VLOOKUP($Q$5,datos_R!$D$4:$CA$121,58,FALSE)</f>
        <v>0</v>
      </c>
      <c r="M14" s="198">
        <f>VLOOKUP($Q$5,datos_R!$D$4:$CA$121,59,FALSE)</f>
        <v>0</v>
      </c>
      <c r="N14" s="198">
        <f>VLOOKUP($Q$5,datos_R!$D$4:$CA$121,60,FALSE)</f>
        <v>0</v>
      </c>
      <c r="O14" s="198">
        <f>VLOOKUP($Q$5,datos_R!$D$4:$CA$121,61,FALSE)</f>
        <v>0</v>
      </c>
      <c r="P14" s="198">
        <f>VLOOKUP($Q$5,datos_R!$D$4:$CA$121,62,FALSE)</f>
        <v>0</v>
      </c>
      <c r="Q14" s="197">
        <f>VLOOKUP($Q$5,datos_R!$D$4:$CA$121,63,FALSE)</f>
        <v>0</v>
      </c>
      <c r="R14" s="196"/>
    </row>
    <row r="15" spans="2:18" ht="2.25" customHeight="1" x14ac:dyDescent="0.2">
      <c r="B15" s="1149"/>
      <c r="C15" s="1150"/>
      <c r="D15" s="1150"/>
      <c r="E15" s="1150"/>
      <c r="F15" s="1150"/>
      <c r="G15" s="1150"/>
      <c r="H15" s="1150"/>
      <c r="I15" s="1150"/>
      <c r="J15" s="1150"/>
      <c r="K15" s="1150"/>
      <c r="L15" s="1150"/>
      <c r="M15" s="1150"/>
      <c r="N15" s="1150"/>
      <c r="O15" s="1150"/>
      <c r="P15" s="1150"/>
      <c r="Q15" s="1151"/>
      <c r="R15" s="166"/>
    </row>
    <row r="16" spans="2:18" ht="15.75" x14ac:dyDescent="0.2">
      <c r="B16" s="1124" t="s">
        <v>229</v>
      </c>
      <c r="C16" s="1124"/>
      <c r="D16" s="1124"/>
      <c r="E16" s="1124"/>
      <c r="F16" s="1124"/>
      <c r="G16" s="1124"/>
      <c r="H16" s="1124"/>
      <c r="I16" s="1124"/>
      <c r="J16" s="1124"/>
      <c r="K16" s="1124"/>
      <c r="L16" s="1124"/>
      <c r="M16" s="1124"/>
      <c r="N16" s="1124"/>
      <c r="O16" s="1124"/>
      <c r="P16" s="1124"/>
      <c r="Q16" s="1124"/>
      <c r="R16" s="166"/>
    </row>
    <row r="17" spans="2:19" ht="27" customHeight="1" x14ac:dyDescent="0.2">
      <c r="B17" s="184" t="s">
        <v>228</v>
      </c>
      <c r="C17" s="195"/>
      <c r="D17" s="1115" t="str">
        <f>VLOOKUP($Q$5,datos_R!$D$4:$CA$121,7,FALSE)</f>
        <v>TASA DE COBERTURA BRUTA EN EDUCACIÓN MEDIA</v>
      </c>
      <c r="E17" s="1115"/>
      <c r="F17" s="1115"/>
      <c r="G17" s="1115"/>
      <c r="H17" s="1115"/>
      <c r="I17" s="1115"/>
      <c r="J17" s="1115"/>
      <c r="K17" s="1115"/>
      <c r="L17" s="1115"/>
      <c r="M17" s="1111" t="s">
        <v>227</v>
      </c>
      <c r="N17" s="1112"/>
      <c r="O17" s="194" t="str">
        <f>VLOOKUP($Q$5,datos_R!$D$4:$CA$121,8,FALSE)</f>
        <v>PUNTOS PORCENTUALES</v>
      </c>
      <c r="P17" s="193" t="s">
        <v>226</v>
      </c>
      <c r="Q17" s="192" t="str">
        <f>VLOOKUP($Q$5,datos_R!$D$4:$CA$121,9,FALSE)</f>
        <v>INCREMENTO</v>
      </c>
      <c r="R17" s="166"/>
    </row>
    <row r="18" spans="2:19" ht="29.25" customHeight="1" x14ac:dyDescent="0.2">
      <c r="B18" s="191" t="s">
        <v>225</v>
      </c>
      <c r="C18" s="190"/>
      <c r="D18" s="1152">
        <f>VLOOKUP($Q$5,datos_R!$D$4:$CA$121,10,FALSE)</f>
        <v>76.95</v>
      </c>
      <c r="E18" s="1153"/>
      <c r="F18" s="190" t="s">
        <v>224</v>
      </c>
      <c r="G18" s="189"/>
      <c r="H18" s="188">
        <f>VLOOKUP($Q$5,datos_R!$D$4:$CA$121,11,FALSE)</f>
        <v>2011</v>
      </c>
      <c r="I18" s="187" t="s">
        <v>223</v>
      </c>
      <c r="J18" s="186"/>
      <c r="K18" s="804">
        <f>VLOOKUP($Q$5,datos_R!$D$4:$CA$121,12,FALSE)</f>
        <v>78.900000000000006</v>
      </c>
      <c r="L18" s="1118" t="s">
        <v>222</v>
      </c>
      <c r="M18" s="1120"/>
      <c r="N18" s="1115" t="str">
        <f>VLOOKUP($Q$5,datos_R!$D$4:$CA$121,17,FALSE)</f>
        <v>Secretaría de Educación</v>
      </c>
      <c r="O18" s="1115"/>
      <c r="P18" s="1115"/>
      <c r="Q18" s="1115"/>
      <c r="R18" s="166"/>
    </row>
    <row r="19" spans="2:19" ht="23.25" customHeight="1" x14ac:dyDescent="0.2">
      <c r="B19" s="185" t="s">
        <v>221</v>
      </c>
      <c r="C19" s="185"/>
      <c r="D19" s="1113" t="str">
        <f>VLOOKUP($Q$5,datos_R!$D$4:$CA$121,18,FALSE)</f>
        <v>ANUAL</v>
      </c>
      <c r="E19" s="1114"/>
      <c r="F19" s="1148" t="s">
        <v>220</v>
      </c>
      <c r="G19" s="1148"/>
      <c r="H19" s="1148"/>
      <c r="I19" s="1148"/>
      <c r="J19" s="1133" t="str">
        <f>VLOOKUP($Q$5,datos_R!$D$4:$CA$121,19,FALSE)</f>
        <v>Jefe Oficina Asesora de Planeación</v>
      </c>
      <c r="K19" s="1134"/>
      <c r="L19" s="1134"/>
      <c r="M19" s="1135"/>
      <c r="N19" s="184" t="s">
        <v>219</v>
      </c>
      <c r="O19" s="183"/>
      <c r="P19" s="1155" t="str">
        <f>VLOOKUP($Q$5,datos_R!$D$4:$CA$121,20,FALSE)</f>
        <v>Diciembre 6 de 2014</v>
      </c>
      <c r="Q19" s="1156"/>
      <c r="R19" s="166"/>
    </row>
    <row r="20" spans="2:19" ht="34.5" customHeight="1" x14ac:dyDescent="0.2">
      <c r="B20" s="1118" t="s">
        <v>218</v>
      </c>
      <c r="C20" s="1119"/>
      <c r="D20" s="1120"/>
      <c r="E20" s="1121" t="str">
        <f>VLOOKUP($Q$5,datos_R!$D$4:$CA$121,21,FALSE)</f>
        <v>Ninguna</v>
      </c>
      <c r="F20" s="1122"/>
      <c r="G20" s="1122"/>
      <c r="H20" s="1122"/>
      <c r="I20" s="1122"/>
      <c r="J20" s="1122"/>
      <c r="K20" s="1122"/>
      <c r="L20" s="1122"/>
      <c r="M20" s="1122"/>
      <c r="N20" s="1122"/>
      <c r="O20" s="1122"/>
      <c r="P20" s="1122"/>
      <c r="Q20" s="1123"/>
      <c r="R20" s="166"/>
      <c r="S20" s="530"/>
    </row>
    <row r="21" spans="2:19" ht="2.25" customHeight="1" x14ac:dyDescent="0.2">
      <c r="B21" s="31"/>
      <c r="C21" s="32"/>
      <c r="D21" s="32"/>
      <c r="E21" s="32"/>
      <c r="F21" s="32"/>
      <c r="G21" s="32"/>
      <c r="H21" s="32"/>
      <c r="I21" s="32"/>
      <c r="J21" s="32"/>
      <c r="K21" s="32"/>
      <c r="L21" s="32"/>
      <c r="M21" s="32"/>
      <c r="N21" s="32"/>
      <c r="O21" s="32"/>
      <c r="P21" s="32"/>
      <c r="Q21" s="182"/>
      <c r="R21" s="166"/>
    </row>
    <row r="22" spans="2:19" ht="15.75" x14ac:dyDescent="0.2">
      <c r="B22" s="1124" t="s">
        <v>217</v>
      </c>
      <c r="C22" s="1124"/>
      <c r="D22" s="1124"/>
      <c r="E22" s="1124"/>
      <c r="F22" s="1124"/>
      <c r="G22" s="1124"/>
      <c r="H22" s="1124"/>
      <c r="I22" s="1125"/>
      <c r="J22" s="1125"/>
      <c r="K22" s="1125"/>
      <c r="L22" s="1125"/>
      <c r="M22" s="1125"/>
      <c r="N22" s="1125"/>
      <c r="O22" s="1125"/>
      <c r="P22" s="1125"/>
      <c r="Q22" s="1125"/>
      <c r="R22" s="166"/>
    </row>
    <row r="23" spans="2:19" ht="15.75" x14ac:dyDescent="0.2">
      <c r="B23" s="1157" t="s">
        <v>1410</v>
      </c>
      <c r="C23" s="1158"/>
      <c r="D23" s="1158"/>
      <c r="E23" s="1158"/>
      <c r="F23" s="1158"/>
      <c r="G23" s="1158"/>
      <c r="H23" s="1158"/>
      <c r="I23" s="1129" t="s">
        <v>216</v>
      </c>
      <c r="J23" s="1130"/>
      <c r="K23" s="1130"/>
      <c r="L23" s="1130"/>
      <c r="M23" s="1130"/>
      <c r="N23" s="1131" t="s">
        <v>215</v>
      </c>
      <c r="O23" s="1131"/>
      <c r="P23" s="1131"/>
      <c r="Q23" s="1132"/>
      <c r="R23" s="166"/>
    </row>
    <row r="24" spans="2:19" ht="15" x14ac:dyDescent="0.2">
      <c r="B24" s="1126" t="s">
        <v>214</v>
      </c>
      <c r="C24" s="1126"/>
      <c r="D24" s="181">
        <v>2011</v>
      </c>
      <c r="E24" s="181">
        <v>2012</v>
      </c>
      <c r="F24" s="519">
        <v>2013</v>
      </c>
      <c r="G24" s="181">
        <v>2014</v>
      </c>
      <c r="H24" s="180">
        <v>2015</v>
      </c>
      <c r="I24" s="179"/>
      <c r="J24" s="1146" t="s">
        <v>6</v>
      </c>
      <c r="K24" s="1146"/>
      <c r="L24" s="178"/>
      <c r="M24" s="159"/>
      <c r="N24" s="177"/>
      <c r="O24" s="177"/>
      <c r="P24" s="177"/>
      <c r="Q24" s="176"/>
      <c r="S24" s="530"/>
    </row>
    <row r="25" spans="2:19" x14ac:dyDescent="0.2">
      <c r="B25" s="1109" t="s">
        <v>1949</v>
      </c>
      <c r="C25" s="1110"/>
      <c r="D25" s="512"/>
      <c r="E25" s="526">
        <f>VLOOKUP($Q$5,datos_R!$D$4:$CA$121,69,FALSE)</f>
        <v>0</v>
      </c>
      <c r="F25" s="527">
        <f>VLOOKUP($Q$5,datos_R!$D$4:$CA$121,71,FALSE)</f>
        <v>0.65</v>
      </c>
      <c r="G25" s="528">
        <f>VLOOKUP($Q$5,datos_R!$D$4:$CA$121,73,FALSE)</f>
        <v>0.65</v>
      </c>
      <c r="H25" s="517">
        <f>VLOOKUP($Q$5,datos_R!$D$4:$CA$121,75,FALSE)</f>
        <v>0.65</v>
      </c>
      <c r="I25" s="479"/>
      <c r="J25" s="372"/>
      <c r="K25" s="372"/>
      <c r="L25" s="178"/>
      <c r="M25" s="159"/>
      <c r="N25" s="177"/>
      <c r="O25" s="177"/>
      <c r="P25" s="177"/>
      <c r="Q25" s="176"/>
    </row>
    <row r="26" spans="2:19" x14ac:dyDescent="0.2">
      <c r="B26" s="1109" t="s">
        <v>1948</v>
      </c>
      <c r="C26" s="1110"/>
      <c r="D26" s="513">
        <f>+D18</f>
        <v>76.95</v>
      </c>
      <c r="E26" s="514">
        <f>IF($Q$17="REDUCCIÓN",($D$26-E25),($D$26+E25))</f>
        <v>76.95</v>
      </c>
      <c r="F26" s="516">
        <f>IF($Q$17="REDUCCIÓN",($E$26-F25),($E$26+F25))</f>
        <v>77.600000000000009</v>
      </c>
      <c r="G26" s="515">
        <f>IF($Q$17="REDUCCIÓN",($F$26-G25),($F$26+G25))</f>
        <v>78.250000000000014</v>
      </c>
      <c r="H26" s="803">
        <f>IF($Q$17="REDUCCIÓN",($G$26-H25),($G$26+H25))</f>
        <v>78.90000000000002</v>
      </c>
      <c r="I26" s="479"/>
      <c r="J26" s="373"/>
      <c r="K26" s="373"/>
      <c r="L26" s="178"/>
      <c r="M26" s="159"/>
      <c r="N26" s="177"/>
      <c r="O26" s="177"/>
      <c r="P26" s="177"/>
      <c r="Q26" s="176"/>
    </row>
    <row r="27" spans="2:19" ht="15.75" customHeight="1" x14ac:dyDescent="0.2">
      <c r="B27" s="1109" t="s">
        <v>213</v>
      </c>
      <c r="C27" s="1110"/>
      <c r="D27" s="805">
        <f>VLOOKUP($Q$5,datos_R!$D$4:$CA$121,10,FALSE)</f>
        <v>76.95</v>
      </c>
      <c r="E27" s="806">
        <f>VLOOKUP($Q$5,datos_R!$D$4:$CA$121,13,FALSE)</f>
        <v>76.13</v>
      </c>
      <c r="F27" s="807">
        <f>VLOOKUP($Q$5,datos_R!$D$4:$CA$121,14,FALSE)</f>
        <v>78.97</v>
      </c>
      <c r="G27" s="808">
        <f>VLOOKUP($Q$5,datos_R!$D$4:$CA$121,15,FALSE)</f>
        <v>79.989999999999995</v>
      </c>
      <c r="H27" s="518">
        <f>VLOOKUP($Q$5,datos_R!$D$4:$CA$121,16,FALSE)</f>
        <v>0</v>
      </c>
      <c r="I27" s="10"/>
      <c r="J27" s="11"/>
      <c r="K27" s="10"/>
      <c r="L27" s="23"/>
      <c r="M27" s="23"/>
      <c r="N27" s="10"/>
      <c r="O27" s="11"/>
      <c r="P27" s="10"/>
      <c r="Q27" s="167"/>
      <c r="R27" s="166"/>
    </row>
    <row r="28" spans="2:19" ht="15.75" customHeight="1" x14ac:dyDescent="0.2">
      <c r="B28" s="1116" t="s">
        <v>212</v>
      </c>
      <c r="C28" s="1117"/>
      <c r="D28" s="175"/>
      <c r="E28" s="174">
        <f>VLOOKUP($Q$5,datos_R!$D$4:$CA$121,23,FALSE)</f>
        <v>0</v>
      </c>
      <c r="F28" s="164">
        <f>VLOOKUP($Q$5,datos_R!$D$4:$CA$121,24,FALSE)</f>
        <v>0</v>
      </c>
      <c r="G28" s="173">
        <f>VLOOKUP($Q$5,datos_R!$D$4:$CA$121,25,FALSE)</f>
        <v>0</v>
      </c>
      <c r="H28" s="172">
        <f>VLOOKUP($Q$5,datos_R!$D$4:$CA$121,26,FALSE)</f>
        <v>0</v>
      </c>
      <c r="I28" s="12"/>
      <c r="J28" s="11"/>
      <c r="K28" s="12"/>
      <c r="L28" s="23"/>
      <c r="M28" s="23"/>
      <c r="N28" s="12"/>
      <c r="O28" s="11"/>
      <c r="P28" s="12"/>
      <c r="Q28" s="167"/>
      <c r="R28" s="166"/>
    </row>
    <row r="29" spans="2:19" ht="15.75" customHeight="1" x14ac:dyDescent="0.2">
      <c r="B29" s="1109" t="s">
        <v>211</v>
      </c>
      <c r="C29" s="1110"/>
      <c r="D29" s="171"/>
      <c r="E29" s="170">
        <f>VLOOKUP($Q$5,datos_R!$D$4:$CA$121,27,FALSE)</f>
        <v>0</v>
      </c>
      <c r="F29" s="147">
        <f>VLOOKUP($Q$5,datos_R!$D$4:$CA$121,28,FALSE)</f>
        <v>0</v>
      </c>
      <c r="G29" s="169">
        <f>VLOOKUP($Q$5,datos_R!$D$4:$CA$121,29,FALSE)</f>
        <v>0</v>
      </c>
      <c r="H29" s="168">
        <f>VLOOKUP($Q$5,datos_R!$D$4:$CA$121,30,FALSE)</f>
        <v>0</v>
      </c>
      <c r="I29" s="10"/>
      <c r="J29" s="11"/>
      <c r="K29" s="12"/>
      <c r="L29" s="23"/>
      <c r="M29" s="23"/>
      <c r="N29" s="10"/>
      <c r="O29" s="11"/>
      <c r="P29" s="12"/>
      <c r="Q29" s="167"/>
      <c r="R29" s="166"/>
    </row>
    <row r="30" spans="2:19" ht="15.75" customHeight="1" x14ac:dyDescent="0.2">
      <c r="B30" s="1116" t="s">
        <v>210</v>
      </c>
      <c r="C30" s="1117"/>
      <c r="D30" s="165"/>
      <c r="E30" s="155">
        <f>VLOOKUP($Q$5,datos_R!$D$4:$CA$121,31,FALSE)</f>
        <v>0</v>
      </c>
      <c r="F30" s="164">
        <f>VLOOKUP($Q$5,datos_R!$D$4:$CA$121,32,FALSE)</f>
        <v>0</v>
      </c>
      <c r="G30" s="155">
        <f>VLOOKUP($Q$5,datos_R!$D$4:$CA$121,33,FALSE)</f>
        <v>0</v>
      </c>
      <c r="H30" s="152">
        <f>VLOOKUP($Q$5,datos_R!$D$4:$CA$121,34,FALSE)</f>
        <v>0</v>
      </c>
      <c r="I30" s="10"/>
      <c r="J30" s="11"/>
      <c r="K30" s="12"/>
      <c r="L30" s="24"/>
      <c r="M30" s="24"/>
      <c r="N30" s="10"/>
      <c r="O30" s="11"/>
      <c r="P30" s="12"/>
      <c r="Q30" s="52"/>
      <c r="R30" s="163"/>
    </row>
    <row r="31" spans="2:19" ht="15.75" customHeight="1" x14ac:dyDescent="0.25">
      <c r="B31" s="1109" t="s">
        <v>209</v>
      </c>
      <c r="C31" s="1110"/>
      <c r="D31" s="149"/>
      <c r="E31" s="162">
        <f>VLOOKUP($Q$5,datos_R!$D$4:$CA$121,35,FALSE)</f>
        <v>0</v>
      </c>
      <c r="F31" s="147">
        <f>VLOOKUP($Q$5,datos_R!$D$4:$CA$121,36,FALSE)</f>
        <v>0</v>
      </c>
      <c r="G31" s="147">
        <f>VLOOKUP($Q$5,datos_R!$D$4:$CA$121,37,FALSE)</f>
        <v>0</v>
      </c>
      <c r="H31" s="161">
        <f>VLOOKUP($Q$5,datos_R!$D$4:$CA$121,38,FALSE)</f>
        <v>0</v>
      </c>
      <c r="I31" s="159"/>
      <c r="J31" s="159"/>
      <c r="K31" s="159"/>
      <c r="L31" s="160"/>
      <c r="M31" s="159"/>
      <c r="N31" s="159"/>
      <c r="O31" s="159"/>
      <c r="P31" s="159"/>
      <c r="Q31" s="158"/>
      <c r="R31" s="157"/>
    </row>
    <row r="32" spans="2:19" ht="15.75" customHeight="1" x14ac:dyDescent="0.2">
      <c r="B32" s="1116" t="s">
        <v>208</v>
      </c>
      <c r="C32" s="1117"/>
      <c r="D32" s="156"/>
      <c r="E32" s="155">
        <f>VLOOKUP($Q$5,datos_R!$D$4:$CA$121,39,FALSE)</f>
        <v>0</v>
      </c>
      <c r="F32" s="154">
        <f>VLOOKUP($Q$5,datos_R!$D$4:$CA$121,40,FALSE)</f>
        <v>0</v>
      </c>
      <c r="G32" s="153">
        <f>VLOOKUP($Q$5,datos_R!$D$4:$CA$121,41,FALSE)</f>
        <v>0</v>
      </c>
      <c r="H32" s="152">
        <f>VLOOKUP($Q$5,datos_R!$D$4:$CA$121,42,FALSE)</f>
        <v>0</v>
      </c>
      <c r="I32" s="150"/>
      <c r="J32" s="150"/>
      <c r="K32" s="13"/>
      <c r="L32" s="13"/>
      <c r="M32" s="151"/>
      <c r="N32" s="150"/>
      <c r="O32" s="150"/>
      <c r="P32" s="13"/>
      <c r="Q32" s="53"/>
      <c r="R32" s="122"/>
    </row>
    <row r="33" spans="2:18" ht="15.75" customHeight="1" x14ac:dyDescent="0.2">
      <c r="B33" s="1127" t="s">
        <v>207</v>
      </c>
      <c r="C33" s="1128"/>
      <c r="D33" s="149"/>
      <c r="E33" s="147">
        <f>VLOOKUP($Q$5,datos_R!$D$4:$CA$121,43,FALSE)</f>
        <v>0</v>
      </c>
      <c r="F33" s="148">
        <f>VLOOKUP($Q$5,datos_R!$D$4:$CA$121,44,FALSE)</f>
        <v>0</v>
      </c>
      <c r="G33" s="147">
        <f>VLOOKUP($Q$5,datos_R!$D$4:$CA$121,45,FALSE)</f>
        <v>0</v>
      </c>
      <c r="H33" s="146">
        <f>VLOOKUP($Q$5,datos_R!$D$4:$CA$121,46,FALSE)</f>
        <v>0</v>
      </c>
      <c r="I33" s="145"/>
      <c r="J33" s="145"/>
      <c r="K33" s="145"/>
      <c r="L33" s="145"/>
      <c r="M33" s="25"/>
      <c r="N33" s="145"/>
      <c r="O33" s="145"/>
      <c r="P33" s="145"/>
      <c r="Q33" s="144"/>
      <c r="R33" s="122"/>
    </row>
    <row r="34" spans="2:18" ht="15.75" customHeight="1" x14ac:dyDescent="0.2">
      <c r="B34" s="1116" t="s">
        <v>206</v>
      </c>
      <c r="C34" s="1117"/>
      <c r="D34" s="143"/>
      <c r="E34" s="142">
        <f>VLOOKUP($Q$5,datos_R!$D$4:$CA$121,47,FALSE)</f>
        <v>0</v>
      </c>
      <c r="F34" s="142">
        <f>VLOOKUP($Q$5,datos_R!$D$4:$CA$121,48,FALSE)</f>
        <v>0</v>
      </c>
      <c r="G34" s="141">
        <f>VLOOKUP($Q$5,datos_R!$D$4:$CA$121,49,FALSE)</f>
        <v>0</v>
      </c>
      <c r="H34" s="140">
        <f>VLOOKUP($Q$5,datos_R!$D$4:$CA$121,50,FALSE)</f>
        <v>0</v>
      </c>
      <c r="I34" s="139"/>
      <c r="J34" s="139"/>
      <c r="K34" s="138"/>
      <c r="L34" s="138"/>
      <c r="M34" s="138"/>
      <c r="N34" s="139"/>
      <c r="O34" s="139"/>
      <c r="P34" s="138"/>
      <c r="Q34" s="137"/>
      <c r="R34" s="122"/>
    </row>
    <row r="35" spans="2:18" ht="9.75" customHeight="1" x14ac:dyDescent="0.2">
      <c r="B35" s="1154"/>
      <c r="C35" s="1154"/>
      <c r="D35" s="136"/>
      <c r="E35" s="135"/>
      <c r="F35" s="135"/>
      <c r="G35" s="134"/>
      <c r="H35" s="262"/>
      <c r="I35" s="133"/>
      <c r="J35" s="133"/>
      <c r="K35" s="132"/>
      <c r="L35" s="132"/>
      <c r="M35" s="132"/>
      <c r="N35" s="132"/>
      <c r="O35" s="131"/>
      <c r="P35" s="131"/>
      <c r="Q35" s="131"/>
      <c r="R35" s="122"/>
    </row>
    <row r="36" spans="2:18" ht="10.5" customHeight="1" x14ac:dyDescent="0.2">
      <c r="B36" s="130" t="s">
        <v>205</v>
      </c>
      <c r="C36" s="129"/>
      <c r="D36" s="128"/>
      <c r="E36" s="128"/>
      <c r="F36" s="128"/>
      <c r="G36" s="128"/>
      <c r="H36" s="127"/>
      <c r="I36" s="127"/>
      <c r="J36" s="127"/>
      <c r="K36" s="126"/>
      <c r="L36" s="126"/>
      <c r="M36" s="126"/>
      <c r="N36" s="126"/>
      <c r="O36" s="125"/>
      <c r="P36" s="125"/>
      <c r="Q36" s="124"/>
      <c r="R36" s="122"/>
    </row>
    <row r="37" spans="2:18" ht="171" customHeight="1" x14ac:dyDescent="0.2">
      <c r="B37" s="1143" t="str">
        <f>VLOOKUP($Q$5,datos_R!$D$4:$CA$121,22,FALSE)</f>
        <v xml:space="preserve">EN LA VIGENCIA 2011, EL INDICADOR DE COBERTURA BRUTA EN EL NÍVEL MEDIA SE SITUÓ EN 76,95%, MIENTRAS QUE EN EL AÑO 2012, SE ENCONTRÓ QUE CUNDINAMARCA TUVO UNA LEVE DISMINUCIÓN EN EL INDICADOR DE COBERTURA BRUTA (-0,33 PUNTOS) SITUÁNDOSE EN EL 76,13% , ES IMPORTANTE DESTACAR QUE LA SECRETARÍA DE EDUCACIÓN NO PROGRAMÓ AVANCES EN TÉRMINOS DE AUMENTO DE LA COBERTURA BRUTA EN EL NIVEL MEDIA PARA LA VIGENCIA 2012.
PARA EL AÑO 2013, LA SECRETARÍA DE EDUCACIÓN PLANTEÓ AUMENTAR EL INDICADOR DE COBERTURA BRUTA EN 0,65 PUNTOS PORCENTUALES, SIN EMBARGO GRACIAS A LAS DIFERENTES ESTRATEGÍAS DE ACCESO Y PERMANENCIA, EL DEPARTAMENTO LOGRÓ AUMENTAR ESTE INDICADOR EN 1,37 PUNTOS PORCENTUALES CON RESPECTO A LA PROGRAMACIÓN, ES DECIR QUE SE UBICÓ EN EL 78,97% AL FINALIZAR EL AÑO 2013.
EL ALCANCE DE ESTA META PARA LA VIGENCIA 2014, SE ESTABLECIÓ EN TÉRMINOS DE LOGRAR UNA COBERTURA BRUTA EN EL NIVEL DE MEDIA DEL 78,25%, NO OBSTANTE, LA SECRETARÍA LOGRÓ AUMENTAR ESTE INDICADOR EN 1,74 PUNTOS PORCENTUALES ADICIONALES A LA META PROGRAMADA, ES DECIR QUE LA COBERTURA BRUTA PARA EL 2014 SE SITUÓ EN EL 79,99%.
 </v>
      </c>
      <c r="C37" s="1144"/>
      <c r="D37" s="1144"/>
      <c r="E37" s="1144"/>
      <c r="F37" s="1144"/>
      <c r="G37" s="1144"/>
      <c r="H37" s="1144"/>
      <c r="I37" s="1144"/>
      <c r="J37" s="1144"/>
      <c r="K37" s="1144"/>
      <c r="L37" s="1144"/>
      <c r="M37" s="1144"/>
      <c r="N37" s="1144"/>
      <c r="O37" s="1144"/>
      <c r="P37" s="1144"/>
      <c r="Q37" s="1145"/>
      <c r="R37" s="122"/>
    </row>
    <row r="38" spans="2:18" ht="18" customHeight="1" x14ac:dyDescent="0.2">
      <c r="B38" s="123"/>
      <c r="C38" s="123"/>
      <c r="D38" s="123"/>
      <c r="E38" s="123"/>
      <c r="F38" s="123"/>
      <c r="G38" s="123"/>
      <c r="H38" s="123"/>
      <c r="I38" s="123"/>
      <c r="J38" s="123"/>
      <c r="K38" s="123"/>
      <c r="L38" s="123"/>
      <c r="M38" s="123"/>
      <c r="N38" s="123"/>
      <c r="O38" s="123"/>
      <c r="P38" s="123"/>
      <c r="Q38" s="123"/>
      <c r="R38" s="122"/>
    </row>
    <row r="39" spans="2:18" x14ac:dyDescent="0.2">
      <c r="B39" s="123"/>
      <c r="C39" s="123"/>
      <c r="D39" s="123"/>
      <c r="E39" s="123"/>
      <c r="F39" s="123"/>
      <c r="G39" s="123"/>
      <c r="H39" s="123"/>
      <c r="I39" s="123"/>
      <c r="J39" s="123"/>
      <c r="K39" s="123"/>
      <c r="L39" s="123"/>
      <c r="M39" s="123"/>
      <c r="N39" s="123"/>
      <c r="O39" s="123"/>
      <c r="P39" s="123"/>
      <c r="Q39" s="123"/>
      <c r="R39" s="122"/>
    </row>
    <row r="40" spans="2:18" x14ac:dyDescent="0.2">
      <c r="B40" s="123"/>
      <c r="C40" s="123"/>
      <c r="D40" s="123"/>
      <c r="E40" s="123"/>
      <c r="F40" s="123"/>
      <c r="G40" s="123"/>
      <c r="H40" s="123"/>
      <c r="I40" s="123"/>
      <c r="J40" s="123"/>
      <c r="K40" s="123"/>
      <c r="L40" s="123"/>
      <c r="M40" s="123"/>
      <c r="N40" s="123"/>
      <c r="O40" s="123"/>
      <c r="P40" s="123"/>
      <c r="Q40" s="123"/>
      <c r="R40" s="122"/>
    </row>
    <row r="41" spans="2:18" hidden="1" x14ac:dyDescent="0.2"/>
    <row r="42" spans="2:18" hidden="1" x14ac:dyDescent="0.2"/>
    <row r="43" spans="2:18" hidden="1" x14ac:dyDescent="0.2"/>
    <row r="44" spans="2:18" hidden="1" x14ac:dyDescent="0.2"/>
    <row r="45" spans="2:18" hidden="1" x14ac:dyDescent="0.2"/>
    <row r="46" spans="2:18" hidden="1" x14ac:dyDescent="0.2"/>
    <row r="47" spans="2:18" hidden="1" x14ac:dyDescent="0.2"/>
    <row r="48" spans="2:1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sheetData>
  <sheetProtection algorithmName="SHA-512" hashValue="3WGCyrQSa0p3LMqU831DeI0M7w2E2bkxqpOP5C1qyW7/lynGG2n1fhZt70ybXazPZczpVM4jlIuJIwnZVv7skw==" saltValue="dH4uyo/ZGuGPk5FrW8aRCA==" spinCount="100000" sheet="1" objects="1" scenarios="1" formatCells="0" formatColumns="0" formatRows="0"/>
  <dataConsolidate/>
  <mergeCells count="41">
    <mergeCell ref="B37:Q37"/>
    <mergeCell ref="J24:K24"/>
    <mergeCell ref="E8:O8"/>
    <mergeCell ref="F19:I19"/>
    <mergeCell ref="B16:Q16"/>
    <mergeCell ref="B15:Q15"/>
    <mergeCell ref="L18:M18"/>
    <mergeCell ref="D17:L17"/>
    <mergeCell ref="D18:E18"/>
    <mergeCell ref="B35:C35"/>
    <mergeCell ref="D13:Q13"/>
    <mergeCell ref="P19:Q19"/>
    <mergeCell ref="B23:H23"/>
    <mergeCell ref="B32:C32"/>
    <mergeCell ref="B28:C28"/>
    <mergeCell ref="B27:C27"/>
    <mergeCell ref="B25:C25"/>
    <mergeCell ref="B1:P1"/>
    <mergeCell ref="B2:P2"/>
    <mergeCell ref="D12:Q12"/>
    <mergeCell ref="E3:M3"/>
    <mergeCell ref="B10:Q10"/>
    <mergeCell ref="E11:O11"/>
    <mergeCell ref="N5:O5"/>
    <mergeCell ref="O3:Q3"/>
    <mergeCell ref="B26:C26"/>
    <mergeCell ref="M17:N17"/>
    <mergeCell ref="D19:E19"/>
    <mergeCell ref="N18:Q18"/>
    <mergeCell ref="B34:C34"/>
    <mergeCell ref="B30:C30"/>
    <mergeCell ref="B31:C31"/>
    <mergeCell ref="B20:D20"/>
    <mergeCell ref="E20:Q20"/>
    <mergeCell ref="B22:Q22"/>
    <mergeCell ref="B24:C24"/>
    <mergeCell ref="B33:C33"/>
    <mergeCell ref="B29:C29"/>
    <mergeCell ref="I23:M23"/>
    <mergeCell ref="N23:Q23"/>
    <mergeCell ref="J19:M19"/>
  </mergeCells>
  <dataValidations count="5">
    <dataValidation type="list" allowBlank="1" showInputMessage="1" showErrorMessage="1" sqref="O4:Q4">
      <formula1>ENTIDADES</formula1>
    </dataValidation>
    <dataValidation type="list" showInputMessage="1" showErrorMessage="1" sqref="O33:Q36 O38:Q39">
      <formula1>#REF!</formula1>
    </dataValidation>
    <dataValidation type="list" errorStyle="warning" showInputMessage="1" showErrorMessage="1" sqref="G7">
      <formula1>#REF!</formula1>
    </dataValidation>
    <dataValidation type="list" allowBlank="1" showInputMessage="1" showErrorMessage="1" sqref="Q5:Q6">
      <formula1>INDIRECT(O$3)</formula1>
    </dataValidation>
    <dataValidation type="list" allowBlank="1" showInputMessage="1" showErrorMessage="1" sqref="O3:Q3">
      <formula1>ENTIDADESR</formula1>
    </dataValidation>
  </dataValidations>
  <hyperlinks>
    <hyperlink ref="R8" location="Portada!A1" display="Volver"/>
  </hyperlinks>
  <printOptions horizontalCentered="1" verticalCentered="1"/>
  <pageMargins left="0.78740157480314965" right="0.78740157480314965" top="0.35433070866141736" bottom="0.62992125984251968" header="0.23622047244094491" footer="0.70866141732283472"/>
  <pageSetup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filterMode="1"/>
  <dimension ref="A1:CK282"/>
  <sheetViews>
    <sheetView topLeftCell="D1" zoomScale="77" zoomScaleNormal="77" workbookViewId="0">
      <pane xSplit="1" ySplit="4" topLeftCell="G5" activePane="bottomRight" state="frozen"/>
      <selection activeCell="J39" sqref="J39"/>
      <selection pane="topRight" activeCell="J39" sqref="J39"/>
      <selection pane="bottomLeft" activeCell="J39" sqref="J39"/>
      <selection pane="bottomRight" activeCell="I6" sqref="I6"/>
    </sheetView>
  </sheetViews>
  <sheetFormatPr baseColWidth="10" defaultRowHeight="12.75" x14ac:dyDescent="0.2"/>
  <cols>
    <col min="1" max="1" width="12.42578125" style="263" hidden="1" customWidth="1"/>
    <col min="2" max="2" width="0" style="263" hidden="1" customWidth="1"/>
    <col min="3" max="3" width="11.5703125" style="263" hidden="1" customWidth="1"/>
    <col min="4" max="4" width="11.5703125" style="263" bestFit="1" customWidth="1"/>
    <col min="5" max="5" width="18.140625" style="263" customWidth="1"/>
    <col min="6" max="6" width="25.140625" style="263" customWidth="1"/>
    <col min="7" max="7" width="18.42578125" style="263" customWidth="1"/>
    <col min="8" max="8" width="39.85546875" style="263" customWidth="1"/>
    <col min="9" max="9" width="13.140625" style="263" customWidth="1"/>
    <col min="10" max="10" width="39.85546875" style="263" customWidth="1"/>
    <col min="11" max="11" width="12.7109375" style="263" customWidth="1"/>
    <col min="12" max="12" width="14.5703125" style="263" customWidth="1"/>
    <col min="13" max="18" width="11.5703125" style="263" bestFit="1" customWidth="1"/>
    <col min="19" max="19" width="11.42578125" style="263"/>
    <col min="20" max="20" width="33" style="263" customWidth="1"/>
    <col min="21" max="21" width="18.140625" style="263" customWidth="1"/>
    <col min="22" max="22" width="31.85546875" style="263" customWidth="1"/>
    <col min="23" max="23" width="23.5703125" style="263" bestFit="1" customWidth="1"/>
    <col min="24" max="24" width="57.5703125" style="263" customWidth="1"/>
    <col min="25" max="25" width="88.140625" style="263" customWidth="1"/>
    <col min="26" max="28" width="11.5703125" style="263" bestFit="1" customWidth="1"/>
    <col min="29" max="29" width="11.42578125" style="263"/>
    <col min="30" max="32" width="11.5703125" style="263" bestFit="1" customWidth="1"/>
    <col min="33" max="33" width="11.42578125" style="263"/>
    <col min="34" max="36" width="11.5703125" style="263" bestFit="1" customWidth="1"/>
    <col min="37" max="37" width="11.42578125" style="263"/>
    <col min="38" max="40" width="11.5703125" style="263" bestFit="1" customWidth="1"/>
    <col min="41" max="41" width="11.42578125" style="263"/>
    <col min="42" max="44" width="11.5703125" style="263" bestFit="1" customWidth="1"/>
    <col min="45" max="45" width="11.42578125" style="263"/>
    <col min="46" max="48" width="11.5703125" style="263" bestFit="1" customWidth="1"/>
    <col min="49" max="49" width="11.42578125" style="263"/>
    <col min="50" max="52" width="11.5703125" style="263" bestFit="1" customWidth="1"/>
    <col min="53" max="53" width="11.42578125" style="263"/>
    <col min="54" max="85" width="11.5703125" style="263" hidden="1" customWidth="1"/>
    <col min="86" max="89" width="11.5703125" style="263" bestFit="1" customWidth="1"/>
    <col min="90" max="16384" width="11.42578125" style="263"/>
  </cols>
  <sheetData>
    <row r="1" spans="2:89" ht="26.25" hidden="1" x14ac:dyDescent="0.4">
      <c r="C1" s="334"/>
      <c r="D1" s="815">
        <v>1</v>
      </c>
      <c r="E1" s="815">
        <v>2</v>
      </c>
      <c r="F1" s="815">
        <v>3</v>
      </c>
      <c r="G1" s="815">
        <v>4</v>
      </c>
      <c r="H1" s="815">
        <v>5</v>
      </c>
      <c r="I1" s="815">
        <v>6</v>
      </c>
      <c r="J1" s="815">
        <v>7</v>
      </c>
      <c r="K1" s="815">
        <v>8</v>
      </c>
      <c r="L1" s="815">
        <v>9</v>
      </c>
      <c r="M1" s="815">
        <v>10</v>
      </c>
      <c r="N1" s="815">
        <v>11</v>
      </c>
      <c r="O1" s="815">
        <v>12</v>
      </c>
      <c r="P1" s="815">
        <v>13</v>
      </c>
      <c r="Q1" s="815">
        <v>14</v>
      </c>
      <c r="R1" s="815">
        <v>15</v>
      </c>
      <c r="S1" s="815">
        <v>16</v>
      </c>
      <c r="T1" s="815">
        <v>17</v>
      </c>
      <c r="U1" s="815">
        <v>18</v>
      </c>
      <c r="V1" s="815">
        <v>19</v>
      </c>
      <c r="W1" s="815">
        <v>20</v>
      </c>
      <c r="X1" s="815">
        <v>21</v>
      </c>
      <c r="Y1" s="815">
        <v>22</v>
      </c>
      <c r="Z1" s="815">
        <v>23</v>
      </c>
      <c r="AA1" s="815">
        <v>24</v>
      </c>
      <c r="AB1" s="815">
        <v>25</v>
      </c>
      <c r="AC1" s="815">
        <v>26</v>
      </c>
      <c r="AD1" s="815">
        <v>27</v>
      </c>
      <c r="AE1" s="815">
        <v>28</v>
      </c>
      <c r="AF1" s="815">
        <v>29</v>
      </c>
      <c r="AG1" s="815">
        <v>30</v>
      </c>
      <c r="AH1" s="815">
        <v>31</v>
      </c>
      <c r="AI1" s="815">
        <v>32</v>
      </c>
      <c r="AJ1" s="815">
        <v>33</v>
      </c>
      <c r="AK1" s="815">
        <v>34</v>
      </c>
      <c r="AL1" s="815">
        <v>35</v>
      </c>
      <c r="AM1" s="815">
        <v>36</v>
      </c>
      <c r="AN1" s="815">
        <v>37</v>
      </c>
      <c r="AO1" s="815">
        <v>38</v>
      </c>
      <c r="AP1" s="815">
        <v>39</v>
      </c>
      <c r="AQ1" s="815">
        <v>40</v>
      </c>
      <c r="AR1" s="815">
        <v>41</v>
      </c>
      <c r="AS1" s="815">
        <v>42</v>
      </c>
      <c r="AT1" s="815">
        <v>43</v>
      </c>
      <c r="AU1" s="815">
        <v>44</v>
      </c>
      <c r="AV1" s="815">
        <v>45</v>
      </c>
      <c r="AW1" s="815">
        <v>46</v>
      </c>
      <c r="AX1" s="815">
        <v>47</v>
      </c>
      <c r="AY1" s="815">
        <v>48</v>
      </c>
      <c r="AZ1" s="815">
        <v>49</v>
      </c>
      <c r="BA1" s="815">
        <v>50</v>
      </c>
      <c r="BB1" s="374">
        <v>51</v>
      </c>
      <c r="BC1" s="374">
        <v>52</v>
      </c>
      <c r="BD1" s="374">
        <v>53</v>
      </c>
      <c r="BE1" s="374">
        <v>54</v>
      </c>
      <c r="BF1" s="374">
        <v>55</v>
      </c>
      <c r="BG1" s="374">
        <v>56</v>
      </c>
      <c r="BH1" s="374">
        <v>57</v>
      </c>
      <c r="BI1" s="374">
        <v>58</v>
      </c>
      <c r="BJ1" s="374">
        <v>59</v>
      </c>
      <c r="BK1" s="374">
        <v>60</v>
      </c>
      <c r="BL1" s="374">
        <v>61</v>
      </c>
      <c r="BM1" s="374">
        <v>62</v>
      </c>
      <c r="BN1" s="374">
        <v>63</v>
      </c>
      <c r="BO1" s="374">
        <v>64</v>
      </c>
      <c r="BP1" s="374">
        <v>65</v>
      </c>
      <c r="BQ1" s="374">
        <v>66</v>
      </c>
      <c r="BR1" s="374">
        <v>67</v>
      </c>
      <c r="BS1" s="119">
        <v>68</v>
      </c>
      <c r="BT1" s="374">
        <v>69</v>
      </c>
      <c r="BU1" s="119">
        <v>70</v>
      </c>
      <c r="BV1" s="374">
        <v>71</v>
      </c>
      <c r="BW1" s="119">
        <v>72</v>
      </c>
      <c r="BX1" s="374">
        <v>73</v>
      </c>
      <c r="BY1" s="119">
        <v>74</v>
      </c>
      <c r="BZ1" s="374">
        <v>75</v>
      </c>
      <c r="CA1" s="119">
        <v>76</v>
      </c>
      <c r="CB1" s="119"/>
      <c r="CC1" s="119"/>
      <c r="CD1" s="119"/>
      <c r="CE1" s="119"/>
      <c r="CF1" s="119"/>
      <c r="CG1" s="119"/>
      <c r="CH1" s="119"/>
      <c r="CI1" s="119"/>
      <c r="CJ1" s="119"/>
      <c r="CK1" s="119"/>
    </row>
    <row r="2" spans="2:89" x14ac:dyDescent="0.2">
      <c r="C2" s="33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119"/>
      <c r="BT2" s="374"/>
      <c r="BU2" s="119"/>
      <c r="BV2" s="374"/>
      <c r="BW2" s="119"/>
      <c r="BX2" s="374"/>
      <c r="BY2" s="119"/>
      <c r="BZ2" s="374"/>
      <c r="CA2" s="119"/>
      <c r="CB2" s="119"/>
      <c r="CC2" s="119"/>
      <c r="CD2" s="119"/>
      <c r="CE2" s="119"/>
      <c r="CF2" s="119"/>
      <c r="CG2" s="119"/>
      <c r="CH2" s="119"/>
      <c r="CI2" s="119"/>
      <c r="CJ2" s="119"/>
      <c r="CK2" s="119"/>
    </row>
    <row r="3" spans="2:89" x14ac:dyDescent="0.2">
      <c r="C3" s="334"/>
      <c r="D3" s="119"/>
      <c r="E3" s="119"/>
      <c r="F3" s="119"/>
      <c r="G3" s="119"/>
      <c r="H3" s="119"/>
      <c r="I3" s="119"/>
      <c r="J3" s="119"/>
      <c r="K3" s="119"/>
      <c r="L3" s="119"/>
      <c r="M3" s="119"/>
      <c r="N3" s="119"/>
      <c r="O3" s="119"/>
      <c r="P3" s="1159" t="s">
        <v>213</v>
      </c>
      <c r="Q3" s="1159"/>
      <c r="R3" s="1159"/>
      <c r="S3" s="1159"/>
      <c r="T3" s="1159"/>
      <c r="U3" s="1159"/>
      <c r="V3" s="1159"/>
      <c r="W3" s="1159"/>
      <c r="X3" s="1159"/>
      <c r="Y3" s="119"/>
      <c r="Z3" s="1161" t="s">
        <v>2842</v>
      </c>
      <c r="AA3" s="1161"/>
      <c r="AB3" s="1161"/>
      <c r="AC3" s="1161"/>
      <c r="AD3" s="1161"/>
      <c r="AE3" s="1161"/>
      <c r="AF3" s="1161"/>
      <c r="AG3" s="1161"/>
      <c r="AH3" s="1161"/>
      <c r="AI3" s="1161"/>
      <c r="AJ3" s="1161"/>
      <c r="AK3" s="1161"/>
      <c r="AL3" s="1161"/>
      <c r="AM3" s="1161"/>
      <c r="AN3" s="1161"/>
      <c r="AO3" s="1161"/>
      <c r="AP3" s="1161"/>
      <c r="AQ3" s="1161"/>
      <c r="AR3" s="1161"/>
      <c r="AS3" s="1161"/>
      <c r="AT3" s="1161"/>
      <c r="AU3" s="1161"/>
      <c r="AV3" s="1161"/>
      <c r="AW3" s="1161"/>
      <c r="AX3" s="1161"/>
      <c r="AY3" s="1161"/>
      <c r="AZ3" s="1161"/>
      <c r="BA3" s="1161"/>
      <c r="BB3" s="119"/>
      <c r="BC3" s="119"/>
      <c r="BD3" s="119"/>
      <c r="BE3" s="119"/>
      <c r="BF3" s="119"/>
      <c r="BG3" s="119"/>
      <c r="BH3" s="119"/>
      <c r="BI3" s="119"/>
      <c r="BJ3" s="119"/>
      <c r="BK3" s="119"/>
      <c r="BL3" s="119"/>
      <c r="BM3" s="119"/>
      <c r="BN3" s="119"/>
      <c r="BO3" s="119"/>
      <c r="BP3" s="119"/>
      <c r="BQ3" s="119"/>
      <c r="BR3" s="119"/>
      <c r="BS3" s="119"/>
      <c r="BT3" s="1160" t="s">
        <v>1947</v>
      </c>
      <c r="BU3" s="1160"/>
      <c r="BV3" s="1160"/>
      <c r="BW3" s="1160"/>
      <c r="BX3" s="1160"/>
      <c r="BY3" s="1160"/>
      <c r="BZ3" s="1160"/>
      <c r="CA3" s="1160"/>
      <c r="CB3" s="119"/>
      <c r="CC3" s="119"/>
      <c r="CD3" s="119"/>
      <c r="CE3" s="119"/>
      <c r="CF3" s="119"/>
      <c r="CG3" s="119"/>
      <c r="CH3" s="119"/>
      <c r="CI3" s="119"/>
      <c r="CJ3" s="119"/>
      <c r="CK3" s="119"/>
    </row>
    <row r="4" spans="2:89" ht="37.5" x14ac:dyDescent="0.2">
      <c r="C4" s="375">
        <v>1</v>
      </c>
      <c r="D4" s="814" t="s">
        <v>305</v>
      </c>
      <c r="E4" s="351" t="s">
        <v>304</v>
      </c>
      <c r="F4" s="376" t="s">
        <v>2</v>
      </c>
      <c r="G4" s="351" t="s">
        <v>1</v>
      </c>
      <c r="H4" s="351" t="s">
        <v>1875</v>
      </c>
      <c r="I4" s="351" t="s">
        <v>1874</v>
      </c>
      <c r="J4" s="351" t="s">
        <v>1873</v>
      </c>
      <c r="K4" s="351" t="s">
        <v>1872</v>
      </c>
      <c r="L4" s="351" t="s">
        <v>1871</v>
      </c>
      <c r="M4" s="351" t="s">
        <v>1870</v>
      </c>
      <c r="N4" s="351" t="s">
        <v>1869</v>
      </c>
      <c r="O4" s="351" t="s">
        <v>1868</v>
      </c>
      <c r="P4" s="810" t="s">
        <v>1867</v>
      </c>
      <c r="Q4" s="810" t="s">
        <v>1866</v>
      </c>
      <c r="R4" s="810" t="s">
        <v>1865</v>
      </c>
      <c r="S4" s="811" t="s">
        <v>1864</v>
      </c>
      <c r="T4" s="810" t="s">
        <v>1863</v>
      </c>
      <c r="U4" s="810" t="s">
        <v>1862</v>
      </c>
      <c r="V4" s="810" t="s">
        <v>1861</v>
      </c>
      <c r="W4" s="810" t="s">
        <v>1860</v>
      </c>
      <c r="X4" s="810" t="s">
        <v>1859</v>
      </c>
      <c r="Y4" s="349" t="s">
        <v>1858</v>
      </c>
      <c r="Z4" s="350" t="s">
        <v>1857</v>
      </c>
      <c r="AA4" s="350" t="s">
        <v>1856</v>
      </c>
      <c r="AB4" s="350" t="s">
        <v>1855</v>
      </c>
      <c r="AC4" s="350" t="s">
        <v>1854</v>
      </c>
      <c r="AD4" s="349" t="s">
        <v>1853</v>
      </c>
      <c r="AE4" s="349" t="s">
        <v>1852</v>
      </c>
      <c r="AF4" s="349" t="s">
        <v>1851</v>
      </c>
      <c r="AG4" s="349" t="s">
        <v>1850</v>
      </c>
      <c r="AH4" s="350" t="s">
        <v>1849</v>
      </c>
      <c r="AI4" s="350" t="s">
        <v>1848</v>
      </c>
      <c r="AJ4" s="350" t="s">
        <v>1847</v>
      </c>
      <c r="AK4" s="350" t="s">
        <v>1846</v>
      </c>
      <c r="AL4" s="350" t="s">
        <v>1845</v>
      </c>
      <c r="AM4" s="350" t="s">
        <v>1844</v>
      </c>
      <c r="AN4" s="350" t="s">
        <v>1843</v>
      </c>
      <c r="AO4" s="350" t="s">
        <v>1842</v>
      </c>
      <c r="AP4" s="350" t="s">
        <v>1841</v>
      </c>
      <c r="AQ4" s="350" t="s">
        <v>1840</v>
      </c>
      <c r="AR4" s="350" t="s">
        <v>1839</v>
      </c>
      <c r="AS4" s="350" t="s">
        <v>1838</v>
      </c>
      <c r="AT4" s="350" t="s">
        <v>1837</v>
      </c>
      <c r="AU4" s="350" t="s">
        <v>1836</v>
      </c>
      <c r="AV4" s="350" t="s">
        <v>1835</v>
      </c>
      <c r="AW4" s="350" t="s">
        <v>1834</v>
      </c>
      <c r="AX4" s="349" t="s">
        <v>1833</v>
      </c>
      <c r="AY4" s="349" t="s">
        <v>1832</v>
      </c>
      <c r="AZ4" s="349" t="s">
        <v>1831</v>
      </c>
      <c r="BA4" s="349" t="s">
        <v>1830</v>
      </c>
      <c r="BB4" s="348" t="s">
        <v>1829</v>
      </c>
      <c r="BC4" s="348" t="s">
        <v>1828</v>
      </c>
      <c r="BD4" s="348" t="s">
        <v>1827</v>
      </c>
      <c r="BE4" s="348" t="s">
        <v>1826</v>
      </c>
      <c r="BF4" s="348" t="s">
        <v>1825</v>
      </c>
      <c r="BG4" s="348" t="s">
        <v>1824</v>
      </c>
      <c r="BH4" s="348" t="s">
        <v>1823</v>
      </c>
      <c r="BI4" s="348" t="s">
        <v>1822</v>
      </c>
      <c r="BJ4" s="348" t="s">
        <v>1821</v>
      </c>
      <c r="BK4" s="348" t="s">
        <v>1820</v>
      </c>
      <c r="BL4" s="348" t="s">
        <v>1819</v>
      </c>
      <c r="BM4" s="348" t="s">
        <v>1818</v>
      </c>
      <c r="BN4" s="348" t="s">
        <v>1817</v>
      </c>
      <c r="BO4" s="348" t="s">
        <v>1816</v>
      </c>
      <c r="BP4" s="348" t="s">
        <v>1815</v>
      </c>
      <c r="BQ4" s="348" t="s">
        <v>1814</v>
      </c>
      <c r="BR4" s="348" t="s">
        <v>1813</v>
      </c>
      <c r="BS4" s="348" t="s">
        <v>1812</v>
      </c>
      <c r="BT4" s="410" t="s">
        <v>1939</v>
      </c>
      <c r="BU4" s="482" t="s">
        <v>1940</v>
      </c>
      <c r="BV4" s="410" t="s">
        <v>1941</v>
      </c>
      <c r="BW4" s="410" t="s">
        <v>1942</v>
      </c>
      <c r="BX4" s="410" t="s">
        <v>1943</v>
      </c>
      <c r="BY4" s="410" t="s">
        <v>1944</v>
      </c>
      <c r="BZ4" s="410" t="s">
        <v>1945</v>
      </c>
      <c r="CA4" s="410" t="s">
        <v>1946</v>
      </c>
      <c r="CB4" s="119"/>
      <c r="CC4" s="119"/>
      <c r="CD4" s="119"/>
      <c r="CE4" s="119"/>
      <c r="CF4" s="119"/>
      <c r="CG4" s="119"/>
      <c r="CH4" s="119"/>
      <c r="CI4" s="119"/>
      <c r="CJ4" s="119"/>
      <c r="CK4" s="119"/>
    </row>
    <row r="5" spans="2:89" s="313" customFormat="1" ht="64.5" customHeight="1" x14ac:dyDescent="0.2">
      <c r="B5" s="483"/>
      <c r="C5" s="377">
        <v>2</v>
      </c>
      <c r="D5" s="812">
        <v>1</v>
      </c>
      <c r="E5" s="379" t="s">
        <v>1515</v>
      </c>
      <c r="F5" s="379" t="s">
        <v>4</v>
      </c>
      <c r="G5" s="379" t="s">
        <v>1792</v>
      </c>
      <c r="H5" s="379" t="s">
        <v>1811</v>
      </c>
      <c r="I5" s="379" t="s">
        <v>1576</v>
      </c>
      <c r="J5" s="379" t="s">
        <v>1810</v>
      </c>
      <c r="K5" s="379" t="s">
        <v>1682</v>
      </c>
      <c r="L5" s="380" t="s">
        <v>1546</v>
      </c>
      <c r="M5" s="380">
        <v>8</v>
      </c>
      <c r="N5" s="380">
        <v>2011</v>
      </c>
      <c r="O5" s="380">
        <v>4</v>
      </c>
      <c r="P5" s="378">
        <v>3</v>
      </c>
      <c r="Q5" s="381">
        <v>2</v>
      </c>
      <c r="R5" s="361">
        <v>2</v>
      </c>
      <c r="S5" s="359"/>
      <c r="T5" s="379" t="s">
        <v>1754</v>
      </c>
      <c r="U5" s="382" t="s">
        <v>1530</v>
      </c>
      <c r="V5" s="382" t="s">
        <v>1753</v>
      </c>
      <c r="W5" s="383" t="s">
        <v>1611</v>
      </c>
      <c r="X5" s="361" t="s">
        <v>1775</v>
      </c>
      <c r="Y5" s="360" t="s">
        <v>1609</v>
      </c>
      <c r="Z5" s="361"/>
      <c r="AA5" s="361"/>
      <c r="AB5" s="362"/>
      <c r="AC5" s="362"/>
      <c r="AD5" s="363"/>
      <c r="AE5" s="359"/>
      <c r="AF5" s="361"/>
      <c r="AG5" s="361"/>
      <c r="AH5" s="361"/>
      <c r="AI5" s="361"/>
      <c r="AJ5" s="361"/>
      <c r="AK5" s="361"/>
      <c r="AL5" s="361"/>
      <c r="AM5" s="361"/>
      <c r="AN5" s="361"/>
      <c r="AO5" s="361"/>
      <c r="AP5" s="361"/>
      <c r="AQ5" s="361"/>
      <c r="AR5" s="361"/>
      <c r="AS5" s="361"/>
      <c r="AT5" s="384"/>
      <c r="AU5" s="357"/>
      <c r="AV5" s="347"/>
      <c r="AW5" s="347"/>
      <c r="AX5" s="347"/>
      <c r="AY5" s="347"/>
      <c r="AZ5" s="358"/>
      <c r="BA5" s="358"/>
      <c r="BB5" s="380">
        <v>423</v>
      </c>
      <c r="BC5" s="380">
        <v>17</v>
      </c>
      <c r="BD5" s="380">
        <v>31</v>
      </c>
      <c r="BE5" s="380">
        <v>32</v>
      </c>
      <c r="BF5" s="380">
        <v>71</v>
      </c>
      <c r="BG5" s="354"/>
      <c r="BH5" s="354"/>
      <c r="BI5" s="354"/>
      <c r="BJ5" s="354"/>
      <c r="BK5" s="354"/>
      <c r="BL5" s="354"/>
      <c r="BM5" s="354"/>
      <c r="BN5" s="354"/>
      <c r="BO5" s="354"/>
      <c r="BP5" s="354"/>
      <c r="BQ5" s="354"/>
      <c r="BR5" s="354"/>
      <c r="BS5" s="354"/>
      <c r="BT5" s="486">
        <v>0</v>
      </c>
      <c r="BU5" s="486">
        <v>0</v>
      </c>
      <c r="BV5" s="486">
        <v>0</v>
      </c>
      <c r="BW5" s="486">
        <v>0</v>
      </c>
      <c r="BX5" s="486">
        <v>0</v>
      </c>
      <c r="BY5" s="486">
        <v>0</v>
      </c>
      <c r="BZ5" s="486">
        <v>4</v>
      </c>
      <c r="CA5" s="486">
        <v>4</v>
      </c>
      <c r="CB5" s="355"/>
      <c r="CC5" s="355"/>
      <c r="CD5" s="355"/>
      <c r="CE5" s="355"/>
      <c r="CF5" s="355"/>
      <c r="CG5" s="355"/>
      <c r="CH5" s="355"/>
      <c r="CI5" s="355"/>
      <c r="CJ5" s="355"/>
      <c r="CK5" s="355"/>
    </row>
    <row r="6" spans="2:89" s="313" customFormat="1" ht="48" x14ac:dyDescent="0.2">
      <c r="B6" s="483"/>
      <c r="C6" s="385">
        <v>3</v>
      </c>
      <c r="D6" s="812">
        <v>2</v>
      </c>
      <c r="E6" s="386" t="s">
        <v>1512</v>
      </c>
      <c r="F6" s="379" t="s">
        <v>4</v>
      </c>
      <c r="G6" s="386" t="s">
        <v>1792</v>
      </c>
      <c r="H6" s="386" t="s">
        <v>1809</v>
      </c>
      <c r="I6" s="386" t="s">
        <v>1576</v>
      </c>
      <c r="J6" s="386" t="s">
        <v>1808</v>
      </c>
      <c r="K6" s="386" t="s">
        <v>1682</v>
      </c>
      <c r="L6" s="387" t="s">
        <v>1546</v>
      </c>
      <c r="M6" s="387">
        <v>48</v>
      </c>
      <c r="N6" s="387">
        <v>2011</v>
      </c>
      <c r="O6" s="387">
        <v>38</v>
      </c>
      <c r="P6" s="378">
        <v>9</v>
      </c>
      <c r="Q6" s="378">
        <v>9</v>
      </c>
      <c r="R6" s="378">
        <v>3</v>
      </c>
      <c r="S6" s="378"/>
      <c r="T6" s="380" t="s">
        <v>1807</v>
      </c>
      <c r="U6" s="382" t="s">
        <v>1530</v>
      </c>
      <c r="V6" s="382" t="s">
        <v>1876</v>
      </c>
      <c r="W6" s="383" t="s">
        <v>1877</v>
      </c>
      <c r="X6" s="361" t="s">
        <v>1728</v>
      </c>
      <c r="Y6" s="360" t="s">
        <v>1878</v>
      </c>
      <c r="Z6" s="361">
        <v>86</v>
      </c>
      <c r="AA6" s="361">
        <v>238</v>
      </c>
      <c r="AB6" s="359">
        <v>9</v>
      </c>
      <c r="AC6" s="362"/>
      <c r="AD6" s="363"/>
      <c r="AE6" s="359"/>
      <c r="AF6" s="361"/>
      <c r="AG6" s="361"/>
      <c r="AH6" s="361"/>
      <c r="AI6" s="361"/>
      <c r="AJ6" s="361">
        <v>95</v>
      </c>
      <c r="AK6" s="361"/>
      <c r="AL6" s="361"/>
      <c r="AM6" s="361"/>
      <c r="AN6" s="361">
        <v>50</v>
      </c>
      <c r="AO6" s="361"/>
      <c r="AP6" s="361"/>
      <c r="AQ6" s="361"/>
      <c r="AR6" s="361">
        <v>60</v>
      </c>
      <c r="AS6" s="361"/>
      <c r="AT6" s="384"/>
      <c r="AU6" s="357"/>
      <c r="AV6" s="347">
        <v>70</v>
      </c>
      <c r="AW6" s="347"/>
      <c r="AX6" s="347"/>
      <c r="AY6" s="347"/>
      <c r="AZ6" s="358">
        <v>90</v>
      </c>
      <c r="BA6" s="358"/>
      <c r="BB6" s="380">
        <v>462</v>
      </c>
      <c r="BC6" s="380">
        <v>463</v>
      </c>
      <c r="BD6" s="380">
        <v>464</v>
      </c>
      <c r="BE6" s="380">
        <v>465</v>
      </c>
      <c r="BF6" s="354"/>
      <c r="BG6" s="354"/>
      <c r="BH6" s="354"/>
      <c r="BI6" s="354"/>
      <c r="BJ6" s="354"/>
      <c r="BK6" s="354"/>
      <c r="BL6" s="354"/>
      <c r="BM6" s="354"/>
      <c r="BN6" s="354"/>
      <c r="BO6" s="354"/>
      <c r="BP6" s="354"/>
      <c r="BQ6" s="354"/>
      <c r="BR6" s="354"/>
      <c r="BS6" s="354"/>
      <c r="BT6" s="486">
        <v>0</v>
      </c>
      <c r="BU6" s="486">
        <v>0</v>
      </c>
      <c r="BV6" s="486">
        <v>0</v>
      </c>
      <c r="BW6" s="486">
        <v>0</v>
      </c>
      <c r="BX6" s="486">
        <v>0</v>
      </c>
      <c r="BY6" s="486">
        <v>0</v>
      </c>
      <c r="BZ6" s="486">
        <v>0</v>
      </c>
      <c r="CA6" s="486">
        <v>38</v>
      </c>
      <c r="CB6" s="355"/>
      <c r="CC6" s="355"/>
      <c r="CD6" s="355"/>
      <c r="CE6" s="355"/>
      <c r="CF6" s="355"/>
      <c r="CG6" s="355"/>
      <c r="CH6" s="355"/>
      <c r="CI6" s="355"/>
      <c r="CJ6" s="355"/>
      <c r="CK6" s="355"/>
    </row>
    <row r="7" spans="2:89" s="313" customFormat="1" ht="144" x14ac:dyDescent="0.2">
      <c r="B7" s="483"/>
      <c r="C7" s="377">
        <v>4</v>
      </c>
      <c r="D7" s="812">
        <v>3</v>
      </c>
      <c r="E7" s="386" t="s">
        <v>1510</v>
      </c>
      <c r="F7" s="379" t="s">
        <v>4</v>
      </c>
      <c r="G7" s="386" t="s">
        <v>1792</v>
      </c>
      <c r="H7" s="386" t="s">
        <v>303</v>
      </c>
      <c r="I7" s="386" t="s">
        <v>1576</v>
      </c>
      <c r="J7" s="386" t="s">
        <v>1806</v>
      </c>
      <c r="K7" s="386" t="s">
        <v>1800</v>
      </c>
      <c r="L7" s="387" t="s">
        <v>1546</v>
      </c>
      <c r="M7" s="387">
        <v>11.8</v>
      </c>
      <c r="N7" s="387">
        <v>2011</v>
      </c>
      <c r="O7" s="396">
        <v>11</v>
      </c>
      <c r="P7" s="378">
        <v>12.88</v>
      </c>
      <c r="Q7" s="388">
        <v>10.82</v>
      </c>
      <c r="R7" s="380">
        <v>9.6</v>
      </c>
      <c r="S7" s="370"/>
      <c r="T7" s="380" t="s">
        <v>1799</v>
      </c>
      <c r="U7" s="389" t="s">
        <v>1529</v>
      </c>
      <c r="V7" s="382" t="s">
        <v>1798</v>
      </c>
      <c r="W7" s="383" t="s">
        <v>1879</v>
      </c>
      <c r="X7" s="390" t="s">
        <v>1955</v>
      </c>
      <c r="Y7" s="390" t="s">
        <v>1956</v>
      </c>
      <c r="Z7" s="391">
        <v>13.3</v>
      </c>
      <c r="AA7" s="361">
        <v>12.42</v>
      </c>
      <c r="AB7" s="359">
        <v>11.8</v>
      </c>
      <c r="AC7" s="362"/>
      <c r="AD7" s="392">
        <v>9.58</v>
      </c>
      <c r="AE7" s="392" t="s">
        <v>1880</v>
      </c>
      <c r="AF7" s="392">
        <v>10.4</v>
      </c>
      <c r="AG7" s="392"/>
      <c r="AH7" s="392">
        <v>12.79</v>
      </c>
      <c r="AI7" s="392">
        <v>15.2</v>
      </c>
      <c r="AJ7" s="392">
        <v>14.9</v>
      </c>
      <c r="AK7" s="361"/>
      <c r="AL7" s="391">
        <v>12.64</v>
      </c>
      <c r="AM7" s="391">
        <v>10.8</v>
      </c>
      <c r="AN7" s="391">
        <v>10.199999999999999</v>
      </c>
      <c r="AO7" s="361"/>
      <c r="AP7" s="391">
        <v>11.2</v>
      </c>
      <c r="AQ7" s="361">
        <v>10.6</v>
      </c>
      <c r="AR7" s="361">
        <v>9.6</v>
      </c>
      <c r="AS7" s="361"/>
      <c r="AT7" s="393">
        <v>9.24</v>
      </c>
      <c r="AU7" s="357">
        <v>10</v>
      </c>
      <c r="AV7" s="394">
        <v>8.6999999999999993</v>
      </c>
      <c r="AW7" s="347"/>
      <c r="AX7" s="395">
        <v>11.73</v>
      </c>
      <c r="AY7" s="394">
        <v>10.7</v>
      </c>
      <c r="AZ7" s="357">
        <v>9</v>
      </c>
      <c r="BA7" s="356"/>
      <c r="BB7" s="380">
        <v>11</v>
      </c>
      <c r="BC7" s="380">
        <v>13</v>
      </c>
      <c r="BD7" s="380">
        <v>14</v>
      </c>
      <c r="BE7" s="354"/>
      <c r="BF7" s="354"/>
      <c r="BG7" s="354"/>
      <c r="BH7" s="354"/>
      <c r="BI7" s="354"/>
      <c r="BJ7" s="354"/>
      <c r="BK7" s="354"/>
      <c r="BL7" s="354"/>
      <c r="BM7" s="354"/>
      <c r="BN7" s="354"/>
      <c r="BO7" s="354"/>
      <c r="BP7" s="354"/>
      <c r="BQ7" s="354"/>
      <c r="BR7" s="354"/>
      <c r="BS7" s="354"/>
      <c r="BT7" s="486">
        <v>0.1</v>
      </c>
      <c r="BU7" s="486">
        <v>11.700000000000001</v>
      </c>
      <c r="BV7" s="486">
        <v>0.2</v>
      </c>
      <c r="BW7" s="486">
        <v>11.500000000000002</v>
      </c>
      <c r="BX7" s="486">
        <v>0.3</v>
      </c>
      <c r="BY7" s="486">
        <v>11.200000000000001</v>
      </c>
      <c r="BZ7" s="486">
        <v>0.2</v>
      </c>
      <c r="CA7" s="487">
        <v>11.000000000000002</v>
      </c>
      <c r="CB7" s="355"/>
      <c r="CC7" s="355"/>
      <c r="CD7" s="355"/>
      <c r="CE7" s="355"/>
      <c r="CF7" s="355"/>
      <c r="CG7" s="355"/>
      <c r="CH7" s="355"/>
      <c r="CI7" s="355"/>
      <c r="CJ7" s="355"/>
      <c r="CK7" s="355"/>
    </row>
    <row r="8" spans="2:89" s="313" customFormat="1" ht="210.75" customHeight="1" x14ac:dyDescent="0.2">
      <c r="B8" s="483"/>
      <c r="C8" s="385">
        <v>5</v>
      </c>
      <c r="D8" s="812">
        <v>4</v>
      </c>
      <c r="E8" s="386" t="s">
        <v>1510</v>
      </c>
      <c r="F8" s="379" t="s">
        <v>4</v>
      </c>
      <c r="G8" s="386" t="s">
        <v>1792</v>
      </c>
      <c r="H8" s="386" t="s">
        <v>302</v>
      </c>
      <c r="I8" s="386" t="s">
        <v>1576</v>
      </c>
      <c r="J8" s="386" t="s">
        <v>1805</v>
      </c>
      <c r="K8" s="386" t="s">
        <v>1804</v>
      </c>
      <c r="L8" s="387" t="s">
        <v>1546</v>
      </c>
      <c r="M8" s="387">
        <v>41.56</v>
      </c>
      <c r="N8" s="387">
        <v>2011</v>
      </c>
      <c r="O8" s="387">
        <v>40</v>
      </c>
      <c r="P8" s="378">
        <v>82.01</v>
      </c>
      <c r="Q8" s="396">
        <v>45.23</v>
      </c>
      <c r="R8" s="381">
        <v>46.76</v>
      </c>
      <c r="S8" s="370"/>
      <c r="T8" s="380" t="s">
        <v>1799</v>
      </c>
      <c r="U8" s="382" t="s">
        <v>1529</v>
      </c>
      <c r="V8" s="382" t="s">
        <v>1798</v>
      </c>
      <c r="W8" s="383" t="s">
        <v>1881</v>
      </c>
      <c r="X8" s="390" t="s">
        <v>1957</v>
      </c>
      <c r="Y8" s="390" t="s">
        <v>1958</v>
      </c>
      <c r="Z8" s="391">
        <v>64.2</v>
      </c>
      <c r="AA8" s="391">
        <v>53</v>
      </c>
      <c r="AB8" s="359" t="s">
        <v>1882</v>
      </c>
      <c r="AC8" s="362"/>
      <c r="AD8" s="397">
        <v>53.4</v>
      </c>
      <c r="AE8" s="397">
        <v>44.8</v>
      </c>
      <c r="AF8" s="397" t="s">
        <v>1883</v>
      </c>
      <c r="AG8" s="397"/>
      <c r="AH8" s="392">
        <v>72.62</v>
      </c>
      <c r="AI8" s="392">
        <v>56.18</v>
      </c>
      <c r="AJ8" s="392" t="s">
        <v>1884</v>
      </c>
      <c r="AK8" s="397"/>
      <c r="AL8" s="397">
        <v>38.200000000000003</v>
      </c>
      <c r="AM8" s="397">
        <v>24.1</v>
      </c>
      <c r="AN8" s="397" t="s">
        <v>1885</v>
      </c>
      <c r="AO8" s="397"/>
      <c r="AP8" s="397">
        <v>64.2</v>
      </c>
      <c r="AQ8" s="397">
        <v>79.7</v>
      </c>
      <c r="AR8" s="397" t="s">
        <v>1886</v>
      </c>
      <c r="AS8" s="397"/>
      <c r="AT8" s="397">
        <v>31.4</v>
      </c>
      <c r="AU8" s="397">
        <v>43</v>
      </c>
      <c r="AV8" s="397" t="s">
        <v>1887</v>
      </c>
      <c r="AW8" s="397"/>
      <c r="AX8" s="397">
        <v>70</v>
      </c>
      <c r="AY8" s="397">
        <v>41.2</v>
      </c>
      <c r="AZ8" s="397" t="s">
        <v>1885</v>
      </c>
      <c r="BA8" s="356"/>
      <c r="BB8" s="380">
        <v>12</v>
      </c>
      <c r="BC8" s="354"/>
      <c r="BD8" s="354"/>
      <c r="BE8" s="354"/>
      <c r="BF8" s="354"/>
      <c r="BG8" s="354"/>
      <c r="BH8" s="354"/>
      <c r="BI8" s="354"/>
      <c r="BJ8" s="354"/>
      <c r="BK8" s="354"/>
      <c r="BL8" s="354"/>
      <c r="BM8" s="354"/>
      <c r="BN8" s="354"/>
      <c r="BO8" s="354"/>
      <c r="BP8" s="354"/>
      <c r="BQ8" s="354"/>
      <c r="BR8" s="354"/>
      <c r="BS8" s="354"/>
      <c r="BT8" s="486">
        <v>0.2</v>
      </c>
      <c r="BU8" s="486">
        <v>41.36</v>
      </c>
      <c r="BV8" s="486">
        <v>0.39</v>
      </c>
      <c r="BW8" s="486">
        <v>40.97</v>
      </c>
      <c r="BX8" s="486">
        <v>0.45</v>
      </c>
      <c r="BY8" s="486">
        <v>40.519999999999996</v>
      </c>
      <c r="BZ8" s="486">
        <v>0.52</v>
      </c>
      <c r="CA8" s="487">
        <v>39.999999999999993</v>
      </c>
      <c r="CB8" s="355"/>
      <c r="CC8" s="355"/>
      <c r="CD8" s="355"/>
      <c r="CE8" s="355"/>
      <c r="CF8" s="355"/>
      <c r="CG8" s="355"/>
      <c r="CH8" s="355"/>
      <c r="CI8" s="355"/>
      <c r="CJ8" s="355"/>
      <c r="CK8" s="355"/>
    </row>
    <row r="9" spans="2:89" s="313" customFormat="1" ht="252" x14ac:dyDescent="0.2">
      <c r="B9" s="483"/>
      <c r="C9" s="377">
        <v>6</v>
      </c>
      <c r="D9" s="812">
        <v>5</v>
      </c>
      <c r="E9" s="386" t="s">
        <v>1510</v>
      </c>
      <c r="F9" s="379" t="s">
        <v>4</v>
      </c>
      <c r="G9" s="386" t="s">
        <v>1792</v>
      </c>
      <c r="H9" s="386" t="s">
        <v>1803</v>
      </c>
      <c r="I9" s="386" t="s">
        <v>1576</v>
      </c>
      <c r="J9" s="386" t="s">
        <v>1802</v>
      </c>
      <c r="K9" s="386" t="s">
        <v>1582</v>
      </c>
      <c r="L9" s="387" t="s">
        <v>1546</v>
      </c>
      <c r="M9" s="387">
        <v>5</v>
      </c>
      <c r="N9" s="387">
        <v>2011</v>
      </c>
      <c r="O9" s="387">
        <v>3</v>
      </c>
      <c r="P9" s="378">
        <v>5.25</v>
      </c>
      <c r="Q9" s="381">
        <v>5.07</v>
      </c>
      <c r="R9" s="380">
        <v>5.25</v>
      </c>
      <c r="S9" s="370"/>
      <c r="T9" s="384" t="s">
        <v>1959</v>
      </c>
      <c r="U9" s="382" t="s">
        <v>1529</v>
      </c>
      <c r="V9" s="382" t="s">
        <v>1798</v>
      </c>
      <c r="W9" s="383" t="s">
        <v>1888</v>
      </c>
      <c r="X9" s="384" t="s">
        <v>1960</v>
      </c>
      <c r="Y9" s="390" t="s">
        <v>1999</v>
      </c>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56"/>
      <c r="BB9" s="354"/>
      <c r="BC9" s="354"/>
      <c r="BD9" s="354"/>
      <c r="BE9" s="354"/>
      <c r="BF9" s="354"/>
      <c r="BG9" s="354"/>
      <c r="BH9" s="354"/>
      <c r="BI9" s="354"/>
      <c r="BJ9" s="354"/>
      <c r="BK9" s="354"/>
      <c r="BL9" s="354"/>
      <c r="BM9" s="354"/>
      <c r="BN9" s="354"/>
      <c r="BO9" s="354"/>
      <c r="BP9" s="354"/>
      <c r="BQ9" s="354"/>
      <c r="BR9" s="354"/>
      <c r="BS9" s="354"/>
      <c r="BT9" s="488">
        <v>0.5</v>
      </c>
      <c r="BU9" s="489">
        <v>4.4999999999999998E-2</v>
      </c>
      <c r="BV9" s="488">
        <v>0.5</v>
      </c>
      <c r="BW9" s="490">
        <v>0.04</v>
      </c>
      <c r="BX9" s="488">
        <v>0.5</v>
      </c>
      <c r="BY9" s="489">
        <v>3.5000000000000003E-2</v>
      </c>
      <c r="BZ9" s="488">
        <v>0.5</v>
      </c>
      <c r="CA9" s="490">
        <v>0.03</v>
      </c>
      <c r="CB9" s="355"/>
      <c r="CC9" s="355"/>
      <c r="CD9" s="355"/>
      <c r="CE9" s="355"/>
      <c r="CF9" s="355"/>
      <c r="CG9" s="355"/>
      <c r="CH9" s="355"/>
      <c r="CI9" s="355"/>
      <c r="CJ9" s="355"/>
      <c r="CK9" s="355"/>
    </row>
    <row r="10" spans="2:89" s="313" customFormat="1" ht="36" x14ac:dyDescent="0.2">
      <c r="B10" s="483"/>
      <c r="C10" s="385">
        <v>7</v>
      </c>
      <c r="D10" s="812">
        <v>6</v>
      </c>
      <c r="E10" s="386" t="s">
        <v>1510</v>
      </c>
      <c r="F10" s="379" t="s">
        <v>4</v>
      </c>
      <c r="G10" s="386" t="s">
        <v>1792</v>
      </c>
      <c r="H10" s="386" t="s">
        <v>301</v>
      </c>
      <c r="I10" s="386" t="s">
        <v>1576</v>
      </c>
      <c r="J10" s="386" t="s">
        <v>1801</v>
      </c>
      <c r="K10" s="386" t="s">
        <v>1800</v>
      </c>
      <c r="L10" s="387" t="s">
        <v>1546</v>
      </c>
      <c r="M10" s="387">
        <v>16.32</v>
      </c>
      <c r="N10" s="387">
        <v>2011</v>
      </c>
      <c r="O10" s="387">
        <v>14</v>
      </c>
      <c r="P10" s="378">
        <v>14.3</v>
      </c>
      <c r="Q10" s="381">
        <v>12.7</v>
      </c>
      <c r="R10" s="380">
        <v>10.199999999999999</v>
      </c>
      <c r="S10" s="399"/>
      <c r="T10" s="380" t="s">
        <v>1799</v>
      </c>
      <c r="U10" s="382" t="s">
        <v>1529</v>
      </c>
      <c r="V10" s="382" t="s">
        <v>1798</v>
      </c>
      <c r="W10" s="383" t="s">
        <v>1889</v>
      </c>
      <c r="X10" s="384" t="s">
        <v>1890</v>
      </c>
      <c r="Y10" s="390" t="s">
        <v>1891</v>
      </c>
      <c r="Z10" s="400">
        <v>14.62</v>
      </c>
      <c r="AA10" s="400">
        <v>13.9</v>
      </c>
      <c r="AB10" s="400">
        <v>12.8</v>
      </c>
      <c r="AC10" s="400"/>
      <c r="AD10" s="400">
        <v>12.5</v>
      </c>
      <c r="AE10" s="400">
        <v>12.2</v>
      </c>
      <c r="AF10" s="400">
        <v>11.5</v>
      </c>
      <c r="AG10" s="361"/>
      <c r="AH10" s="391">
        <v>13.67</v>
      </c>
      <c r="AI10" s="391">
        <v>16.399999999999999</v>
      </c>
      <c r="AJ10" s="361">
        <v>16</v>
      </c>
      <c r="AK10" s="361"/>
      <c r="AL10" s="391">
        <v>13.6</v>
      </c>
      <c r="AM10" s="391">
        <v>11.6</v>
      </c>
      <c r="AN10" s="391">
        <v>11.1</v>
      </c>
      <c r="AO10" s="361"/>
      <c r="AP10" s="391">
        <v>13.3</v>
      </c>
      <c r="AQ10" s="391">
        <v>11.9</v>
      </c>
      <c r="AR10" s="391">
        <v>10.8</v>
      </c>
      <c r="AS10" s="361"/>
      <c r="AT10" s="391">
        <v>10.01</v>
      </c>
      <c r="AU10" s="401">
        <v>11</v>
      </c>
      <c r="AV10" s="402">
        <v>9.6999999999999993</v>
      </c>
      <c r="AW10" s="347"/>
      <c r="AX10" s="395">
        <v>13</v>
      </c>
      <c r="AY10" s="395">
        <v>12</v>
      </c>
      <c r="AZ10" s="401">
        <v>10</v>
      </c>
      <c r="BA10" s="356"/>
      <c r="BB10" s="380">
        <v>12</v>
      </c>
      <c r="BC10" s="354"/>
      <c r="BD10" s="354"/>
      <c r="BE10" s="354"/>
      <c r="BF10" s="354"/>
      <c r="BG10" s="354"/>
      <c r="BH10" s="354"/>
      <c r="BI10" s="354"/>
      <c r="BJ10" s="354"/>
      <c r="BK10" s="354"/>
      <c r="BL10" s="354"/>
      <c r="BM10" s="354"/>
      <c r="BN10" s="354"/>
      <c r="BO10" s="354"/>
      <c r="BP10" s="354"/>
      <c r="BQ10" s="354"/>
      <c r="BR10" s="354"/>
      <c r="BS10" s="354"/>
      <c r="BT10" s="486">
        <v>0.32</v>
      </c>
      <c r="BU10" s="486">
        <v>16</v>
      </c>
      <c r="BV10" s="486">
        <v>0.5</v>
      </c>
      <c r="BW10" s="486">
        <v>15.5</v>
      </c>
      <c r="BX10" s="486">
        <v>1</v>
      </c>
      <c r="BY10" s="486">
        <v>14.5</v>
      </c>
      <c r="BZ10" s="486">
        <v>0.5</v>
      </c>
      <c r="CA10" s="487">
        <v>14</v>
      </c>
      <c r="CB10" s="355"/>
      <c r="CC10" s="355"/>
      <c r="CD10" s="355"/>
      <c r="CE10" s="355"/>
      <c r="CF10" s="355"/>
      <c r="CG10" s="355"/>
      <c r="CH10" s="355"/>
      <c r="CI10" s="355"/>
      <c r="CJ10" s="355"/>
      <c r="CK10" s="355"/>
    </row>
    <row r="11" spans="2:89" s="313" customFormat="1" ht="84" x14ac:dyDescent="0.2">
      <c r="B11" s="483"/>
      <c r="C11" s="377">
        <v>8</v>
      </c>
      <c r="D11" s="812">
        <v>7</v>
      </c>
      <c r="E11" s="386" t="s">
        <v>1705</v>
      </c>
      <c r="F11" s="379" t="s">
        <v>4</v>
      </c>
      <c r="G11" s="386" t="s">
        <v>1792</v>
      </c>
      <c r="H11" s="386" t="s">
        <v>300</v>
      </c>
      <c r="I11" s="386" t="s">
        <v>1576</v>
      </c>
      <c r="J11" s="386" t="s">
        <v>1797</v>
      </c>
      <c r="K11" s="386" t="s">
        <v>1582</v>
      </c>
      <c r="L11" s="387" t="s">
        <v>1546</v>
      </c>
      <c r="M11" s="387">
        <v>6</v>
      </c>
      <c r="N11" s="387">
        <v>2011</v>
      </c>
      <c r="O11" s="387">
        <v>3.5</v>
      </c>
      <c r="P11" s="403">
        <v>5.9</v>
      </c>
      <c r="Q11" s="403">
        <v>5.2</v>
      </c>
      <c r="R11" s="403">
        <v>5.2</v>
      </c>
      <c r="S11" s="404"/>
      <c r="T11" s="329" t="s">
        <v>7</v>
      </c>
      <c r="U11" s="405" t="s">
        <v>1529</v>
      </c>
      <c r="V11" s="405" t="s">
        <v>1795</v>
      </c>
      <c r="W11" s="406" t="s">
        <v>1892</v>
      </c>
      <c r="X11" s="407" t="s">
        <v>1893</v>
      </c>
      <c r="Y11" s="408" t="s">
        <v>1961</v>
      </c>
      <c r="Z11" s="361"/>
      <c r="AA11" s="361"/>
      <c r="AB11" s="359"/>
      <c r="AC11" s="362"/>
      <c r="AD11" s="363"/>
      <c r="AE11" s="359"/>
      <c r="AF11" s="361"/>
      <c r="AG11" s="361"/>
      <c r="AH11" s="361"/>
      <c r="AI11" s="361"/>
      <c r="AJ11" s="361"/>
      <c r="AK11" s="361"/>
      <c r="AL11" s="361"/>
      <c r="AM11" s="361"/>
      <c r="AN11" s="361"/>
      <c r="AO11" s="361"/>
      <c r="AP11" s="361"/>
      <c r="AQ11" s="361"/>
      <c r="AR11" s="361"/>
      <c r="AS11" s="361"/>
      <c r="AT11" s="384"/>
      <c r="AU11" s="357"/>
      <c r="AV11" s="347"/>
      <c r="AW11" s="347"/>
      <c r="AX11" s="347"/>
      <c r="AY11" s="347"/>
      <c r="AZ11" s="358"/>
      <c r="BA11" s="358"/>
      <c r="BB11" s="380">
        <v>283</v>
      </c>
      <c r="BC11" s="380">
        <v>284</v>
      </c>
      <c r="BD11" s="380">
        <v>15</v>
      </c>
      <c r="BE11" s="380">
        <v>16</v>
      </c>
      <c r="BF11" s="354"/>
      <c r="BG11" s="354"/>
      <c r="BH11" s="354"/>
      <c r="BI11" s="354"/>
      <c r="BJ11" s="354"/>
      <c r="BK11" s="354"/>
      <c r="BL11" s="354"/>
      <c r="BM11" s="354"/>
      <c r="BN11" s="354"/>
      <c r="BO11" s="354"/>
      <c r="BP11" s="354"/>
      <c r="BQ11" s="354"/>
      <c r="BR11" s="354"/>
      <c r="BS11" s="354"/>
      <c r="BT11" s="486">
        <v>0.125</v>
      </c>
      <c r="BU11" s="491">
        <v>5.8749999999999997E-2</v>
      </c>
      <c r="BV11" s="486">
        <v>0.625</v>
      </c>
      <c r="BW11" s="491">
        <v>5.2499999999999998E-2</v>
      </c>
      <c r="BX11" s="486">
        <v>0.75</v>
      </c>
      <c r="BY11" s="491">
        <v>4.4999999999999998E-2</v>
      </c>
      <c r="BZ11" s="486">
        <v>1</v>
      </c>
      <c r="CA11" s="489">
        <v>3.4999999999999996E-2</v>
      </c>
      <c r="CB11" s="355"/>
      <c r="CC11" s="355"/>
      <c r="CD11" s="355"/>
      <c r="CE11" s="355"/>
      <c r="CF11" s="355"/>
      <c r="CG11" s="355"/>
      <c r="CH11" s="355"/>
      <c r="CI11" s="355"/>
      <c r="CJ11" s="355"/>
      <c r="CK11" s="355"/>
    </row>
    <row r="12" spans="2:89" s="313" customFormat="1" ht="108" x14ac:dyDescent="0.2">
      <c r="B12" s="483"/>
      <c r="C12" s="385">
        <v>9</v>
      </c>
      <c r="D12" s="812">
        <v>8</v>
      </c>
      <c r="E12" s="386" t="s">
        <v>1705</v>
      </c>
      <c r="F12" s="379" t="s">
        <v>4</v>
      </c>
      <c r="G12" s="386" t="s">
        <v>1792</v>
      </c>
      <c r="H12" s="386" t="s">
        <v>299</v>
      </c>
      <c r="I12" s="386" t="s">
        <v>1576</v>
      </c>
      <c r="J12" s="386" t="s">
        <v>1796</v>
      </c>
      <c r="K12" s="386" t="s">
        <v>1582</v>
      </c>
      <c r="L12" s="387" t="s">
        <v>1546</v>
      </c>
      <c r="M12" s="387">
        <v>13</v>
      </c>
      <c r="N12" s="387">
        <v>2011</v>
      </c>
      <c r="O12" s="387">
        <v>9.5</v>
      </c>
      <c r="P12" s="403">
        <v>11.1</v>
      </c>
      <c r="Q12" s="409">
        <v>9.76</v>
      </c>
      <c r="R12" s="410">
        <v>9.76</v>
      </c>
      <c r="S12" s="404"/>
      <c r="T12" s="329" t="s">
        <v>7</v>
      </c>
      <c r="U12" s="405" t="s">
        <v>1529</v>
      </c>
      <c r="V12" s="405" t="s">
        <v>1795</v>
      </c>
      <c r="W12" s="406" t="s">
        <v>1892</v>
      </c>
      <c r="X12" s="407" t="s">
        <v>1893</v>
      </c>
      <c r="Y12" s="408" t="s">
        <v>1894</v>
      </c>
      <c r="Z12" s="361"/>
      <c r="AA12" s="361"/>
      <c r="AB12" s="359"/>
      <c r="AC12" s="362"/>
      <c r="AD12" s="363"/>
      <c r="AE12" s="359"/>
      <c r="AF12" s="361"/>
      <c r="AG12" s="361"/>
      <c r="AH12" s="361"/>
      <c r="AI12" s="361"/>
      <c r="AJ12" s="361"/>
      <c r="AK12" s="361"/>
      <c r="AL12" s="361"/>
      <c r="AM12" s="361"/>
      <c r="AN12" s="361"/>
      <c r="AO12" s="361"/>
      <c r="AP12" s="361"/>
      <c r="AQ12" s="361"/>
      <c r="AR12" s="361"/>
      <c r="AS12" s="361"/>
      <c r="AT12" s="384"/>
      <c r="AU12" s="357"/>
      <c r="AV12" s="347"/>
      <c r="AW12" s="347"/>
      <c r="AX12" s="347"/>
      <c r="AY12" s="347"/>
      <c r="AZ12" s="358"/>
      <c r="BA12" s="358"/>
      <c r="BB12" s="380">
        <v>283</v>
      </c>
      <c r="BC12" s="380">
        <v>284</v>
      </c>
      <c r="BD12" s="380">
        <v>15</v>
      </c>
      <c r="BE12" s="380">
        <v>16</v>
      </c>
      <c r="BF12" s="354"/>
      <c r="BG12" s="354"/>
      <c r="BH12" s="354"/>
      <c r="BI12" s="354"/>
      <c r="BJ12" s="354"/>
      <c r="BK12" s="354"/>
      <c r="BL12" s="354"/>
      <c r="BM12" s="354"/>
      <c r="BN12" s="354"/>
      <c r="BO12" s="354"/>
      <c r="BP12" s="354"/>
      <c r="BQ12" s="354"/>
      <c r="BR12" s="354"/>
      <c r="BS12" s="354"/>
      <c r="BT12" s="486">
        <v>0.18</v>
      </c>
      <c r="BU12" s="491">
        <v>0.12820000000000001</v>
      </c>
      <c r="BV12" s="486">
        <v>0.82000000000000006</v>
      </c>
      <c r="BW12" s="490">
        <v>0.12</v>
      </c>
      <c r="BX12" s="486">
        <v>1</v>
      </c>
      <c r="BY12" s="490">
        <v>0.11</v>
      </c>
      <c r="BZ12" s="486">
        <v>1.5</v>
      </c>
      <c r="CA12" s="489">
        <v>9.5000000000000001E-2</v>
      </c>
      <c r="CB12" s="355"/>
      <c r="CC12" s="355"/>
      <c r="CD12" s="355"/>
      <c r="CE12" s="355"/>
      <c r="CF12" s="355"/>
      <c r="CG12" s="355"/>
      <c r="CH12" s="355"/>
      <c r="CI12" s="355"/>
      <c r="CJ12" s="355"/>
      <c r="CK12" s="355"/>
    </row>
    <row r="13" spans="2:89" s="313" customFormat="1" ht="36" x14ac:dyDescent="0.2">
      <c r="B13" s="483"/>
      <c r="C13" s="377">
        <v>10</v>
      </c>
      <c r="D13" s="812">
        <v>9</v>
      </c>
      <c r="E13" s="521" t="s">
        <v>3</v>
      </c>
      <c r="F13" s="520" t="s">
        <v>4</v>
      </c>
      <c r="G13" s="521" t="s">
        <v>1792</v>
      </c>
      <c r="H13" s="521" t="s">
        <v>2000</v>
      </c>
      <c r="I13" s="521" t="s">
        <v>1576</v>
      </c>
      <c r="J13" s="520" t="s">
        <v>1794</v>
      </c>
      <c r="K13" s="411" t="s">
        <v>1780</v>
      </c>
      <c r="L13" s="387" t="s">
        <v>244</v>
      </c>
      <c r="M13" s="387">
        <v>0</v>
      </c>
      <c r="N13" s="387"/>
      <c r="O13" s="387">
        <v>17472</v>
      </c>
      <c r="P13" s="423">
        <v>4266</v>
      </c>
      <c r="Q13" s="424">
        <v>14657</v>
      </c>
      <c r="R13" s="424">
        <f>30559+4964</f>
        <v>35523</v>
      </c>
      <c r="S13" s="370"/>
      <c r="T13" s="412" t="s">
        <v>1714</v>
      </c>
      <c r="U13" s="382" t="s">
        <v>1529</v>
      </c>
      <c r="V13" s="382" t="s">
        <v>1723</v>
      </c>
      <c r="W13" s="383">
        <v>41886</v>
      </c>
      <c r="X13" s="413" t="s">
        <v>1712</v>
      </c>
      <c r="Y13" s="360" t="s">
        <v>1793</v>
      </c>
      <c r="Z13" s="361"/>
      <c r="AA13" s="361"/>
      <c r="AB13" s="359"/>
      <c r="AC13" s="362"/>
      <c r="AD13" s="363"/>
      <c r="AE13" s="359"/>
      <c r="AF13" s="361"/>
      <c r="AG13" s="361"/>
      <c r="AH13" s="361"/>
      <c r="AI13" s="361"/>
      <c r="AJ13" s="361"/>
      <c r="AK13" s="361"/>
      <c r="AL13" s="361"/>
      <c r="AM13" s="361"/>
      <c r="AN13" s="361"/>
      <c r="AO13" s="361"/>
      <c r="AP13" s="361"/>
      <c r="AQ13" s="361"/>
      <c r="AR13" s="361"/>
      <c r="AS13" s="361"/>
      <c r="AT13" s="384"/>
      <c r="AU13" s="357"/>
      <c r="AV13" s="347"/>
      <c r="AW13" s="347"/>
      <c r="AX13" s="347"/>
      <c r="AY13" s="347"/>
      <c r="AZ13" s="358"/>
      <c r="BA13" s="358"/>
      <c r="BB13" s="380">
        <v>553</v>
      </c>
      <c r="BC13" s="380">
        <v>28</v>
      </c>
      <c r="BD13" s="380">
        <v>66</v>
      </c>
      <c r="BE13" s="380">
        <v>20</v>
      </c>
      <c r="BF13" s="380">
        <v>21</v>
      </c>
      <c r="BG13" s="380">
        <v>22</v>
      </c>
      <c r="BH13" s="380">
        <v>23</v>
      </c>
      <c r="BI13" s="380">
        <v>24</v>
      </c>
      <c r="BJ13" s="380">
        <v>25</v>
      </c>
      <c r="BK13" s="380">
        <v>26</v>
      </c>
      <c r="BL13" s="380">
        <v>27</v>
      </c>
      <c r="BM13" s="354"/>
      <c r="BN13" s="354"/>
      <c r="BO13" s="354"/>
      <c r="BP13" s="354"/>
      <c r="BQ13" s="354"/>
      <c r="BR13" s="354"/>
      <c r="BS13" s="354"/>
      <c r="BT13" s="490">
        <v>0.15</v>
      </c>
      <c r="BU13" s="490">
        <v>0.15</v>
      </c>
      <c r="BV13" s="490">
        <v>0.15</v>
      </c>
      <c r="BW13" s="490">
        <v>0.15</v>
      </c>
      <c r="BX13" s="490">
        <v>0.15</v>
      </c>
      <c r="BY13" s="490">
        <v>0.15</v>
      </c>
      <c r="BZ13" s="490">
        <v>0.15</v>
      </c>
      <c r="CA13" s="490">
        <v>0.15</v>
      </c>
      <c r="CB13" s="355"/>
      <c r="CC13" s="355"/>
      <c r="CD13" s="355"/>
      <c r="CE13" s="355"/>
      <c r="CF13" s="355"/>
      <c r="CG13" s="355"/>
      <c r="CH13" s="355"/>
      <c r="CI13" s="355"/>
      <c r="CJ13" s="355"/>
      <c r="CK13" s="355"/>
    </row>
    <row r="14" spans="2:89" s="313" customFormat="1" ht="60" x14ac:dyDescent="0.2">
      <c r="B14" s="483"/>
      <c r="C14" s="385">
        <v>11</v>
      </c>
      <c r="D14" s="812">
        <v>10</v>
      </c>
      <c r="E14" s="386" t="s">
        <v>1705</v>
      </c>
      <c r="F14" s="379" t="s">
        <v>4</v>
      </c>
      <c r="G14" s="386" t="s">
        <v>1792</v>
      </c>
      <c r="H14" s="386" t="s">
        <v>298</v>
      </c>
      <c r="I14" s="386" t="s">
        <v>1576</v>
      </c>
      <c r="J14" s="386" t="s">
        <v>1791</v>
      </c>
      <c r="K14" s="386" t="s">
        <v>1757</v>
      </c>
      <c r="L14" s="387" t="s">
        <v>244</v>
      </c>
      <c r="M14" s="387">
        <v>0</v>
      </c>
      <c r="N14" s="387">
        <v>2011</v>
      </c>
      <c r="O14" s="387">
        <v>100</v>
      </c>
      <c r="P14" s="414">
        <v>100</v>
      </c>
      <c r="Q14" s="414">
        <v>100</v>
      </c>
      <c r="R14" s="415">
        <v>25</v>
      </c>
      <c r="S14" s="370"/>
      <c r="T14" s="329" t="s">
        <v>7</v>
      </c>
      <c r="U14" s="405" t="s">
        <v>1529</v>
      </c>
      <c r="V14" s="405" t="s">
        <v>1756</v>
      </c>
      <c r="W14" s="406" t="s">
        <v>1895</v>
      </c>
      <c r="X14" s="416" t="s">
        <v>1962</v>
      </c>
      <c r="Y14" s="417" t="s">
        <v>1896</v>
      </c>
      <c r="Z14" s="361"/>
      <c r="AA14" s="361"/>
      <c r="AB14" s="359"/>
      <c r="AC14" s="359"/>
      <c r="AD14" s="363"/>
      <c r="AE14" s="359"/>
      <c r="AF14" s="361"/>
      <c r="AG14" s="361"/>
      <c r="AH14" s="361"/>
      <c r="AI14" s="361"/>
      <c r="AJ14" s="361"/>
      <c r="AK14" s="361"/>
      <c r="AL14" s="361"/>
      <c r="AM14" s="361"/>
      <c r="AN14" s="361"/>
      <c r="AO14" s="361"/>
      <c r="AP14" s="361"/>
      <c r="AQ14" s="361"/>
      <c r="AR14" s="361"/>
      <c r="AS14" s="361"/>
      <c r="AT14" s="384"/>
      <c r="AU14" s="357"/>
      <c r="AV14" s="347"/>
      <c r="AW14" s="347"/>
      <c r="AX14" s="347"/>
      <c r="AY14" s="347"/>
      <c r="AZ14" s="358"/>
      <c r="BA14" s="358"/>
      <c r="BB14" s="380">
        <v>29</v>
      </c>
      <c r="BC14" s="354"/>
      <c r="BD14" s="354"/>
      <c r="BE14" s="354"/>
      <c r="BF14" s="354"/>
      <c r="BG14" s="354"/>
      <c r="BH14" s="354"/>
      <c r="BI14" s="354"/>
      <c r="BJ14" s="354"/>
      <c r="BK14" s="354"/>
      <c r="BL14" s="354"/>
      <c r="BM14" s="354"/>
      <c r="BN14" s="354"/>
      <c r="BO14" s="354"/>
      <c r="BP14" s="354"/>
      <c r="BQ14" s="354"/>
      <c r="BR14" s="354"/>
      <c r="BS14" s="354"/>
      <c r="BT14" s="490">
        <v>1</v>
      </c>
      <c r="BU14" s="490">
        <v>1</v>
      </c>
      <c r="BV14" s="490">
        <v>1</v>
      </c>
      <c r="BW14" s="490">
        <v>1</v>
      </c>
      <c r="BX14" s="490">
        <v>1</v>
      </c>
      <c r="BY14" s="490">
        <v>1</v>
      </c>
      <c r="BZ14" s="490">
        <v>1</v>
      </c>
      <c r="CA14" s="490">
        <v>1</v>
      </c>
      <c r="CB14" s="355"/>
      <c r="CC14" s="355"/>
      <c r="CD14" s="355"/>
      <c r="CE14" s="355"/>
      <c r="CF14" s="355"/>
      <c r="CG14" s="355"/>
      <c r="CH14" s="355"/>
      <c r="CI14" s="355"/>
      <c r="CJ14" s="355"/>
      <c r="CK14" s="355"/>
    </row>
    <row r="15" spans="2:89" s="313" customFormat="1" ht="36" x14ac:dyDescent="0.2">
      <c r="B15" s="483"/>
      <c r="C15" s="377">
        <v>12</v>
      </c>
      <c r="D15" s="812">
        <v>33</v>
      </c>
      <c r="E15" s="379" t="s">
        <v>1515</v>
      </c>
      <c r="F15" s="379" t="s">
        <v>4</v>
      </c>
      <c r="G15" s="379" t="s">
        <v>1778</v>
      </c>
      <c r="H15" s="379" t="s">
        <v>297</v>
      </c>
      <c r="I15" s="379" t="s">
        <v>1576</v>
      </c>
      <c r="J15" s="379" t="s">
        <v>1790</v>
      </c>
      <c r="K15" s="379" t="s">
        <v>1729</v>
      </c>
      <c r="L15" s="380" t="s">
        <v>1546</v>
      </c>
      <c r="M15" s="380">
        <v>13</v>
      </c>
      <c r="N15" s="380">
        <v>2011</v>
      </c>
      <c r="O15" s="380">
        <v>10</v>
      </c>
      <c r="P15" s="378">
        <v>4</v>
      </c>
      <c r="Q15" s="381">
        <v>0</v>
      </c>
      <c r="R15" s="361">
        <v>2</v>
      </c>
      <c r="S15" s="359"/>
      <c r="T15" s="379" t="s">
        <v>1754</v>
      </c>
      <c r="U15" s="382" t="s">
        <v>1530</v>
      </c>
      <c r="V15" s="382" t="s">
        <v>1753</v>
      </c>
      <c r="W15" s="383" t="s">
        <v>1611</v>
      </c>
      <c r="X15" s="361" t="s">
        <v>1775</v>
      </c>
      <c r="Y15" s="360" t="s">
        <v>1609</v>
      </c>
      <c r="Z15" s="361"/>
      <c r="AA15" s="361"/>
      <c r="AB15" s="359"/>
      <c r="AC15" s="362"/>
      <c r="AD15" s="363"/>
      <c r="AE15" s="359"/>
      <c r="AF15" s="361"/>
      <c r="AG15" s="361"/>
      <c r="AH15" s="361"/>
      <c r="AI15" s="361"/>
      <c r="AJ15" s="361"/>
      <c r="AK15" s="361"/>
      <c r="AL15" s="361"/>
      <c r="AM15" s="361"/>
      <c r="AN15" s="361"/>
      <c r="AO15" s="361"/>
      <c r="AP15" s="361"/>
      <c r="AQ15" s="361"/>
      <c r="AR15" s="361"/>
      <c r="AS15" s="361"/>
      <c r="AT15" s="384"/>
      <c r="AU15" s="357"/>
      <c r="AV15" s="347"/>
      <c r="AW15" s="347"/>
      <c r="AX15" s="347"/>
      <c r="AY15" s="347"/>
      <c r="AZ15" s="358"/>
      <c r="BA15" s="358"/>
      <c r="BB15" s="380">
        <v>44</v>
      </c>
      <c r="BC15" s="380">
        <v>69</v>
      </c>
      <c r="BD15" s="354"/>
      <c r="BE15" s="354"/>
      <c r="BF15" s="354"/>
      <c r="BG15" s="354"/>
      <c r="BH15" s="354"/>
      <c r="BI15" s="354"/>
      <c r="BJ15" s="354"/>
      <c r="BK15" s="354"/>
      <c r="BL15" s="354"/>
      <c r="BM15" s="354"/>
      <c r="BN15" s="354"/>
      <c r="BO15" s="354"/>
      <c r="BP15" s="354"/>
      <c r="BQ15" s="354"/>
      <c r="BR15" s="354"/>
      <c r="BS15" s="354"/>
      <c r="BT15" s="486">
        <v>0</v>
      </c>
      <c r="BU15" s="486">
        <v>0</v>
      </c>
      <c r="BV15" s="486">
        <v>0</v>
      </c>
      <c r="BW15" s="486">
        <v>0</v>
      </c>
      <c r="BX15" s="486">
        <v>0</v>
      </c>
      <c r="BY15" s="486">
        <v>0</v>
      </c>
      <c r="BZ15" s="486">
        <v>10</v>
      </c>
      <c r="CA15" s="492">
        <v>10</v>
      </c>
      <c r="CB15" s="355"/>
      <c r="CC15" s="355"/>
      <c r="CD15" s="355"/>
      <c r="CE15" s="355"/>
      <c r="CF15" s="355"/>
      <c r="CG15" s="355"/>
      <c r="CH15" s="355"/>
      <c r="CI15" s="355"/>
      <c r="CJ15" s="355"/>
      <c r="CK15" s="355"/>
    </row>
    <row r="16" spans="2:89" s="313" customFormat="1" ht="48" x14ac:dyDescent="0.2">
      <c r="B16" s="483"/>
      <c r="C16" s="385">
        <v>13</v>
      </c>
      <c r="D16" s="812">
        <v>34</v>
      </c>
      <c r="E16" s="386" t="s">
        <v>1512</v>
      </c>
      <c r="F16" s="379" t="s">
        <v>4</v>
      </c>
      <c r="G16" s="386" t="s">
        <v>1778</v>
      </c>
      <c r="H16" s="386" t="s">
        <v>296</v>
      </c>
      <c r="I16" s="386" t="s">
        <v>1576</v>
      </c>
      <c r="J16" s="386" t="s">
        <v>1789</v>
      </c>
      <c r="K16" s="386" t="s">
        <v>1729</v>
      </c>
      <c r="L16" s="387" t="s">
        <v>1546</v>
      </c>
      <c r="M16" s="387">
        <v>45</v>
      </c>
      <c r="N16" s="387">
        <v>2011</v>
      </c>
      <c r="O16" s="418">
        <v>36</v>
      </c>
      <c r="P16" s="378">
        <v>10</v>
      </c>
      <c r="Q16" s="378">
        <v>6</v>
      </c>
      <c r="R16" s="378">
        <v>1</v>
      </c>
      <c r="S16" s="378"/>
      <c r="T16" s="380" t="s">
        <v>1807</v>
      </c>
      <c r="U16" s="382" t="s">
        <v>1530</v>
      </c>
      <c r="V16" s="382" t="s">
        <v>1876</v>
      </c>
      <c r="W16" s="383" t="s">
        <v>1877</v>
      </c>
      <c r="X16" s="361" t="s">
        <v>1728</v>
      </c>
      <c r="Y16" s="360" t="s">
        <v>1897</v>
      </c>
      <c r="Z16" s="361">
        <v>84</v>
      </c>
      <c r="AA16" s="361">
        <v>81</v>
      </c>
      <c r="AB16" s="359">
        <v>5</v>
      </c>
      <c r="AC16" s="362"/>
      <c r="AD16" s="363"/>
      <c r="AE16" s="359"/>
      <c r="AF16" s="361"/>
      <c r="AG16" s="361"/>
      <c r="AH16" s="361"/>
      <c r="AI16" s="361"/>
      <c r="AJ16" s="361"/>
      <c r="AK16" s="361"/>
      <c r="AL16" s="361"/>
      <c r="AM16" s="361"/>
      <c r="AN16" s="361"/>
      <c r="AO16" s="361"/>
      <c r="AP16" s="361"/>
      <c r="AQ16" s="361"/>
      <c r="AR16" s="361"/>
      <c r="AS16" s="361"/>
      <c r="AT16" s="384"/>
      <c r="AU16" s="357"/>
      <c r="AV16" s="347"/>
      <c r="AW16" s="347"/>
      <c r="AX16" s="347"/>
      <c r="AY16" s="347"/>
      <c r="AZ16" s="358"/>
      <c r="BA16" s="358"/>
      <c r="BB16" s="380">
        <v>462</v>
      </c>
      <c r="BC16" s="380">
        <v>463</v>
      </c>
      <c r="BD16" s="380">
        <v>464</v>
      </c>
      <c r="BE16" s="380">
        <v>465</v>
      </c>
      <c r="BF16" s="354"/>
      <c r="BG16" s="354"/>
      <c r="BH16" s="354"/>
      <c r="BI16" s="354"/>
      <c r="BJ16" s="354"/>
      <c r="BK16" s="354"/>
      <c r="BL16" s="354"/>
      <c r="BM16" s="354"/>
      <c r="BN16" s="354"/>
      <c r="BO16" s="354"/>
      <c r="BP16" s="354"/>
      <c r="BQ16" s="354"/>
      <c r="BR16" s="354"/>
      <c r="BS16" s="354"/>
      <c r="BT16" s="486">
        <v>0</v>
      </c>
      <c r="BU16" s="486">
        <v>0</v>
      </c>
      <c r="BV16" s="486">
        <v>0</v>
      </c>
      <c r="BW16" s="486">
        <v>0</v>
      </c>
      <c r="BX16" s="486">
        <v>0</v>
      </c>
      <c r="BY16" s="486">
        <v>0</v>
      </c>
      <c r="BZ16" s="486">
        <v>36</v>
      </c>
      <c r="CA16" s="486">
        <v>36</v>
      </c>
      <c r="CB16" s="355"/>
      <c r="CC16" s="355"/>
      <c r="CD16" s="355"/>
      <c r="CE16" s="355"/>
      <c r="CF16" s="355"/>
      <c r="CG16" s="355"/>
      <c r="CH16" s="355"/>
      <c r="CI16" s="355"/>
      <c r="CJ16" s="355"/>
      <c r="CK16" s="355"/>
    </row>
    <row r="17" spans="2:89" s="313" customFormat="1" ht="180" x14ac:dyDescent="0.2">
      <c r="B17" s="483"/>
      <c r="C17" s="377">
        <v>14</v>
      </c>
      <c r="D17" s="812">
        <v>35</v>
      </c>
      <c r="E17" s="386" t="s">
        <v>1517</v>
      </c>
      <c r="F17" s="379" t="s">
        <v>4</v>
      </c>
      <c r="G17" s="386" t="s">
        <v>1778</v>
      </c>
      <c r="H17" s="386" t="s">
        <v>295</v>
      </c>
      <c r="I17" s="386" t="s">
        <v>1576</v>
      </c>
      <c r="J17" s="386" t="s">
        <v>1788</v>
      </c>
      <c r="K17" s="386" t="s">
        <v>1582</v>
      </c>
      <c r="L17" s="387" t="s">
        <v>243</v>
      </c>
      <c r="M17" s="387">
        <v>85</v>
      </c>
      <c r="N17" s="387">
        <v>2011</v>
      </c>
      <c r="O17" s="387">
        <v>86.95</v>
      </c>
      <c r="P17" s="378">
        <v>84.67</v>
      </c>
      <c r="Q17" s="381">
        <v>88.81</v>
      </c>
      <c r="R17" s="380">
        <v>90.35</v>
      </c>
      <c r="S17" s="380"/>
      <c r="T17" s="379" t="s">
        <v>1619</v>
      </c>
      <c r="U17" s="405" t="s">
        <v>1529</v>
      </c>
      <c r="V17" s="405" t="s">
        <v>1760</v>
      </c>
      <c r="W17" s="419" t="s">
        <v>1898</v>
      </c>
      <c r="X17" s="384" t="s">
        <v>1617</v>
      </c>
      <c r="Y17" s="360" t="s">
        <v>1963</v>
      </c>
      <c r="Z17" s="361"/>
      <c r="AA17" s="361"/>
      <c r="AB17" s="359"/>
      <c r="AC17" s="362"/>
      <c r="AD17" s="363"/>
      <c r="AE17" s="359"/>
      <c r="AF17" s="361"/>
      <c r="AG17" s="361"/>
      <c r="AH17" s="361"/>
      <c r="AI17" s="361"/>
      <c r="AJ17" s="361"/>
      <c r="AK17" s="361"/>
      <c r="AL17" s="361"/>
      <c r="AM17" s="361"/>
      <c r="AN17" s="361"/>
      <c r="AO17" s="361"/>
      <c r="AP17" s="361"/>
      <c r="AQ17" s="361"/>
      <c r="AR17" s="361"/>
      <c r="AS17" s="361"/>
      <c r="AT17" s="384"/>
      <c r="AU17" s="357"/>
      <c r="AV17" s="347"/>
      <c r="AW17" s="347"/>
      <c r="AX17" s="347"/>
      <c r="AY17" s="347"/>
      <c r="AZ17" s="358"/>
      <c r="BA17" s="358"/>
      <c r="BB17" s="380">
        <v>294</v>
      </c>
      <c r="BC17" s="380">
        <v>296</v>
      </c>
      <c r="BD17" s="380">
        <v>43</v>
      </c>
      <c r="BE17" s="380">
        <v>46</v>
      </c>
      <c r="BF17" s="380">
        <v>295</v>
      </c>
      <c r="BG17" s="380">
        <v>18</v>
      </c>
      <c r="BH17" s="380">
        <v>19</v>
      </c>
      <c r="BI17" s="354"/>
      <c r="BJ17" s="354"/>
      <c r="BK17" s="354"/>
      <c r="BL17" s="354"/>
      <c r="BM17" s="354"/>
      <c r="BN17" s="354"/>
      <c r="BO17" s="354"/>
      <c r="BP17" s="354"/>
      <c r="BQ17" s="354"/>
      <c r="BR17" s="354"/>
      <c r="BS17" s="354"/>
      <c r="BT17" s="491">
        <v>0</v>
      </c>
      <c r="BU17" s="491">
        <v>0.85</v>
      </c>
      <c r="BV17" s="491">
        <v>6.4999999999999997E-3</v>
      </c>
      <c r="BW17" s="491">
        <v>0.85649999999999993</v>
      </c>
      <c r="BX17" s="491">
        <v>6.4999999999999997E-3</v>
      </c>
      <c r="BY17" s="491">
        <v>0.86299999999999988</v>
      </c>
      <c r="BZ17" s="491">
        <v>6.4999999999999997E-3</v>
      </c>
      <c r="CA17" s="491">
        <v>0.86949999999999983</v>
      </c>
      <c r="CB17" s="355"/>
      <c r="CC17" s="355"/>
      <c r="CD17" s="355"/>
      <c r="CE17" s="355"/>
      <c r="CF17" s="355"/>
      <c r="CG17" s="355"/>
      <c r="CH17" s="355"/>
      <c r="CI17" s="355"/>
      <c r="CJ17" s="355"/>
      <c r="CK17" s="355"/>
    </row>
    <row r="18" spans="2:89" s="313" customFormat="1" ht="156" x14ac:dyDescent="0.2">
      <c r="B18" s="483"/>
      <c r="C18" s="385">
        <v>15</v>
      </c>
      <c r="D18" s="812">
        <v>36</v>
      </c>
      <c r="E18" s="386" t="s">
        <v>1517</v>
      </c>
      <c r="F18" s="379" t="s">
        <v>4</v>
      </c>
      <c r="G18" s="386" t="s">
        <v>1778</v>
      </c>
      <c r="H18" s="386" t="s">
        <v>294</v>
      </c>
      <c r="I18" s="386" t="s">
        <v>1576</v>
      </c>
      <c r="J18" s="386" t="s">
        <v>1787</v>
      </c>
      <c r="K18" s="386" t="s">
        <v>1786</v>
      </c>
      <c r="L18" s="387" t="s">
        <v>244</v>
      </c>
      <c r="M18" s="387">
        <v>100</v>
      </c>
      <c r="N18" s="387">
        <v>2011</v>
      </c>
      <c r="O18" s="387">
        <v>100</v>
      </c>
      <c r="P18" s="378">
        <v>99.71</v>
      </c>
      <c r="Q18" s="381">
        <v>101.27</v>
      </c>
      <c r="R18" s="380">
        <v>100.59</v>
      </c>
      <c r="S18" s="380"/>
      <c r="T18" s="379" t="s">
        <v>1619</v>
      </c>
      <c r="U18" s="405" t="s">
        <v>1529</v>
      </c>
      <c r="V18" s="405" t="s">
        <v>1760</v>
      </c>
      <c r="W18" s="419" t="s">
        <v>1898</v>
      </c>
      <c r="X18" s="384" t="s">
        <v>1617</v>
      </c>
      <c r="Y18" s="360" t="s">
        <v>1964</v>
      </c>
      <c r="Z18" s="361"/>
      <c r="AA18" s="361"/>
      <c r="AB18" s="359"/>
      <c r="AC18" s="362"/>
      <c r="AD18" s="363"/>
      <c r="AE18" s="359"/>
      <c r="AF18" s="361"/>
      <c r="AG18" s="361"/>
      <c r="AH18" s="361"/>
      <c r="AI18" s="361"/>
      <c r="AJ18" s="361"/>
      <c r="AK18" s="361"/>
      <c r="AL18" s="361"/>
      <c r="AM18" s="361"/>
      <c r="AN18" s="361"/>
      <c r="AO18" s="361"/>
      <c r="AP18" s="361"/>
      <c r="AQ18" s="361"/>
      <c r="AR18" s="361"/>
      <c r="AS18" s="361"/>
      <c r="AT18" s="384"/>
      <c r="AU18" s="357"/>
      <c r="AV18" s="347"/>
      <c r="AW18" s="347"/>
      <c r="AX18" s="347"/>
      <c r="AY18" s="347"/>
      <c r="AZ18" s="358"/>
      <c r="BA18" s="358"/>
      <c r="BB18" s="380">
        <v>45</v>
      </c>
      <c r="BC18" s="380">
        <v>70</v>
      </c>
      <c r="BD18" s="380">
        <v>124</v>
      </c>
      <c r="BE18" s="380">
        <v>163</v>
      </c>
      <c r="BF18" s="380">
        <v>183</v>
      </c>
      <c r="BG18" s="380">
        <v>48</v>
      </c>
      <c r="BH18" s="354"/>
      <c r="BI18" s="354"/>
      <c r="BJ18" s="354"/>
      <c r="BK18" s="354"/>
      <c r="BL18" s="354"/>
      <c r="BM18" s="354"/>
      <c r="BN18" s="354"/>
      <c r="BO18" s="354"/>
      <c r="BP18" s="354"/>
      <c r="BQ18" s="354"/>
      <c r="BR18" s="354"/>
      <c r="BS18" s="354"/>
      <c r="BT18" s="490">
        <v>1</v>
      </c>
      <c r="BU18" s="490">
        <v>1</v>
      </c>
      <c r="BV18" s="490">
        <v>1</v>
      </c>
      <c r="BW18" s="490">
        <v>1</v>
      </c>
      <c r="BX18" s="490">
        <v>1</v>
      </c>
      <c r="BY18" s="490">
        <v>1</v>
      </c>
      <c r="BZ18" s="490">
        <v>1</v>
      </c>
      <c r="CA18" s="490">
        <v>1</v>
      </c>
      <c r="CB18" s="355"/>
      <c r="CC18" s="355"/>
      <c r="CD18" s="355"/>
      <c r="CE18" s="355"/>
      <c r="CF18" s="355"/>
      <c r="CG18" s="355"/>
      <c r="CH18" s="355"/>
      <c r="CI18" s="355"/>
      <c r="CJ18" s="355"/>
      <c r="CK18" s="355"/>
    </row>
    <row r="19" spans="2:89" s="313" customFormat="1" ht="192" x14ac:dyDescent="0.2">
      <c r="B19" s="483"/>
      <c r="C19" s="377">
        <v>16</v>
      </c>
      <c r="D19" s="812">
        <v>37</v>
      </c>
      <c r="E19" s="386" t="s">
        <v>1517</v>
      </c>
      <c r="F19" s="379" t="s">
        <v>4</v>
      </c>
      <c r="G19" s="386" t="s">
        <v>1778</v>
      </c>
      <c r="H19" s="386" t="s">
        <v>293</v>
      </c>
      <c r="I19" s="386" t="s">
        <v>1576</v>
      </c>
      <c r="J19" s="386" t="s">
        <v>1785</v>
      </c>
      <c r="K19" s="386" t="s">
        <v>1582</v>
      </c>
      <c r="L19" s="387" t="s">
        <v>1546</v>
      </c>
      <c r="M19" s="387">
        <v>5.61</v>
      </c>
      <c r="N19" s="387">
        <v>2011</v>
      </c>
      <c r="O19" s="387">
        <v>5.15</v>
      </c>
      <c r="P19" s="378">
        <v>2.64</v>
      </c>
      <c r="Q19" s="381">
        <v>2.42</v>
      </c>
      <c r="R19" s="381">
        <v>2.42</v>
      </c>
      <c r="S19" s="380"/>
      <c r="T19" s="379" t="s">
        <v>1784</v>
      </c>
      <c r="U19" s="405" t="s">
        <v>1529</v>
      </c>
      <c r="V19" s="405" t="s">
        <v>1760</v>
      </c>
      <c r="W19" s="419">
        <v>41890</v>
      </c>
      <c r="X19" s="384" t="s">
        <v>1617</v>
      </c>
      <c r="Y19" s="360" t="s">
        <v>1965</v>
      </c>
      <c r="Z19" s="391">
        <v>3.74</v>
      </c>
      <c r="AA19" s="391">
        <v>3.62</v>
      </c>
      <c r="AB19" s="391"/>
      <c r="AC19" s="362"/>
      <c r="AD19" s="420">
        <v>4.71</v>
      </c>
      <c r="AE19" s="420">
        <v>3.84</v>
      </c>
      <c r="AF19" s="420"/>
      <c r="AG19" s="361"/>
      <c r="AH19" s="391">
        <v>2.0499999999999998</v>
      </c>
      <c r="AI19" s="391">
        <v>1.7</v>
      </c>
      <c r="AJ19" s="391"/>
      <c r="AK19" s="361"/>
      <c r="AL19" s="391">
        <v>3.89</v>
      </c>
      <c r="AM19" s="391">
        <v>3.68</v>
      </c>
      <c r="AN19" s="391"/>
      <c r="AO19" s="361"/>
      <c r="AP19" s="391">
        <v>3.64</v>
      </c>
      <c r="AQ19" s="391">
        <v>2.68</v>
      </c>
      <c r="AR19" s="391"/>
      <c r="AS19" s="361"/>
      <c r="AT19" s="391">
        <v>4.49</v>
      </c>
      <c r="AU19" s="391">
        <v>3.14</v>
      </c>
      <c r="AV19" s="391"/>
      <c r="AW19" s="347"/>
      <c r="AX19" s="391">
        <v>4.17</v>
      </c>
      <c r="AY19" s="391">
        <v>3.01</v>
      </c>
      <c r="AZ19" s="391"/>
      <c r="BA19" s="358"/>
      <c r="BB19" s="380">
        <v>50</v>
      </c>
      <c r="BC19" s="380">
        <v>84</v>
      </c>
      <c r="BD19" s="380">
        <v>91</v>
      </c>
      <c r="BE19" s="380">
        <v>49</v>
      </c>
      <c r="BF19" s="380">
        <v>94</v>
      </c>
      <c r="BG19" s="380">
        <v>95</v>
      </c>
      <c r="BH19" s="380">
        <v>121</v>
      </c>
      <c r="BI19" s="354"/>
      <c r="BJ19" s="354"/>
      <c r="BK19" s="354"/>
      <c r="BL19" s="354"/>
      <c r="BM19" s="354"/>
      <c r="BN19" s="354"/>
      <c r="BO19" s="354"/>
      <c r="BP19" s="354"/>
      <c r="BQ19" s="354"/>
      <c r="BR19" s="354"/>
      <c r="BS19" s="354"/>
      <c r="BT19" s="493">
        <v>1.15E-3</v>
      </c>
      <c r="BU19" s="494">
        <v>5.4949999999999999E-2</v>
      </c>
      <c r="BV19" s="494">
        <v>1.15E-3</v>
      </c>
      <c r="BW19" s="494">
        <v>5.3800000000000001E-2</v>
      </c>
      <c r="BX19" s="494">
        <v>1.15E-3</v>
      </c>
      <c r="BY19" s="494">
        <v>5.2650000000000002E-2</v>
      </c>
      <c r="BZ19" s="493">
        <v>1.15E-3</v>
      </c>
      <c r="CA19" s="491">
        <v>5.1500000000000004E-2</v>
      </c>
      <c r="CB19" s="355"/>
      <c r="CC19" s="355"/>
      <c r="CD19" s="355"/>
      <c r="CE19" s="355"/>
      <c r="CF19" s="355"/>
      <c r="CG19" s="355"/>
      <c r="CH19" s="355"/>
      <c r="CI19" s="355"/>
      <c r="CJ19" s="355"/>
      <c r="CK19" s="355"/>
    </row>
    <row r="20" spans="2:89" s="313" customFormat="1" ht="192" x14ac:dyDescent="0.2">
      <c r="B20" s="483"/>
      <c r="C20" s="385">
        <v>17</v>
      </c>
      <c r="D20" s="812">
        <v>38</v>
      </c>
      <c r="E20" s="386" t="s">
        <v>1517</v>
      </c>
      <c r="F20" s="379" t="s">
        <v>4</v>
      </c>
      <c r="G20" s="386" t="s">
        <v>1778</v>
      </c>
      <c r="H20" s="386" t="s">
        <v>1783</v>
      </c>
      <c r="I20" s="386" t="s">
        <v>1576</v>
      </c>
      <c r="J20" s="386" t="s">
        <v>1782</v>
      </c>
      <c r="K20" s="386" t="s">
        <v>1767</v>
      </c>
      <c r="L20" s="387" t="s">
        <v>243</v>
      </c>
      <c r="M20" s="387">
        <v>0</v>
      </c>
      <c r="N20" s="387">
        <v>2011</v>
      </c>
      <c r="O20" s="387">
        <v>3</v>
      </c>
      <c r="P20" s="378">
        <v>0</v>
      </c>
      <c r="Q20" s="381">
        <v>2</v>
      </c>
      <c r="R20" s="381">
        <v>2.42</v>
      </c>
      <c r="S20" s="370"/>
      <c r="T20" s="379"/>
      <c r="U20" s="421"/>
      <c r="V20" s="405"/>
      <c r="W20" s="419"/>
      <c r="X20" s="384"/>
      <c r="Y20" s="267" t="s">
        <v>1966</v>
      </c>
      <c r="Z20" s="361"/>
      <c r="AA20" s="361"/>
      <c r="AB20" s="359"/>
      <c r="AC20" s="362"/>
      <c r="AD20" s="363"/>
      <c r="AE20" s="359"/>
      <c r="AF20" s="361"/>
      <c r="AG20" s="361"/>
      <c r="AH20" s="361"/>
      <c r="AI20" s="361"/>
      <c r="AJ20" s="361"/>
      <c r="AK20" s="361"/>
      <c r="AL20" s="361"/>
      <c r="AM20" s="361"/>
      <c r="AN20" s="361"/>
      <c r="AO20" s="361"/>
      <c r="AP20" s="361"/>
      <c r="AQ20" s="361"/>
      <c r="AR20" s="361"/>
      <c r="AS20" s="361"/>
      <c r="AT20" s="384"/>
      <c r="AU20" s="357"/>
      <c r="AV20" s="347"/>
      <c r="AW20" s="347"/>
      <c r="AX20" s="347"/>
      <c r="AY20" s="347"/>
      <c r="AZ20" s="358"/>
      <c r="BA20" s="358"/>
      <c r="BB20" s="380">
        <v>47</v>
      </c>
      <c r="BC20" s="380">
        <v>86</v>
      </c>
      <c r="BD20" s="354"/>
      <c r="BE20" s="354"/>
      <c r="BF20" s="354"/>
      <c r="BG20" s="354"/>
      <c r="BH20" s="354"/>
      <c r="BI20" s="354"/>
      <c r="BJ20" s="354"/>
      <c r="BK20" s="354"/>
      <c r="BL20" s="354"/>
      <c r="BM20" s="354"/>
      <c r="BN20" s="354"/>
      <c r="BO20" s="354"/>
      <c r="BP20" s="354"/>
      <c r="BQ20" s="354"/>
      <c r="BR20" s="354"/>
      <c r="BS20" s="354"/>
      <c r="BT20" s="486">
        <v>0</v>
      </c>
      <c r="BU20" s="486">
        <v>0</v>
      </c>
      <c r="BV20" s="486">
        <v>1</v>
      </c>
      <c r="BW20" s="486">
        <v>1</v>
      </c>
      <c r="BX20" s="486">
        <v>1</v>
      </c>
      <c r="BY20" s="486">
        <v>2</v>
      </c>
      <c r="BZ20" s="486">
        <v>1</v>
      </c>
      <c r="CA20" s="486">
        <v>3</v>
      </c>
      <c r="CB20" s="355"/>
      <c r="CC20" s="355"/>
      <c r="CD20" s="355"/>
      <c r="CE20" s="355"/>
      <c r="CF20" s="355"/>
      <c r="CG20" s="355"/>
      <c r="CH20" s="355"/>
      <c r="CI20" s="355"/>
      <c r="CJ20" s="355"/>
      <c r="CK20" s="355"/>
    </row>
    <row r="21" spans="2:89" s="313" customFormat="1" ht="36" x14ac:dyDescent="0.2">
      <c r="B21" s="483"/>
      <c r="C21" s="377">
        <v>18</v>
      </c>
      <c r="D21" s="812">
        <v>39</v>
      </c>
      <c r="E21" s="521" t="s">
        <v>3</v>
      </c>
      <c r="F21" s="520" t="s">
        <v>4</v>
      </c>
      <c r="G21" s="521" t="s">
        <v>1778</v>
      </c>
      <c r="H21" s="521" t="s">
        <v>1781</v>
      </c>
      <c r="I21" s="521" t="s">
        <v>1576</v>
      </c>
      <c r="J21" s="521" t="s">
        <v>1967</v>
      </c>
      <c r="K21" s="411" t="s">
        <v>1780</v>
      </c>
      <c r="L21" s="387" t="s">
        <v>244</v>
      </c>
      <c r="M21" s="387">
        <v>0</v>
      </c>
      <c r="N21" s="387"/>
      <c r="O21" s="380">
        <v>81390</v>
      </c>
      <c r="P21" s="423">
        <v>33506</v>
      </c>
      <c r="Q21" s="424">
        <v>34335</v>
      </c>
      <c r="R21" s="424">
        <v>64727</v>
      </c>
      <c r="S21" s="370"/>
      <c r="T21" s="412" t="s">
        <v>1714</v>
      </c>
      <c r="U21" s="382" t="s">
        <v>1529</v>
      </c>
      <c r="V21" s="382" t="s">
        <v>1779</v>
      </c>
      <c r="W21" s="383">
        <v>41886</v>
      </c>
      <c r="X21" s="413" t="s">
        <v>1712</v>
      </c>
      <c r="Y21" s="360" t="s">
        <v>1968</v>
      </c>
      <c r="Z21" s="361"/>
      <c r="AA21" s="361"/>
      <c r="AB21" s="359"/>
      <c r="AC21" s="362"/>
      <c r="AD21" s="363"/>
      <c r="AE21" s="359"/>
      <c r="AF21" s="361"/>
      <c r="AG21" s="361"/>
      <c r="AH21" s="361"/>
      <c r="AI21" s="361"/>
      <c r="AJ21" s="361"/>
      <c r="AK21" s="361"/>
      <c r="AL21" s="361"/>
      <c r="AM21" s="361"/>
      <c r="AN21" s="361"/>
      <c r="AO21" s="361"/>
      <c r="AP21" s="361"/>
      <c r="AQ21" s="361"/>
      <c r="AR21" s="361"/>
      <c r="AS21" s="361"/>
      <c r="AT21" s="384"/>
      <c r="AU21" s="357"/>
      <c r="AV21" s="347"/>
      <c r="AW21" s="347"/>
      <c r="AX21" s="347"/>
      <c r="AY21" s="347"/>
      <c r="AZ21" s="358"/>
      <c r="BA21" s="358"/>
      <c r="BB21" s="380">
        <v>301</v>
      </c>
      <c r="BC21" s="380">
        <v>41</v>
      </c>
      <c r="BD21" s="380">
        <v>42</v>
      </c>
      <c r="BE21" s="380">
        <v>52</v>
      </c>
      <c r="BF21" s="380">
        <v>53</v>
      </c>
      <c r="BG21" s="380">
        <v>54</v>
      </c>
      <c r="BH21" s="380">
        <v>55</v>
      </c>
      <c r="BI21" s="380">
        <v>56</v>
      </c>
      <c r="BJ21" s="380">
        <v>57</v>
      </c>
      <c r="BK21" s="380">
        <v>58</v>
      </c>
      <c r="BL21" s="380">
        <v>59</v>
      </c>
      <c r="BM21" s="380">
        <v>299</v>
      </c>
      <c r="BN21" s="380">
        <v>300</v>
      </c>
      <c r="BO21" s="354"/>
      <c r="BP21" s="354"/>
      <c r="BQ21" s="354"/>
      <c r="BR21" s="354"/>
      <c r="BS21" s="354"/>
      <c r="BT21" s="490">
        <v>0.35</v>
      </c>
      <c r="BU21" s="490">
        <v>0.35</v>
      </c>
      <c r="BV21" s="490">
        <v>0.35</v>
      </c>
      <c r="BW21" s="490">
        <v>0.35</v>
      </c>
      <c r="BX21" s="490">
        <v>0.35</v>
      </c>
      <c r="BY21" s="490">
        <v>0.35</v>
      </c>
      <c r="BZ21" s="490">
        <v>0.35</v>
      </c>
      <c r="CA21" s="490">
        <v>0.35</v>
      </c>
      <c r="CB21" s="355"/>
      <c r="CC21" s="355"/>
      <c r="CD21" s="355"/>
      <c r="CE21" s="355"/>
      <c r="CF21" s="355"/>
      <c r="CG21" s="355"/>
      <c r="CH21" s="355"/>
      <c r="CI21" s="355"/>
      <c r="CJ21" s="355"/>
      <c r="CK21" s="355"/>
    </row>
    <row r="22" spans="2:89" s="313" customFormat="1" ht="60" x14ac:dyDescent="0.2">
      <c r="B22" s="483"/>
      <c r="C22" s="385">
        <v>19</v>
      </c>
      <c r="D22" s="812">
        <v>40</v>
      </c>
      <c r="E22" s="386" t="s">
        <v>1705</v>
      </c>
      <c r="F22" s="379" t="s">
        <v>4</v>
      </c>
      <c r="G22" s="386" t="s">
        <v>1778</v>
      </c>
      <c r="H22" s="386" t="s">
        <v>292</v>
      </c>
      <c r="I22" s="386" t="s">
        <v>1576</v>
      </c>
      <c r="J22" s="386" t="s">
        <v>1777</v>
      </c>
      <c r="K22" s="386" t="s">
        <v>1757</v>
      </c>
      <c r="L22" s="387" t="s">
        <v>244</v>
      </c>
      <c r="M22" s="387">
        <v>0</v>
      </c>
      <c r="N22" s="387">
        <v>2011</v>
      </c>
      <c r="O22" s="387">
        <v>100</v>
      </c>
      <c r="P22" s="414">
        <v>100</v>
      </c>
      <c r="Q22" s="414">
        <v>100</v>
      </c>
      <c r="R22" s="415">
        <v>25</v>
      </c>
      <c r="S22" s="370"/>
      <c r="T22" s="329" t="s">
        <v>7</v>
      </c>
      <c r="U22" s="405" t="s">
        <v>1529</v>
      </c>
      <c r="V22" s="405" t="s">
        <v>1756</v>
      </c>
      <c r="W22" s="406" t="s">
        <v>1895</v>
      </c>
      <c r="X22" s="416" t="s">
        <v>1969</v>
      </c>
      <c r="Y22" s="417" t="s">
        <v>1899</v>
      </c>
      <c r="Z22" s="361"/>
      <c r="AA22" s="361"/>
      <c r="AB22" s="359"/>
      <c r="AC22" s="362"/>
      <c r="AD22" s="363"/>
      <c r="AE22" s="359"/>
      <c r="AF22" s="361"/>
      <c r="AG22" s="361"/>
      <c r="AH22" s="361"/>
      <c r="AI22" s="361"/>
      <c r="AJ22" s="361"/>
      <c r="AK22" s="361"/>
      <c r="AL22" s="361"/>
      <c r="AM22" s="361"/>
      <c r="AN22" s="361"/>
      <c r="AO22" s="361"/>
      <c r="AP22" s="361"/>
      <c r="AQ22" s="361"/>
      <c r="AR22" s="361"/>
      <c r="AS22" s="361"/>
      <c r="AT22" s="384"/>
      <c r="AU22" s="357"/>
      <c r="AV22" s="347"/>
      <c r="AW22" s="347"/>
      <c r="AX22" s="347"/>
      <c r="AY22" s="347"/>
      <c r="AZ22" s="358"/>
      <c r="BA22" s="358"/>
      <c r="BB22" s="380">
        <v>65</v>
      </c>
      <c r="BC22" s="380"/>
      <c r="BD22" s="354"/>
      <c r="BE22" s="354"/>
      <c r="BF22" s="354"/>
      <c r="BG22" s="354"/>
      <c r="BH22" s="354"/>
      <c r="BI22" s="354"/>
      <c r="BJ22" s="354"/>
      <c r="BK22" s="354"/>
      <c r="BL22" s="354"/>
      <c r="BM22" s="354"/>
      <c r="BN22" s="354"/>
      <c r="BO22" s="354"/>
      <c r="BP22" s="354"/>
      <c r="BQ22" s="354"/>
      <c r="BR22" s="354"/>
      <c r="BS22" s="354"/>
      <c r="BT22" s="490">
        <v>1</v>
      </c>
      <c r="BU22" s="490">
        <v>1</v>
      </c>
      <c r="BV22" s="490">
        <v>1</v>
      </c>
      <c r="BW22" s="490">
        <v>1</v>
      </c>
      <c r="BX22" s="490">
        <v>1</v>
      </c>
      <c r="BY22" s="490">
        <v>1</v>
      </c>
      <c r="BZ22" s="490">
        <v>1</v>
      </c>
      <c r="CA22" s="490">
        <v>1</v>
      </c>
      <c r="CB22" s="355"/>
      <c r="CC22" s="355"/>
      <c r="CD22" s="355"/>
      <c r="CE22" s="355"/>
      <c r="CF22" s="355"/>
      <c r="CG22" s="355"/>
      <c r="CH22" s="355"/>
      <c r="CI22" s="355"/>
      <c r="CJ22" s="355"/>
      <c r="CK22" s="355"/>
    </row>
    <row r="23" spans="2:89" s="313" customFormat="1" ht="36" x14ac:dyDescent="0.2">
      <c r="B23" s="483"/>
      <c r="C23" s="377">
        <v>20</v>
      </c>
      <c r="D23" s="812">
        <v>72</v>
      </c>
      <c r="E23" s="379" t="s">
        <v>1515</v>
      </c>
      <c r="F23" s="379" t="s">
        <v>4</v>
      </c>
      <c r="G23" s="379" t="s">
        <v>1759</v>
      </c>
      <c r="H23" s="379" t="s">
        <v>291</v>
      </c>
      <c r="I23" s="379" t="s">
        <v>1576</v>
      </c>
      <c r="J23" s="379" t="s">
        <v>1776</v>
      </c>
      <c r="K23" s="379" t="s">
        <v>1729</v>
      </c>
      <c r="L23" s="380" t="s">
        <v>1546</v>
      </c>
      <c r="M23" s="380">
        <v>93</v>
      </c>
      <c r="N23" s="380">
        <v>2011</v>
      </c>
      <c r="O23" s="380">
        <v>88</v>
      </c>
      <c r="P23" s="378">
        <v>22</v>
      </c>
      <c r="Q23" s="381">
        <v>30</v>
      </c>
      <c r="R23" s="361">
        <v>26</v>
      </c>
      <c r="S23" s="359"/>
      <c r="T23" s="379" t="s">
        <v>1754</v>
      </c>
      <c r="U23" s="382" t="s">
        <v>1530</v>
      </c>
      <c r="V23" s="382" t="s">
        <v>1753</v>
      </c>
      <c r="W23" s="383" t="s">
        <v>1611</v>
      </c>
      <c r="X23" s="361" t="s">
        <v>1775</v>
      </c>
      <c r="Y23" s="360" t="s">
        <v>1609</v>
      </c>
      <c r="Z23" s="361"/>
      <c r="AA23" s="361"/>
      <c r="AB23" s="359"/>
      <c r="AC23" s="362"/>
      <c r="AD23" s="363"/>
      <c r="AE23" s="359"/>
      <c r="AF23" s="361"/>
      <c r="AG23" s="361"/>
      <c r="AH23" s="361"/>
      <c r="AI23" s="361"/>
      <c r="AJ23" s="361"/>
      <c r="AK23" s="361"/>
      <c r="AL23" s="361"/>
      <c r="AM23" s="361"/>
      <c r="AN23" s="361"/>
      <c r="AO23" s="361"/>
      <c r="AP23" s="361"/>
      <c r="AQ23" s="361"/>
      <c r="AR23" s="361"/>
      <c r="AS23" s="361"/>
      <c r="AT23" s="384"/>
      <c r="AU23" s="357"/>
      <c r="AV23" s="347"/>
      <c r="AW23" s="347"/>
      <c r="AX23" s="347"/>
      <c r="AY23" s="347"/>
      <c r="AZ23" s="358"/>
      <c r="BA23" s="358"/>
      <c r="BB23" s="380">
        <v>82</v>
      </c>
      <c r="BC23" s="380">
        <v>110</v>
      </c>
      <c r="BD23" s="380">
        <v>113</v>
      </c>
      <c r="BE23" s="354"/>
      <c r="BF23" s="354"/>
      <c r="BG23" s="354"/>
      <c r="BH23" s="354"/>
      <c r="BI23" s="354"/>
      <c r="BJ23" s="354"/>
      <c r="BK23" s="354"/>
      <c r="BL23" s="354"/>
      <c r="BM23" s="354"/>
      <c r="BN23" s="354"/>
      <c r="BO23" s="354"/>
      <c r="BP23" s="354"/>
      <c r="BQ23" s="354"/>
      <c r="BR23" s="354"/>
      <c r="BS23" s="354"/>
      <c r="BT23" s="486">
        <v>0</v>
      </c>
      <c r="BU23" s="486">
        <v>0</v>
      </c>
      <c r="BV23" s="486">
        <v>0</v>
      </c>
      <c r="BW23" s="486">
        <v>0</v>
      </c>
      <c r="BX23" s="486">
        <v>0</v>
      </c>
      <c r="BY23" s="486">
        <v>0</v>
      </c>
      <c r="BZ23" s="486">
        <v>88</v>
      </c>
      <c r="CA23" s="486">
        <v>88</v>
      </c>
      <c r="CB23" s="355"/>
      <c r="CC23" s="355"/>
      <c r="CD23" s="355"/>
      <c r="CE23" s="355"/>
      <c r="CF23" s="355"/>
      <c r="CG23" s="355"/>
      <c r="CH23" s="355"/>
      <c r="CI23" s="355"/>
      <c r="CJ23" s="355"/>
      <c r="CK23" s="355"/>
    </row>
    <row r="24" spans="2:89" s="313" customFormat="1" ht="48" x14ac:dyDescent="0.2">
      <c r="B24" s="483"/>
      <c r="C24" s="385">
        <v>21</v>
      </c>
      <c r="D24" s="812">
        <v>73</v>
      </c>
      <c r="E24" s="386" t="s">
        <v>1512</v>
      </c>
      <c r="F24" s="379" t="s">
        <v>4</v>
      </c>
      <c r="G24" s="386" t="s">
        <v>1759</v>
      </c>
      <c r="H24" s="386" t="s">
        <v>290</v>
      </c>
      <c r="I24" s="386" t="s">
        <v>1576</v>
      </c>
      <c r="J24" s="386" t="s">
        <v>1774</v>
      </c>
      <c r="K24" s="386" t="s">
        <v>1729</v>
      </c>
      <c r="L24" s="387" t="s">
        <v>1546</v>
      </c>
      <c r="M24" s="387">
        <v>70</v>
      </c>
      <c r="N24" s="387">
        <v>2011</v>
      </c>
      <c r="O24" s="418">
        <v>56</v>
      </c>
      <c r="P24" s="378">
        <v>29</v>
      </c>
      <c r="Q24" s="378">
        <v>24</v>
      </c>
      <c r="R24" s="378">
        <v>2</v>
      </c>
      <c r="S24" s="378"/>
      <c r="T24" s="380" t="s">
        <v>1807</v>
      </c>
      <c r="U24" s="382" t="s">
        <v>1530</v>
      </c>
      <c r="V24" s="382" t="s">
        <v>1876</v>
      </c>
      <c r="W24" s="383" t="s">
        <v>1877</v>
      </c>
      <c r="X24" s="361" t="s">
        <v>1728</v>
      </c>
      <c r="Y24" s="360" t="s">
        <v>1878</v>
      </c>
      <c r="Z24" s="361">
        <v>366</v>
      </c>
      <c r="AA24" s="361">
        <v>171</v>
      </c>
      <c r="AB24" s="359">
        <v>13</v>
      </c>
      <c r="AC24" s="362"/>
      <c r="AD24" s="363"/>
      <c r="AE24" s="359"/>
      <c r="AF24" s="361"/>
      <c r="AG24" s="361"/>
      <c r="AH24" s="361"/>
      <c r="AI24" s="361"/>
      <c r="AJ24" s="361"/>
      <c r="AK24" s="361"/>
      <c r="AL24" s="361"/>
      <c r="AM24" s="361"/>
      <c r="AN24" s="361"/>
      <c r="AO24" s="361"/>
      <c r="AP24" s="361"/>
      <c r="AQ24" s="361"/>
      <c r="AR24" s="361"/>
      <c r="AS24" s="361"/>
      <c r="AT24" s="384"/>
      <c r="AU24" s="357"/>
      <c r="AV24" s="347"/>
      <c r="AW24" s="347"/>
      <c r="AX24" s="347"/>
      <c r="AY24" s="347"/>
      <c r="AZ24" s="358"/>
      <c r="BA24" s="358"/>
      <c r="BB24" s="380">
        <v>83</v>
      </c>
      <c r="BC24" s="354"/>
      <c r="BD24" s="354"/>
      <c r="BE24" s="354"/>
      <c r="BF24" s="354"/>
      <c r="BG24" s="354"/>
      <c r="BH24" s="354"/>
      <c r="BI24" s="354"/>
      <c r="BJ24" s="354"/>
      <c r="BK24" s="354"/>
      <c r="BL24" s="354"/>
      <c r="BM24" s="354"/>
      <c r="BN24" s="354"/>
      <c r="BO24" s="354"/>
      <c r="BP24" s="354"/>
      <c r="BQ24" s="354"/>
      <c r="BR24" s="354"/>
      <c r="BS24" s="354"/>
      <c r="BT24" s="486">
        <v>0</v>
      </c>
      <c r="BU24" s="486">
        <v>0</v>
      </c>
      <c r="BV24" s="486">
        <v>0</v>
      </c>
      <c r="BW24" s="486">
        <v>0</v>
      </c>
      <c r="BX24" s="486">
        <v>0</v>
      </c>
      <c r="BY24" s="486">
        <v>0</v>
      </c>
      <c r="BZ24" s="486">
        <v>56</v>
      </c>
      <c r="CA24" s="486">
        <v>56</v>
      </c>
      <c r="CB24" s="355"/>
      <c r="CC24" s="355"/>
      <c r="CD24" s="355"/>
      <c r="CE24" s="355"/>
      <c r="CF24" s="355"/>
      <c r="CG24" s="355"/>
      <c r="CH24" s="355"/>
      <c r="CI24" s="355"/>
      <c r="CJ24" s="355"/>
      <c r="CK24" s="355"/>
    </row>
    <row r="25" spans="2:89" s="313" customFormat="1" ht="36" x14ac:dyDescent="0.2">
      <c r="B25" s="483"/>
      <c r="C25" s="377">
        <v>22</v>
      </c>
      <c r="D25" s="812">
        <v>74</v>
      </c>
      <c r="E25" s="521" t="s">
        <v>3</v>
      </c>
      <c r="F25" s="520" t="s">
        <v>4</v>
      </c>
      <c r="G25" s="521" t="s">
        <v>1759</v>
      </c>
      <c r="H25" s="521" t="s">
        <v>1970</v>
      </c>
      <c r="I25" s="521" t="s">
        <v>1576</v>
      </c>
      <c r="J25" s="521" t="s">
        <v>1773</v>
      </c>
      <c r="K25" s="386" t="s">
        <v>1772</v>
      </c>
      <c r="L25" s="387" t="s">
        <v>244</v>
      </c>
      <c r="M25" s="387">
        <v>0</v>
      </c>
      <c r="N25" s="387"/>
      <c r="O25" s="422">
        <v>82355</v>
      </c>
      <c r="P25" s="423">
        <v>112693</v>
      </c>
      <c r="Q25" s="424">
        <v>95796</v>
      </c>
      <c r="R25" s="424">
        <v>111397</v>
      </c>
      <c r="S25" s="425"/>
      <c r="T25" s="412" t="s">
        <v>1714</v>
      </c>
      <c r="U25" s="382" t="s">
        <v>1529</v>
      </c>
      <c r="V25" s="382" t="s">
        <v>1771</v>
      </c>
      <c r="W25" s="383">
        <v>41886</v>
      </c>
      <c r="X25" s="413" t="s">
        <v>1712</v>
      </c>
      <c r="Y25" s="360" t="s">
        <v>1770</v>
      </c>
      <c r="Z25" s="361"/>
      <c r="AA25" s="361"/>
      <c r="AB25" s="359"/>
      <c r="AC25" s="362"/>
      <c r="AD25" s="363"/>
      <c r="AE25" s="359"/>
      <c r="AF25" s="361"/>
      <c r="AG25" s="361"/>
      <c r="AH25" s="361"/>
      <c r="AI25" s="361"/>
      <c r="AJ25" s="361"/>
      <c r="AK25" s="361"/>
      <c r="AL25" s="361"/>
      <c r="AM25" s="361"/>
      <c r="AN25" s="361"/>
      <c r="AO25" s="361"/>
      <c r="AP25" s="361"/>
      <c r="AQ25" s="361"/>
      <c r="AR25" s="361"/>
      <c r="AS25" s="361"/>
      <c r="AT25" s="384"/>
      <c r="AU25" s="357"/>
      <c r="AV25" s="347"/>
      <c r="AW25" s="347"/>
      <c r="AX25" s="347"/>
      <c r="AY25" s="347"/>
      <c r="AZ25" s="358"/>
      <c r="BA25" s="358"/>
      <c r="BB25" s="380">
        <v>109</v>
      </c>
      <c r="BC25" s="380">
        <v>111</v>
      </c>
      <c r="BD25" s="380">
        <v>112</v>
      </c>
      <c r="BE25" s="380">
        <v>99</v>
      </c>
      <c r="BF25" s="380">
        <v>80</v>
      </c>
      <c r="BG25" s="380">
        <v>81</v>
      </c>
      <c r="BH25" s="380">
        <v>85</v>
      </c>
      <c r="BI25" s="380">
        <v>96</v>
      </c>
      <c r="BJ25" s="380">
        <v>97</v>
      </c>
      <c r="BK25" s="380">
        <v>98</v>
      </c>
      <c r="BL25" s="380">
        <v>100</v>
      </c>
      <c r="BM25" s="380">
        <v>101</v>
      </c>
      <c r="BN25" s="380">
        <v>102</v>
      </c>
      <c r="BO25" s="380">
        <v>103</v>
      </c>
      <c r="BP25" s="380">
        <v>302</v>
      </c>
      <c r="BQ25" s="380">
        <v>303</v>
      </c>
      <c r="BR25" s="354"/>
      <c r="BS25" s="354"/>
      <c r="BT25" s="490">
        <v>0.6</v>
      </c>
      <c r="BU25" s="490">
        <v>0.6</v>
      </c>
      <c r="BV25" s="490">
        <v>0.6</v>
      </c>
      <c r="BW25" s="490">
        <v>0.6</v>
      </c>
      <c r="BX25" s="490">
        <v>0.6</v>
      </c>
      <c r="BY25" s="490">
        <v>0.6</v>
      </c>
      <c r="BZ25" s="490">
        <v>0.6</v>
      </c>
      <c r="CA25" s="490">
        <v>0.6</v>
      </c>
      <c r="CB25" s="355"/>
      <c r="CC25" s="355"/>
      <c r="CD25" s="355"/>
      <c r="CE25" s="355"/>
      <c r="CF25" s="355"/>
      <c r="CG25" s="355"/>
      <c r="CH25" s="355"/>
      <c r="CI25" s="355"/>
      <c r="CJ25" s="355"/>
      <c r="CK25" s="355"/>
    </row>
    <row r="26" spans="2:89" s="313" customFormat="1" ht="192" x14ac:dyDescent="0.2">
      <c r="B26" s="483"/>
      <c r="C26" s="385">
        <v>23</v>
      </c>
      <c r="D26" s="812">
        <v>75</v>
      </c>
      <c r="E26" s="386" t="s">
        <v>1517</v>
      </c>
      <c r="F26" s="379" t="s">
        <v>4</v>
      </c>
      <c r="G26" s="386" t="s">
        <v>1759</v>
      </c>
      <c r="H26" s="386" t="s">
        <v>1769</v>
      </c>
      <c r="I26" s="386" t="s">
        <v>1576</v>
      </c>
      <c r="J26" s="386" t="s">
        <v>1768</v>
      </c>
      <c r="K26" s="386" t="s">
        <v>1767</v>
      </c>
      <c r="L26" s="387" t="s">
        <v>243</v>
      </c>
      <c r="M26" s="387">
        <v>0</v>
      </c>
      <c r="N26" s="387">
        <v>2011</v>
      </c>
      <c r="O26" s="387">
        <v>3</v>
      </c>
      <c r="P26" s="378">
        <v>0</v>
      </c>
      <c r="Q26" s="381">
        <v>2</v>
      </c>
      <c r="R26" s="380">
        <v>2</v>
      </c>
      <c r="S26" s="370"/>
      <c r="T26" s="379"/>
      <c r="U26" s="421"/>
      <c r="V26" s="405"/>
      <c r="W26" s="419"/>
      <c r="X26" s="384"/>
      <c r="Y26" s="360" t="s">
        <v>1971</v>
      </c>
      <c r="Z26" s="361"/>
      <c r="AA26" s="361"/>
      <c r="AB26" s="359"/>
      <c r="AC26" s="362"/>
      <c r="AD26" s="363"/>
      <c r="AE26" s="359"/>
      <c r="AF26" s="361"/>
      <c r="AG26" s="361"/>
      <c r="AH26" s="361"/>
      <c r="AI26" s="361"/>
      <c r="AJ26" s="361"/>
      <c r="AK26" s="361"/>
      <c r="AL26" s="361"/>
      <c r="AM26" s="361"/>
      <c r="AN26" s="361"/>
      <c r="AO26" s="361"/>
      <c r="AP26" s="361"/>
      <c r="AQ26" s="361"/>
      <c r="AR26" s="361"/>
      <c r="AS26" s="361"/>
      <c r="AT26" s="384"/>
      <c r="AU26" s="357"/>
      <c r="AV26" s="347"/>
      <c r="AW26" s="347"/>
      <c r="AX26" s="347"/>
      <c r="AY26" s="347"/>
      <c r="AZ26" s="358"/>
      <c r="BA26" s="358"/>
      <c r="BB26" s="380">
        <v>89</v>
      </c>
      <c r="BC26" s="380">
        <v>575</v>
      </c>
      <c r="BD26" s="380">
        <v>93</v>
      </c>
      <c r="BE26" s="354"/>
      <c r="BF26" s="354"/>
      <c r="BG26" s="354"/>
      <c r="BH26" s="354"/>
      <c r="BI26" s="354"/>
      <c r="BJ26" s="354"/>
      <c r="BK26" s="354"/>
      <c r="BL26" s="354"/>
      <c r="BM26" s="354"/>
      <c r="BN26" s="354"/>
      <c r="BO26" s="354"/>
      <c r="BP26" s="354"/>
      <c r="BQ26" s="354"/>
      <c r="BR26" s="354"/>
      <c r="BS26" s="354"/>
      <c r="BT26" s="486">
        <v>0</v>
      </c>
      <c r="BU26" s="486">
        <v>0</v>
      </c>
      <c r="BV26" s="486">
        <v>1</v>
      </c>
      <c r="BW26" s="486">
        <v>1</v>
      </c>
      <c r="BX26" s="486">
        <v>1</v>
      </c>
      <c r="BY26" s="486">
        <v>2</v>
      </c>
      <c r="BZ26" s="486">
        <v>1</v>
      </c>
      <c r="CA26" s="486">
        <v>3</v>
      </c>
      <c r="CB26" s="355"/>
      <c r="CC26" s="355"/>
      <c r="CD26" s="355"/>
      <c r="CE26" s="355"/>
      <c r="CF26" s="355"/>
      <c r="CG26" s="355"/>
      <c r="CH26" s="355"/>
      <c r="CI26" s="355"/>
      <c r="CJ26" s="355"/>
      <c r="CK26" s="355"/>
    </row>
    <row r="27" spans="2:89" s="313" customFormat="1" ht="120" x14ac:dyDescent="0.2">
      <c r="B27" s="483"/>
      <c r="C27" s="377">
        <v>24</v>
      </c>
      <c r="D27" s="812">
        <v>76</v>
      </c>
      <c r="E27" s="386" t="s">
        <v>1517</v>
      </c>
      <c r="F27" s="379" t="s">
        <v>4</v>
      </c>
      <c r="G27" s="386" t="s">
        <v>1759</v>
      </c>
      <c r="H27" s="386" t="s">
        <v>289</v>
      </c>
      <c r="I27" s="386" t="s">
        <v>1576</v>
      </c>
      <c r="J27" s="386" t="s">
        <v>1768</v>
      </c>
      <c r="K27" s="386" t="s">
        <v>1767</v>
      </c>
      <c r="L27" s="387" t="s">
        <v>243</v>
      </c>
      <c r="M27" s="387">
        <v>0</v>
      </c>
      <c r="N27" s="387">
        <v>2011</v>
      </c>
      <c r="O27" s="387">
        <v>6</v>
      </c>
      <c r="P27" s="378">
        <v>0</v>
      </c>
      <c r="Q27" s="381">
        <v>1</v>
      </c>
      <c r="R27" s="380">
        <v>1</v>
      </c>
      <c r="S27" s="370"/>
      <c r="T27" s="379" t="s">
        <v>1766</v>
      </c>
      <c r="U27" s="405" t="s">
        <v>1529</v>
      </c>
      <c r="V27" s="405" t="s">
        <v>1765</v>
      </c>
      <c r="W27" s="419" t="s">
        <v>1764</v>
      </c>
      <c r="X27" s="384" t="s">
        <v>1900</v>
      </c>
      <c r="Y27" s="360" t="s">
        <v>2001</v>
      </c>
      <c r="Z27" s="361"/>
      <c r="AA27" s="361"/>
      <c r="AB27" s="359"/>
      <c r="AC27" s="362"/>
      <c r="AD27" s="363"/>
      <c r="AE27" s="359"/>
      <c r="AF27" s="361"/>
      <c r="AG27" s="361"/>
      <c r="AH27" s="361"/>
      <c r="AI27" s="361"/>
      <c r="AJ27" s="361"/>
      <c r="AK27" s="361"/>
      <c r="AL27" s="361"/>
      <c r="AM27" s="361"/>
      <c r="AN27" s="361"/>
      <c r="AO27" s="361"/>
      <c r="AP27" s="361"/>
      <c r="AQ27" s="361"/>
      <c r="AR27" s="361"/>
      <c r="AS27" s="361"/>
      <c r="AT27" s="384"/>
      <c r="AU27" s="357"/>
      <c r="AV27" s="347"/>
      <c r="AW27" s="347"/>
      <c r="AX27" s="347"/>
      <c r="AY27" s="347"/>
      <c r="AZ27" s="358"/>
      <c r="BA27" s="358"/>
      <c r="BB27" s="380">
        <v>89</v>
      </c>
      <c r="BC27" s="380">
        <v>575</v>
      </c>
      <c r="BD27" s="380">
        <v>93</v>
      </c>
      <c r="BE27" s="354"/>
      <c r="BF27" s="354"/>
      <c r="BG27" s="354"/>
      <c r="BH27" s="354"/>
      <c r="BI27" s="354"/>
      <c r="BJ27" s="354"/>
      <c r="BK27" s="354"/>
      <c r="BL27" s="354"/>
      <c r="BM27" s="354"/>
      <c r="BN27" s="354"/>
      <c r="BO27" s="354"/>
      <c r="BP27" s="354"/>
      <c r="BQ27" s="354"/>
      <c r="BR27" s="354"/>
      <c r="BS27" s="354"/>
      <c r="BT27" s="486">
        <v>0</v>
      </c>
      <c r="BU27" s="486">
        <v>0</v>
      </c>
      <c r="BV27" s="486">
        <v>1</v>
      </c>
      <c r="BW27" s="486">
        <v>1</v>
      </c>
      <c r="BX27" s="486">
        <v>3</v>
      </c>
      <c r="BY27" s="486">
        <v>4</v>
      </c>
      <c r="BZ27" s="486">
        <v>2</v>
      </c>
      <c r="CA27" s="486">
        <v>6</v>
      </c>
      <c r="CB27" s="355"/>
      <c r="CC27" s="355"/>
      <c r="CD27" s="355"/>
      <c r="CE27" s="355"/>
      <c r="CF27" s="355"/>
      <c r="CG27" s="355"/>
      <c r="CH27" s="355"/>
      <c r="CI27" s="355"/>
      <c r="CJ27" s="355"/>
      <c r="CK27" s="355"/>
    </row>
    <row r="28" spans="2:89" s="313" customFormat="1" ht="60" x14ac:dyDescent="0.2">
      <c r="B28" s="483"/>
      <c r="C28" s="385">
        <v>25</v>
      </c>
      <c r="D28" s="812">
        <v>77</v>
      </c>
      <c r="E28" s="386" t="s">
        <v>1517</v>
      </c>
      <c r="F28" s="379" t="s">
        <v>4</v>
      </c>
      <c r="G28" s="386" t="s">
        <v>1759</v>
      </c>
      <c r="H28" s="386" t="s">
        <v>288</v>
      </c>
      <c r="I28" s="386" t="s">
        <v>1576</v>
      </c>
      <c r="J28" s="386" t="s">
        <v>1763</v>
      </c>
      <c r="K28" s="386" t="s">
        <v>1762</v>
      </c>
      <c r="L28" s="387" t="s">
        <v>243</v>
      </c>
      <c r="M28" s="387">
        <v>0</v>
      </c>
      <c r="N28" s="387">
        <v>2011</v>
      </c>
      <c r="O28" s="387">
        <v>100</v>
      </c>
      <c r="P28" s="378">
        <v>0</v>
      </c>
      <c r="Q28" s="381">
        <v>100</v>
      </c>
      <c r="R28" s="380">
        <v>100</v>
      </c>
      <c r="S28" s="370"/>
      <c r="T28" s="379"/>
      <c r="U28" s="405"/>
      <c r="V28" s="405"/>
      <c r="W28" s="419"/>
      <c r="X28" s="384"/>
      <c r="Y28" s="384"/>
      <c r="Z28" s="361"/>
      <c r="AA28" s="361"/>
      <c r="AB28" s="359"/>
      <c r="AC28" s="362"/>
      <c r="AD28" s="363"/>
      <c r="AE28" s="359"/>
      <c r="AF28" s="361"/>
      <c r="AG28" s="361"/>
      <c r="AH28" s="361"/>
      <c r="AI28" s="361"/>
      <c r="AJ28" s="361"/>
      <c r="AK28" s="361"/>
      <c r="AL28" s="361"/>
      <c r="AM28" s="361"/>
      <c r="AN28" s="361"/>
      <c r="AO28" s="361"/>
      <c r="AP28" s="361"/>
      <c r="AQ28" s="361"/>
      <c r="AR28" s="361"/>
      <c r="AS28" s="361"/>
      <c r="AT28" s="384"/>
      <c r="AU28" s="357"/>
      <c r="AV28" s="347"/>
      <c r="AW28" s="347"/>
      <c r="AX28" s="347"/>
      <c r="AY28" s="347"/>
      <c r="AZ28" s="358"/>
      <c r="BA28" s="358"/>
      <c r="BB28" s="380">
        <v>51</v>
      </c>
      <c r="BC28" s="380">
        <v>60</v>
      </c>
      <c r="BD28" s="380">
        <v>61</v>
      </c>
      <c r="BE28" s="380">
        <v>62</v>
      </c>
      <c r="BF28" s="380">
        <v>63</v>
      </c>
      <c r="BG28" s="380">
        <v>64</v>
      </c>
      <c r="BH28" s="380">
        <v>87</v>
      </c>
      <c r="BI28" s="380">
        <v>88</v>
      </c>
      <c r="BJ28" s="380">
        <v>90</v>
      </c>
      <c r="BK28" s="380">
        <v>92</v>
      </c>
      <c r="BL28" s="380">
        <v>104</v>
      </c>
      <c r="BM28" s="380">
        <v>106</v>
      </c>
      <c r="BN28" s="380">
        <v>114</v>
      </c>
      <c r="BO28" s="380">
        <v>192</v>
      </c>
      <c r="BP28" s="354"/>
      <c r="BQ28" s="354"/>
      <c r="BR28" s="354"/>
      <c r="BS28" s="354"/>
      <c r="BT28" s="490">
        <v>0</v>
      </c>
      <c r="BU28" s="490">
        <v>0</v>
      </c>
      <c r="BV28" s="490">
        <v>0.4</v>
      </c>
      <c r="BW28" s="490">
        <v>0.4</v>
      </c>
      <c r="BX28" s="490">
        <v>0.3</v>
      </c>
      <c r="BY28" s="490">
        <v>0.7</v>
      </c>
      <c r="BZ28" s="490">
        <v>0.3</v>
      </c>
      <c r="CA28" s="490">
        <v>1</v>
      </c>
      <c r="CB28" s="355"/>
      <c r="CC28" s="355"/>
      <c r="CD28" s="355"/>
      <c r="CE28" s="355"/>
      <c r="CF28" s="355"/>
      <c r="CG28" s="355"/>
      <c r="CH28" s="355"/>
      <c r="CI28" s="355"/>
      <c r="CJ28" s="355"/>
      <c r="CK28" s="355"/>
    </row>
    <row r="29" spans="2:89" s="313" customFormat="1" ht="192" x14ac:dyDescent="0.2">
      <c r="B29" s="483"/>
      <c r="C29" s="377">
        <v>26</v>
      </c>
      <c r="D29" s="812">
        <v>78</v>
      </c>
      <c r="E29" s="386" t="s">
        <v>1517</v>
      </c>
      <c r="F29" s="379" t="s">
        <v>4</v>
      </c>
      <c r="G29" s="386" t="s">
        <v>1759</v>
      </c>
      <c r="H29" s="386" t="s">
        <v>287</v>
      </c>
      <c r="I29" s="386" t="s">
        <v>1576</v>
      </c>
      <c r="J29" s="386" t="s">
        <v>1761</v>
      </c>
      <c r="K29" s="386" t="s">
        <v>1582</v>
      </c>
      <c r="L29" s="387" t="s">
        <v>243</v>
      </c>
      <c r="M29" s="387">
        <v>76.95</v>
      </c>
      <c r="N29" s="387">
        <v>2011</v>
      </c>
      <c r="O29" s="387">
        <v>78.900000000000006</v>
      </c>
      <c r="P29" s="378">
        <v>76.13</v>
      </c>
      <c r="Q29" s="381">
        <v>78.97</v>
      </c>
      <c r="R29" s="381">
        <v>79.989999999999995</v>
      </c>
      <c r="S29" s="380"/>
      <c r="T29" s="379" t="s">
        <v>1619</v>
      </c>
      <c r="U29" s="405" t="s">
        <v>1529</v>
      </c>
      <c r="V29" s="405" t="s">
        <v>1760</v>
      </c>
      <c r="W29" s="419" t="s">
        <v>1898</v>
      </c>
      <c r="X29" s="384" t="s">
        <v>1617</v>
      </c>
      <c r="Y29" s="360" t="s">
        <v>1972</v>
      </c>
      <c r="Z29" s="361"/>
      <c r="AA29" s="361"/>
      <c r="AB29" s="359"/>
      <c r="AC29" s="362"/>
      <c r="AD29" s="363"/>
      <c r="AE29" s="359"/>
      <c r="AF29" s="361"/>
      <c r="AG29" s="361"/>
      <c r="AH29" s="361"/>
      <c r="AI29" s="361"/>
      <c r="AJ29" s="361"/>
      <c r="AK29" s="361"/>
      <c r="AL29" s="361"/>
      <c r="AM29" s="361"/>
      <c r="AN29" s="361"/>
      <c r="AO29" s="361"/>
      <c r="AP29" s="361"/>
      <c r="AQ29" s="361"/>
      <c r="AR29" s="361"/>
      <c r="AS29" s="361"/>
      <c r="AT29" s="384"/>
      <c r="AU29" s="357"/>
      <c r="AV29" s="347"/>
      <c r="AW29" s="347"/>
      <c r="AX29" s="347"/>
      <c r="AY29" s="347"/>
      <c r="AZ29" s="358"/>
      <c r="BA29" s="358"/>
      <c r="BB29" s="380">
        <v>105</v>
      </c>
      <c r="BC29" s="354"/>
      <c r="BD29" s="354"/>
      <c r="BE29" s="354"/>
      <c r="BF29" s="354"/>
      <c r="BG29" s="354"/>
      <c r="BH29" s="354"/>
      <c r="BI29" s="354"/>
      <c r="BJ29" s="354"/>
      <c r="BK29" s="354"/>
      <c r="BL29" s="354"/>
      <c r="BM29" s="354"/>
      <c r="BN29" s="354"/>
      <c r="BO29" s="354"/>
      <c r="BP29" s="354"/>
      <c r="BQ29" s="354"/>
      <c r="BR29" s="354"/>
      <c r="BS29" s="354"/>
      <c r="BT29" s="486">
        <v>0</v>
      </c>
      <c r="BU29" s="491">
        <v>0</v>
      </c>
      <c r="BV29" s="486">
        <v>0.65</v>
      </c>
      <c r="BW29" s="491">
        <v>6.5000000000000006E-3</v>
      </c>
      <c r="BX29" s="486">
        <v>0.65</v>
      </c>
      <c r="BY29" s="491">
        <v>1.3000000000000001E-2</v>
      </c>
      <c r="BZ29" s="486">
        <v>0.65</v>
      </c>
      <c r="CA29" s="495">
        <v>0.78900000000000003</v>
      </c>
      <c r="CB29" s="355"/>
      <c r="CC29" s="355"/>
      <c r="CD29" s="355"/>
      <c r="CE29" s="355"/>
      <c r="CF29" s="355"/>
      <c r="CG29" s="355"/>
      <c r="CH29" s="355"/>
      <c r="CI29" s="355"/>
      <c r="CJ29" s="355"/>
      <c r="CK29" s="355"/>
    </row>
    <row r="30" spans="2:89" s="313" customFormat="1" ht="48" x14ac:dyDescent="0.2">
      <c r="B30" s="483"/>
      <c r="C30" s="385">
        <v>27</v>
      </c>
      <c r="D30" s="812">
        <v>79</v>
      </c>
      <c r="E30" s="386" t="s">
        <v>1545</v>
      </c>
      <c r="F30" s="379" t="s">
        <v>4</v>
      </c>
      <c r="G30" s="386" t="s">
        <v>1759</v>
      </c>
      <c r="H30" s="386" t="s">
        <v>286</v>
      </c>
      <c r="I30" s="386" t="s">
        <v>1576</v>
      </c>
      <c r="J30" s="386" t="s">
        <v>1758</v>
      </c>
      <c r="K30" s="386" t="s">
        <v>1757</v>
      </c>
      <c r="L30" s="387" t="s">
        <v>244</v>
      </c>
      <c r="M30" s="387">
        <v>0</v>
      </c>
      <c r="N30" s="387">
        <v>2011</v>
      </c>
      <c r="O30" s="387">
        <v>100</v>
      </c>
      <c r="P30" s="414">
        <v>100</v>
      </c>
      <c r="Q30" s="414">
        <v>100</v>
      </c>
      <c r="R30" s="415">
        <v>25</v>
      </c>
      <c r="S30" s="370"/>
      <c r="T30" s="329" t="s">
        <v>7</v>
      </c>
      <c r="U30" s="405" t="s">
        <v>1529</v>
      </c>
      <c r="V30" s="405" t="s">
        <v>1756</v>
      </c>
      <c r="W30" s="406" t="s">
        <v>1895</v>
      </c>
      <c r="X30" s="416" t="s">
        <v>1973</v>
      </c>
      <c r="Y30" s="426" t="s">
        <v>1901</v>
      </c>
      <c r="Z30" s="361"/>
      <c r="AA30" s="361"/>
      <c r="AB30" s="359"/>
      <c r="AC30" s="362"/>
      <c r="AD30" s="363"/>
      <c r="AE30" s="359"/>
      <c r="AF30" s="361"/>
      <c r="AG30" s="361"/>
      <c r="AH30" s="361"/>
      <c r="AI30" s="361"/>
      <c r="AJ30" s="361"/>
      <c r="AK30" s="361"/>
      <c r="AL30" s="361"/>
      <c r="AM30" s="361"/>
      <c r="AN30" s="361"/>
      <c r="AO30" s="361"/>
      <c r="AP30" s="361"/>
      <c r="AQ30" s="361"/>
      <c r="AR30" s="361"/>
      <c r="AS30" s="361"/>
      <c r="AT30" s="384"/>
      <c r="AU30" s="357"/>
      <c r="AV30" s="347"/>
      <c r="AW30" s="347"/>
      <c r="AX30" s="347"/>
      <c r="AY30" s="347"/>
      <c r="AZ30" s="358"/>
      <c r="BA30" s="358"/>
      <c r="BB30" s="380">
        <v>148</v>
      </c>
      <c r="BC30" s="380"/>
      <c r="BD30" s="354"/>
      <c r="BE30" s="354"/>
      <c r="BF30" s="354"/>
      <c r="BG30" s="354"/>
      <c r="BH30" s="354"/>
      <c r="BI30" s="354"/>
      <c r="BJ30" s="354"/>
      <c r="BK30" s="354"/>
      <c r="BL30" s="354"/>
      <c r="BM30" s="354"/>
      <c r="BN30" s="354"/>
      <c r="BO30" s="354"/>
      <c r="BP30" s="354"/>
      <c r="BQ30" s="354"/>
      <c r="BR30" s="354"/>
      <c r="BS30" s="354"/>
      <c r="BT30" s="490">
        <v>1</v>
      </c>
      <c r="BU30" s="490">
        <v>1</v>
      </c>
      <c r="BV30" s="490">
        <v>1</v>
      </c>
      <c r="BW30" s="490">
        <v>1</v>
      </c>
      <c r="BX30" s="490">
        <v>1</v>
      </c>
      <c r="BY30" s="490">
        <v>1</v>
      </c>
      <c r="BZ30" s="490">
        <v>1</v>
      </c>
      <c r="CA30" s="490">
        <v>1</v>
      </c>
      <c r="CB30" s="355"/>
      <c r="CC30" s="355"/>
      <c r="CD30" s="355"/>
      <c r="CE30" s="355"/>
      <c r="CF30" s="355"/>
      <c r="CG30" s="355"/>
      <c r="CH30" s="355"/>
      <c r="CI30" s="355"/>
      <c r="CJ30" s="355"/>
      <c r="CK30" s="355"/>
    </row>
    <row r="31" spans="2:89" s="313" customFormat="1" ht="36" x14ac:dyDescent="0.2">
      <c r="B31" s="483"/>
      <c r="C31" s="377">
        <v>28</v>
      </c>
      <c r="D31" s="812">
        <v>115</v>
      </c>
      <c r="E31" s="379" t="s">
        <v>1515</v>
      </c>
      <c r="F31" s="379" t="s">
        <v>4</v>
      </c>
      <c r="G31" s="379" t="s">
        <v>1744</v>
      </c>
      <c r="H31" s="379" t="s">
        <v>285</v>
      </c>
      <c r="I31" s="379" t="s">
        <v>1576</v>
      </c>
      <c r="J31" s="379" t="s">
        <v>1755</v>
      </c>
      <c r="K31" s="379" t="s">
        <v>1729</v>
      </c>
      <c r="L31" s="380" t="s">
        <v>1546</v>
      </c>
      <c r="M31" s="380">
        <v>566</v>
      </c>
      <c r="N31" s="380">
        <v>2011</v>
      </c>
      <c r="O31" s="380">
        <v>509</v>
      </c>
      <c r="P31" s="378">
        <v>463</v>
      </c>
      <c r="Q31" s="381">
        <v>430</v>
      </c>
      <c r="R31" s="361">
        <v>495</v>
      </c>
      <c r="S31" s="359">
        <v>495</v>
      </c>
      <c r="T31" s="379" t="s">
        <v>1754</v>
      </c>
      <c r="U31" s="382" t="s">
        <v>1530</v>
      </c>
      <c r="V31" s="382" t="s">
        <v>1753</v>
      </c>
      <c r="W31" s="383" t="s">
        <v>1611</v>
      </c>
      <c r="X31" s="361" t="s">
        <v>1610</v>
      </c>
      <c r="Y31" s="360" t="s">
        <v>1609</v>
      </c>
      <c r="Z31" s="361"/>
      <c r="AA31" s="361"/>
      <c r="AB31" s="359"/>
      <c r="AC31" s="362"/>
      <c r="AD31" s="363"/>
      <c r="AE31" s="359"/>
      <c r="AF31" s="361"/>
      <c r="AG31" s="361"/>
      <c r="AH31" s="361"/>
      <c r="AI31" s="361"/>
      <c r="AJ31" s="361"/>
      <c r="AK31" s="361"/>
      <c r="AL31" s="361"/>
      <c r="AM31" s="361"/>
      <c r="AN31" s="361"/>
      <c r="AO31" s="361"/>
      <c r="AP31" s="361"/>
      <c r="AQ31" s="361"/>
      <c r="AR31" s="361"/>
      <c r="AS31" s="361"/>
      <c r="AT31" s="384"/>
      <c r="AU31" s="357"/>
      <c r="AV31" s="347"/>
      <c r="AW31" s="347"/>
      <c r="AX31" s="347"/>
      <c r="AY31" s="347"/>
      <c r="AZ31" s="358"/>
      <c r="BA31" s="358"/>
      <c r="BB31" s="380">
        <v>120</v>
      </c>
      <c r="BC31" s="380">
        <v>146</v>
      </c>
      <c r="BD31" s="380">
        <v>156</v>
      </c>
      <c r="BE31" s="380">
        <v>157</v>
      </c>
      <c r="BF31" s="354"/>
      <c r="BG31" s="354"/>
      <c r="BH31" s="354"/>
      <c r="BI31" s="354"/>
      <c r="BJ31" s="354"/>
      <c r="BK31" s="354"/>
      <c r="BL31" s="354"/>
      <c r="BM31" s="354"/>
      <c r="BN31" s="354"/>
      <c r="BO31" s="354"/>
      <c r="BP31" s="354"/>
      <c r="BQ31" s="354"/>
      <c r="BR31" s="354"/>
      <c r="BS31" s="354"/>
      <c r="BT31" s="486">
        <v>0</v>
      </c>
      <c r="BU31" s="486">
        <v>0</v>
      </c>
      <c r="BV31" s="486">
        <v>0</v>
      </c>
      <c r="BW31" s="486">
        <v>0</v>
      </c>
      <c r="BX31" s="486">
        <v>0</v>
      </c>
      <c r="BY31" s="486">
        <v>0</v>
      </c>
      <c r="BZ31" s="486">
        <v>57</v>
      </c>
      <c r="CA31" s="486">
        <v>509</v>
      </c>
      <c r="CB31" s="355"/>
      <c r="CC31" s="355">
        <f>566-509</f>
        <v>57</v>
      </c>
      <c r="CD31" s="355"/>
      <c r="CE31" s="355"/>
      <c r="CF31" s="355"/>
      <c r="CG31" s="355"/>
      <c r="CH31" s="355"/>
      <c r="CI31" s="355"/>
      <c r="CJ31" s="355"/>
      <c r="CK31" s="355"/>
    </row>
    <row r="32" spans="2:89" s="313" customFormat="1" ht="48" x14ac:dyDescent="0.2">
      <c r="B32" s="483"/>
      <c r="C32" s="385">
        <v>29</v>
      </c>
      <c r="D32" s="812">
        <v>116</v>
      </c>
      <c r="E32" s="386" t="s">
        <v>1512</v>
      </c>
      <c r="F32" s="379" t="s">
        <v>4</v>
      </c>
      <c r="G32" s="386" t="s">
        <v>1744</v>
      </c>
      <c r="H32" s="386" t="s">
        <v>1752</v>
      </c>
      <c r="I32" s="386" t="s">
        <v>1576</v>
      </c>
      <c r="J32" s="386" t="s">
        <v>1751</v>
      </c>
      <c r="K32" s="386" t="s">
        <v>1750</v>
      </c>
      <c r="L32" s="387" t="s">
        <v>1546</v>
      </c>
      <c r="M32" s="387">
        <v>468</v>
      </c>
      <c r="N32" s="387">
        <v>2011</v>
      </c>
      <c r="O32" s="418">
        <v>421</v>
      </c>
      <c r="P32" s="378">
        <v>133</v>
      </c>
      <c r="Q32" s="378">
        <v>101</v>
      </c>
      <c r="R32" s="378">
        <v>43</v>
      </c>
      <c r="S32" s="378"/>
      <c r="T32" s="380" t="s">
        <v>1807</v>
      </c>
      <c r="U32" s="382" t="s">
        <v>1530</v>
      </c>
      <c r="V32" s="382" t="s">
        <v>1876</v>
      </c>
      <c r="W32" s="383" t="s">
        <v>1877</v>
      </c>
      <c r="X32" s="361" t="s">
        <v>1728</v>
      </c>
      <c r="Y32" s="360" t="s">
        <v>1902</v>
      </c>
      <c r="Z32" s="361">
        <v>1853</v>
      </c>
      <c r="AA32" s="361">
        <v>473</v>
      </c>
      <c r="AB32" s="359">
        <v>111</v>
      </c>
      <c r="AC32" s="362"/>
      <c r="AD32" s="363"/>
      <c r="AE32" s="359"/>
      <c r="AF32" s="361"/>
      <c r="AG32" s="361"/>
      <c r="AH32" s="361"/>
      <c r="AI32" s="361"/>
      <c r="AJ32" s="361"/>
      <c r="AK32" s="361"/>
      <c r="AL32" s="361"/>
      <c r="AM32" s="361"/>
      <c r="AN32" s="361"/>
      <c r="AO32" s="361"/>
      <c r="AP32" s="361"/>
      <c r="AQ32" s="361"/>
      <c r="AR32" s="361"/>
      <c r="AS32" s="361"/>
      <c r="AT32" s="384"/>
      <c r="AU32" s="357"/>
      <c r="AV32" s="347"/>
      <c r="AW32" s="347"/>
      <c r="AX32" s="347"/>
      <c r="AY32" s="347"/>
      <c r="AZ32" s="358"/>
      <c r="BA32" s="358"/>
      <c r="BB32" s="380">
        <v>462</v>
      </c>
      <c r="BC32" s="380">
        <v>463</v>
      </c>
      <c r="BD32" s="380">
        <v>464</v>
      </c>
      <c r="BE32" s="380">
        <v>465</v>
      </c>
      <c r="BF32" s="354"/>
      <c r="BG32" s="354"/>
      <c r="BH32" s="354"/>
      <c r="BI32" s="354"/>
      <c r="BJ32" s="354"/>
      <c r="BK32" s="354"/>
      <c r="BL32" s="354"/>
      <c r="BM32" s="354"/>
      <c r="BN32" s="354"/>
      <c r="BO32" s="354"/>
      <c r="BP32" s="354"/>
      <c r="BQ32" s="354"/>
      <c r="BR32" s="354"/>
      <c r="BS32" s="354"/>
      <c r="BT32" s="486">
        <v>0</v>
      </c>
      <c r="BU32" s="486">
        <v>0</v>
      </c>
      <c r="BV32" s="486">
        <v>0</v>
      </c>
      <c r="BW32" s="486">
        <v>0</v>
      </c>
      <c r="BX32" s="486">
        <v>0</v>
      </c>
      <c r="BY32" s="486">
        <v>0</v>
      </c>
      <c r="BZ32" s="486">
        <v>47</v>
      </c>
      <c r="CA32" s="486">
        <v>421</v>
      </c>
      <c r="CB32" s="355"/>
      <c r="CC32" s="355"/>
      <c r="CD32" s="355"/>
      <c r="CE32" s="355"/>
      <c r="CF32" s="355"/>
      <c r="CG32" s="355"/>
      <c r="CH32" s="355"/>
      <c r="CI32" s="355"/>
      <c r="CJ32" s="355"/>
      <c r="CK32" s="355"/>
    </row>
    <row r="33" spans="2:89" s="313" customFormat="1" ht="48" x14ac:dyDescent="0.2">
      <c r="B33" s="483"/>
      <c r="C33" s="377">
        <v>30</v>
      </c>
      <c r="D33" s="812">
        <v>117</v>
      </c>
      <c r="E33" s="386" t="s">
        <v>1545</v>
      </c>
      <c r="F33" s="379" t="s">
        <v>4</v>
      </c>
      <c r="G33" s="386" t="s">
        <v>1744</v>
      </c>
      <c r="H33" s="386" t="s">
        <v>284</v>
      </c>
      <c r="I33" s="386" t="s">
        <v>1576</v>
      </c>
      <c r="J33" s="386" t="s">
        <v>1749</v>
      </c>
      <c r="K33" s="386" t="s">
        <v>1664</v>
      </c>
      <c r="L33" s="387" t="s">
        <v>243</v>
      </c>
      <c r="M33" s="387">
        <v>0</v>
      </c>
      <c r="N33" s="387">
        <v>2011</v>
      </c>
      <c r="O33" s="387">
        <v>15</v>
      </c>
      <c r="P33" s="403">
        <v>0</v>
      </c>
      <c r="Q33" s="427">
        <v>8</v>
      </c>
      <c r="R33" s="410">
        <v>12</v>
      </c>
      <c r="S33" s="370"/>
      <c r="T33" s="329" t="s">
        <v>7</v>
      </c>
      <c r="U33" s="405" t="s">
        <v>1529</v>
      </c>
      <c r="V33" s="405" t="s">
        <v>1742</v>
      </c>
      <c r="W33" s="406" t="s">
        <v>1892</v>
      </c>
      <c r="X33" s="407" t="s">
        <v>1974</v>
      </c>
      <c r="Y33" s="408" t="s">
        <v>1903</v>
      </c>
      <c r="Z33" s="361"/>
      <c r="AA33" s="361"/>
      <c r="AB33" s="359"/>
      <c r="AC33" s="362"/>
      <c r="AD33" s="363"/>
      <c r="AE33" s="359"/>
      <c r="AF33" s="361"/>
      <c r="AG33" s="361"/>
      <c r="AH33" s="361"/>
      <c r="AI33" s="361"/>
      <c r="AJ33" s="361"/>
      <c r="AK33" s="361"/>
      <c r="AL33" s="361"/>
      <c r="AM33" s="361"/>
      <c r="AN33" s="361"/>
      <c r="AO33" s="361"/>
      <c r="AP33" s="361"/>
      <c r="AQ33" s="361"/>
      <c r="AR33" s="361"/>
      <c r="AS33" s="361"/>
      <c r="AT33" s="384"/>
      <c r="AU33" s="357"/>
      <c r="AV33" s="347"/>
      <c r="AW33" s="347"/>
      <c r="AX33" s="347"/>
      <c r="AY33" s="347"/>
      <c r="AZ33" s="358"/>
      <c r="BA33" s="358"/>
      <c r="BB33" s="380">
        <v>139</v>
      </c>
      <c r="BC33" s="380">
        <v>141</v>
      </c>
      <c r="BD33" s="380">
        <v>143</v>
      </c>
      <c r="BE33" s="380">
        <v>145</v>
      </c>
      <c r="BF33" s="380">
        <v>125</v>
      </c>
      <c r="BG33" s="380">
        <v>127</v>
      </c>
      <c r="BH33" s="380">
        <v>140</v>
      </c>
      <c r="BI33" s="354"/>
      <c r="BJ33" s="354"/>
      <c r="BK33" s="354"/>
      <c r="BL33" s="354"/>
      <c r="BM33" s="354"/>
      <c r="BN33" s="354"/>
      <c r="BO33" s="354"/>
      <c r="BP33" s="354"/>
      <c r="BQ33" s="354"/>
      <c r="BR33" s="354"/>
      <c r="BS33" s="354"/>
      <c r="BT33" s="486">
        <v>2</v>
      </c>
      <c r="BU33" s="486">
        <v>2</v>
      </c>
      <c r="BV33" s="486">
        <v>2</v>
      </c>
      <c r="BW33" s="486">
        <v>4</v>
      </c>
      <c r="BX33" s="486">
        <v>5</v>
      </c>
      <c r="BY33" s="486">
        <v>9</v>
      </c>
      <c r="BZ33" s="486">
        <v>6</v>
      </c>
      <c r="CA33" s="486">
        <v>15</v>
      </c>
      <c r="CB33" s="355"/>
      <c r="CC33" s="355"/>
      <c r="CD33" s="355"/>
      <c r="CE33" s="355"/>
      <c r="CF33" s="355"/>
      <c r="CG33" s="355"/>
      <c r="CH33" s="355"/>
      <c r="CI33" s="355"/>
      <c r="CJ33" s="355"/>
      <c r="CK33" s="355"/>
    </row>
    <row r="34" spans="2:89" s="313" customFormat="1" ht="45" x14ac:dyDescent="0.2">
      <c r="B34" s="483"/>
      <c r="C34" s="385">
        <v>31</v>
      </c>
      <c r="D34" s="812">
        <v>118</v>
      </c>
      <c r="E34" s="521" t="s">
        <v>3</v>
      </c>
      <c r="F34" s="520" t="s">
        <v>4</v>
      </c>
      <c r="G34" s="521" t="s">
        <v>1744</v>
      </c>
      <c r="H34" s="521" t="s">
        <v>1748</v>
      </c>
      <c r="I34" s="521" t="s">
        <v>1576</v>
      </c>
      <c r="J34" s="521" t="s">
        <v>1747</v>
      </c>
      <c r="K34" s="386" t="s">
        <v>1746</v>
      </c>
      <c r="L34" s="387" t="s">
        <v>244</v>
      </c>
      <c r="M34" s="387">
        <v>0</v>
      </c>
      <c r="N34" s="387"/>
      <c r="O34" s="387">
        <v>78810</v>
      </c>
      <c r="P34" s="423">
        <v>11344</v>
      </c>
      <c r="Q34" s="424">
        <v>7124</v>
      </c>
      <c r="R34" s="424">
        <v>7893</v>
      </c>
      <c r="S34" s="370"/>
      <c r="T34" s="412" t="s">
        <v>1714</v>
      </c>
      <c r="U34" s="382" t="s">
        <v>1529</v>
      </c>
      <c r="V34" s="382" t="s">
        <v>1723</v>
      </c>
      <c r="W34" s="383">
        <v>41886</v>
      </c>
      <c r="X34" s="413" t="s">
        <v>1712</v>
      </c>
      <c r="Y34" s="360" t="s">
        <v>1745</v>
      </c>
      <c r="Z34" s="361"/>
      <c r="AA34" s="361"/>
      <c r="AB34" s="359"/>
      <c r="AC34" s="362"/>
      <c r="AD34" s="363"/>
      <c r="AE34" s="359"/>
      <c r="AF34" s="361"/>
      <c r="AG34" s="361"/>
      <c r="AH34" s="361"/>
      <c r="AI34" s="361"/>
      <c r="AJ34" s="361"/>
      <c r="AK34" s="361"/>
      <c r="AL34" s="361"/>
      <c r="AM34" s="361"/>
      <c r="AN34" s="361"/>
      <c r="AO34" s="361"/>
      <c r="AP34" s="361"/>
      <c r="AQ34" s="361"/>
      <c r="AR34" s="361"/>
      <c r="AS34" s="361"/>
      <c r="AT34" s="384"/>
      <c r="AU34" s="357"/>
      <c r="AV34" s="347"/>
      <c r="AW34" s="347"/>
      <c r="AX34" s="347"/>
      <c r="AY34" s="347"/>
      <c r="AZ34" s="358"/>
      <c r="BA34" s="358"/>
      <c r="BB34" s="380">
        <v>155</v>
      </c>
      <c r="BC34" s="380">
        <v>122</v>
      </c>
      <c r="BD34" s="380">
        <v>123</v>
      </c>
      <c r="BE34" s="380">
        <v>126</v>
      </c>
      <c r="BF34" s="380">
        <v>128</v>
      </c>
      <c r="BG34" s="380">
        <v>129</v>
      </c>
      <c r="BH34" s="380">
        <v>130</v>
      </c>
      <c r="BI34" s="380">
        <v>131</v>
      </c>
      <c r="BJ34" s="380">
        <v>132</v>
      </c>
      <c r="BK34" s="380">
        <v>133</v>
      </c>
      <c r="BL34" s="380">
        <v>134</v>
      </c>
      <c r="BM34" s="380">
        <v>135</v>
      </c>
      <c r="BN34" s="380">
        <v>136</v>
      </c>
      <c r="BO34" s="380">
        <v>137</v>
      </c>
      <c r="BP34" s="380">
        <v>138</v>
      </c>
      <c r="BQ34" s="380">
        <v>142</v>
      </c>
      <c r="BR34" s="380">
        <v>147</v>
      </c>
      <c r="BS34" s="380">
        <v>151</v>
      </c>
      <c r="BT34" s="490">
        <v>0.35</v>
      </c>
      <c r="BU34" s="490">
        <v>0.35</v>
      </c>
      <c r="BV34" s="490">
        <v>0.35</v>
      </c>
      <c r="BW34" s="490">
        <v>0.35</v>
      </c>
      <c r="BX34" s="490">
        <v>0.35</v>
      </c>
      <c r="BY34" s="490">
        <v>0.35</v>
      </c>
      <c r="BZ34" s="490">
        <v>0.35</v>
      </c>
      <c r="CA34" s="490">
        <v>0.35</v>
      </c>
      <c r="CB34" s="355"/>
      <c r="CC34" s="355"/>
      <c r="CD34" s="355"/>
      <c r="CE34" s="355"/>
      <c r="CF34" s="355"/>
      <c r="CG34" s="355"/>
      <c r="CH34" s="355"/>
      <c r="CI34" s="355"/>
      <c r="CJ34" s="355"/>
      <c r="CK34" s="355"/>
    </row>
    <row r="35" spans="2:89" s="313" customFormat="1" ht="84" x14ac:dyDescent="0.2">
      <c r="B35" s="483"/>
      <c r="C35" s="377">
        <v>32</v>
      </c>
      <c r="D35" s="812">
        <v>119</v>
      </c>
      <c r="E35" s="386" t="s">
        <v>1705</v>
      </c>
      <c r="F35" s="379" t="s">
        <v>4</v>
      </c>
      <c r="G35" s="386" t="s">
        <v>1744</v>
      </c>
      <c r="H35" s="386" t="s">
        <v>283</v>
      </c>
      <c r="I35" s="386" t="s">
        <v>1576</v>
      </c>
      <c r="J35" s="386" t="s">
        <v>1743</v>
      </c>
      <c r="K35" s="386" t="s">
        <v>1582</v>
      </c>
      <c r="L35" s="387" t="s">
        <v>243</v>
      </c>
      <c r="M35" s="387">
        <v>33.299999999999997</v>
      </c>
      <c r="N35" s="387">
        <v>2011</v>
      </c>
      <c r="O35" s="387">
        <v>38</v>
      </c>
      <c r="P35" s="403">
        <v>33.299999999999997</v>
      </c>
      <c r="Q35" s="409">
        <v>0</v>
      </c>
      <c r="R35" s="410">
        <v>0</v>
      </c>
      <c r="S35" s="370"/>
      <c r="T35" s="329" t="s">
        <v>7</v>
      </c>
      <c r="U35" s="405" t="s">
        <v>1529</v>
      </c>
      <c r="V35" s="405" t="s">
        <v>1742</v>
      </c>
      <c r="W35" s="406" t="s">
        <v>1892</v>
      </c>
      <c r="X35" s="407" t="s">
        <v>1975</v>
      </c>
      <c r="Y35" s="408" t="s">
        <v>1904</v>
      </c>
      <c r="Z35" s="361"/>
      <c r="AA35" s="361"/>
      <c r="AB35" s="359"/>
      <c r="AC35" s="362"/>
      <c r="AD35" s="363"/>
      <c r="AE35" s="359"/>
      <c r="AF35" s="361"/>
      <c r="AG35" s="361"/>
      <c r="AH35" s="361"/>
      <c r="AI35" s="361"/>
      <c r="AJ35" s="361"/>
      <c r="AK35" s="361"/>
      <c r="AL35" s="361"/>
      <c r="AM35" s="361"/>
      <c r="AN35" s="361"/>
      <c r="AO35" s="361"/>
      <c r="AP35" s="361"/>
      <c r="AQ35" s="361"/>
      <c r="AR35" s="361"/>
      <c r="AS35" s="361"/>
      <c r="AT35" s="384"/>
      <c r="AU35" s="357"/>
      <c r="AV35" s="347"/>
      <c r="AW35" s="347"/>
      <c r="AX35" s="347"/>
      <c r="AY35" s="347"/>
      <c r="AZ35" s="358"/>
      <c r="BA35" s="358"/>
      <c r="BB35" s="380">
        <v>144</v>
      </c>
      <c r="BC35" s="354"/>
      <c r="BD35" s="354"/>
      <c r="BE35" s="354"/>
      <c r="BF35" s="354"/>
      <c r="BG35" s="354"/>
      <c r="BH35" s="354"/>
      <c r="BI35" s="354"/>
      <c r="BJ35" s="354"/>
      <c r="BK35" s="354"/>
      <c r="BL35" s="354"/>
      <c r="BM35" s="354"/>
      <c r="BN35" s="354"/>
      <c r="BO35" s="354"/>
      <c r="BP35" s="354"/>
      <c r="BQ35" s="354"/>
      <c r="BR35" s="354"/>
      <c r="BS35" s="354"/>
      <c r="BT35" s="486">
        <v>0</v>
      </c>
      <c r="BU35" s="489">
        <v>0</v>
      </c>
      <c r="BV35" s="486">
        <v>0.7</v>
      </c>
      <c r="BW35" s="489">
        <v>6.9999999999999993E-3</v>
      </c>
      <c r="BX35" s="486">
        <v>2</v>
      </c>
      <c r="BY35" s="490">
        <v>2.7E-2</v>
      </c>
      <c r="BZ35" s="486">
        <v>2</v>
      </c>
      <c r="CA35" s="496">
        <v>4.7E-2</v>
      </c>
      <c r="CB35" s="355"/>
      <c r="CC35" s="355"/>
      <c r="CD35" s="355"/>
      <c r="CE35" s="355"/>
      <c r="CF35" s="355"/>
      <c r="CG35" s="355"/>
      <c r="CH35" s="355"/>
      <c r="CI35" s="355"/>
      <c r="CJ35" s="355"/>
      <c r="CK35" s="355"/>
    </row>
    <row r="36" spans="2:89" s="313" customFormat="1" ht="36" x14ac:dyDescent="0.2">
      <c r="B36" s="483"/>
      <c r="C36" s="385">
        <v>33</v>
      </c>
      <c r="D36" s="812">
        <v>158</v>
      </c>
      <c r="E36" s="379" t="s">
        <v>1515</v>
      </c>
      <c r="F36" s="379" t="s">
        <v>4</v>
      </c>
      <c r="G36" s="379" t="s">
        <v>1741</v>
      </c>
      <c r="H36" s="379" t="s">
        <v>1740</v>
      </c>
      <c r="I36" s="379" t="s">
        <v>1576</v>
      </c>
      <c r="J36" s="379" t="s">
        <v>1739</v>
      </c>
      <c r="K36" s="379" t="s">
        <v>1732</v>
      </c>
      <c r="L36" s="380" t="s">
        <v>1546</v>
      </c>
      <c r="M36" s="377">
        <v>774</v>
      </c>
      <c r="N36" s="380">
        <v>2011</v>
      </c>
      <c r="O36" s="377">
        <v>697</v>
      </c>
      <c r="P36" s="377">
        <v>533</v>
      </c>
      <c r="Q36" s="377">
        <v>599</v>
      </c>
      <c r="R36" s="428">
        <v>304</v>
      </c>
      <c r="S36" s="358"/>
      <c r="T36" s="379" t="s">
        <v>1613</v>
      </c>
      <c r="U36" s="382" t="s">
        <v>1530</v>
      </c>
      <c r="V36" s="382" t="s">
        <v>1612</v>
      </c>
      <c r="W36" s="383" t="s">
        <v>1611</v>
      </c>
      <c r="X36" s="361" t="s">
        <v>1610</v>
      </c>
      <c r="Y36" s="360" t="s">
        <v>1609</v>
      </c>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80">
        <v>174</v>
      </c>
      <c r="BC36" s="380">
        <v>175</v>
      </c>
      <c r="BD36" s="380">
        <v>176</v>
      </c>
      <c r="BE36" s="354"/>
      <c r="BF36" s="354"/>
      <c r="BG36" s="354"/>
      <c r="BH36" s="354"/>
      <c r="BI36" s="354"/>
      <c r="BJ36" s="354"/>
      <c r="BK36" s="354"/>
      <c r="BL36" s="354"/>
      <c r="BM36" s="354"/>
      <c r="BN36" s="354"/>
      <c r="BO36" s="354"/>
      <c r="BP36" s="354"/>
      <c r="BQ36" s="354"/>
      <c r="BR36" s="354"/>
      <c r="BS36" s="354"/>
      <c r="BT36" s="486">
        <v>0</v>
      </c>
      <c r="BU36" s="486">
        <v>0</v>
      </c>
      <c r="BV36" s="486">
        <v>0</v>
      </c>
      <c r="BW36" s="486">
        <v>0</v>
      </c>
      <c r="BX36" s="486">
        <v>0</v>
      </c>
      <c r="BY36" s="486">
        <v>0</v>
      </c>
      <c r="BZ36" s="486">
        <v>697</v>
      </c>
      <c r="CA36" s="486">
        <v>697</v>
      </c>
      <c r="CB36" s="355"/>
      <c r="CC36" s="355"/>
      <c r="CD36" s="355"/>
      <c r="CE36" s="355"/>
      <c r="CF36" s="355"/>
      <c r="CG36" s="355"/>
      <c r="CH36" s="355"/>
      <c r="CI36" s="355"/>
      <c r="CJ36" s="355"/>
      <c r="CK36" s="355"/>
    </row>
    <row r="37" spans="2:89" s="313" customFormat="1" ht="48" x14ac:dyDescent="0.2">
      <c r="B37" s="483"/>
      <c r="C37" s="377">
        <v>34</v>
      </c>
      <c r="D37" s="812">
        <v>159</v>
      </c>
      <c r="E37" s="386" t="s">
        <v>1512</v>
      </c>
      <c r="F37" s="379" t="s">
        <v>4</v>
      </c>
      <c r="G37" s="386" t="s">
        <v>1736</v>
      </c>
      <c r="H37" s="386" t="s">
        <v>1738</v>
      </c>
      <c r="I37" s="386" t="s">
        <v>1576</v>
      </c>
      <c r="J37" s="386" t="s">
        <v>1737</v>
      </c>
      <c r="K37" s="386" t="s">
        <v>1729</v>
      </c>
      <c r="L37" s="387" t="s">
        <v>1546</v>
      </c>
      <c r="M37" s="387">
        <v>754</v>
      </c>
      <c r="N37" s="387">
        <v>2011</v>
      </c>
      <c r="O37" s="418">
        <v>679</v>
      </c>
      <c r="P37" s="378">
        <v>235</v>
      </c>
      <c r="Q37" s="378">
        <v>227</v>
      </c>
      <c r="R37" s="378">
        <v>45</v>
      </c>
      <c r="S37" s="378"/>
      <c r="T37" s="380" t="s">
        <v>1807</v>
      </c>
      <c r="U37" s="382" t="s">
        <v>1530</v>
      </c>
      <c r="V37" s="382" t="s">
        <v>1876</v>
      </c>
      <c r="W37" s="383" t="s">
        <v>1877</v>
      </c>
      <c r="X37" s="361" t="s">
        <v>1728</v>
      </c>
      <c r="Y37" s="360" t="s">
        <v>1905</v>
      </c>
      <c r="Z37" s="361">
        <v>2541</v>
      </c>
      <c r="AA37" s="361">
        <v>1020</v>
      </c>
      <c r="AB37" s="359">
        <v>172</v>
      </c>
      <c r="AC37" s="362"/>
      <c r="AD37" s="363"/>
      <c r="AE37" s="359"/>
      <c r="AF37" s="361"/>
      <c r="AG37" s="361"/>
      <c r="AH37" s="361"/>
      <c r="AI37" s="361"/>
      <c r="AJ37" s="361"/>
      <c r="AK37" s="361"/>
      <c r="AL37" s="361"/>
      <c r="AM37" s="361"/>
      <c r="AN37" s="361"/>
      <c r="AO37" s="361"/>
      <c r="AP37" s="361"/>
      <c r="AQ37" s="361"/>
      <c r="AR37" s="361"/>
      <c r="AS37" s="361"/>
      <c r="AT37" s="384"/>
      <c r="AU37" s="357"/>
      <c r="AV37" s="347"/>
      <c r="AW37" s="347"/>
      <c r="AX37" s="347"/>
      <c r="AY37" s="347"/>
      <c r="AZ37" s="358"/>
      <c r="BA37" s="358"/>
      <c r="BB37" s="380">
        <v>462</v>
      </c>
      <c r="BC37" s="380">
        <v>463</v>
      </c>
      <c r="BD37" s="380">
        <v>464</v>
      </c>
      <c r="BE37" s="380">
        <v>465</v>
      </c>
      <c r="BF37" s="354"/>
      <c r="BG37" s="354"/>
      <c r="BH37" s="354"/>
      <c r="BI37" s="354"/>
      <c r="BJ37" s="354"/>
      <c r="BK37" s="354"/>
      <c r="BL37" s="354"/>
      <c r="BM37" s="354"/>
      <c r="BN37" s="354"/>
      <c r="BO37" s="354"/>
      <c r="BP37" s="354"/>
      <c r="BQ37" s="354"/>
      <c r="BR37" s="354"/>
      <c r="BS37" s="354"/>
      <c r="BT37" s="486">
        <v>0</v>
      </c>
      <c r="BU37" s="486">
        <v>0</v>
      </c>
      <c r="BV37" s="486">
        <v>0</v>
      </c>
      <c r="BW37" s="486">
        <v>0</v>
      </c>
      <c r="BX37" s="486">
        <v>0</v>
      </c>
      <c r="BY37" s="486">
        <v>0</v>
      </c>
      <c r="BZ37" s="486">
        <v>679</v>
      </c>
      <c r="CA37" s="486">
        <v>679</v>
      </c>
      <c r="CB37" s="355"/>
      <c r="CC37" s="355"/>
      <c r="CD37" s="355"/>
      <c r="CE37" s="355"/>
      <c r="CF37" s="355"/>
      <c r="CG37" s="355"/>
      <c r="CH37" s="355"/>
      <c r="CI37" s="355"/>
      <c r="CJ37" s="355"/>
      <c r="CK37" s="355"/>
    </row>
    <row r="38" spans="2:89" s="313" customFormat="1" ht="36" x14ac:dyDescent="0.2">
      <c r="B38" s="483"/>
      <c r="C38" s="385">
        <v>35</v>
      </c>
      <c r="D38" s="812">
        <v>160</v>
      </c>
      <c r="E38" s="521" t="s">
        <v>3</v>
      </c>
      <c r="F38" s="520" t="s">
        <v>4</v>
      </c>
      <c r="G38" s="521" t="s">
        <v>1736</v>
      </c>
      <c r="H38" s="521" t="s">
        <v>1976</v>
      </c>
      <c r="I38" s="521" t="s">
        <v>1576</v>
      </c>
      <c r="J38" s="521" t="s">
        <v>1735</v>
      </c>
      <c r="K38" s="386" t="s">
        <v>1734</v>
      </c>
      <c r="L38" s="387" t="s">
        <v>244</v>
      </c>
      <c r="M38" s="387">
        <v>0</v>
      </c>
      <c r="N38" s="387"/>
      <c r="O38" s="398">
        <v>138456</v>
      </c>
      <c r="P38" s="423">
        <v>68558</v>
      </c>
      <c r="Q38" s="424">
        <v>64131</v>
      </c>
      <c r="R38" s="424">
        <v>16917</v>
      </c>
      <c r="S38" s="370"/>
      <c r="T38" s="412" t="s">
        <v>1714</v>
      </c>
      <c r="U38" s="382" t="s">
        <v>1529</v>
      </c>
      <c r="V38" s="382" t="s">
        <v>1713</v>
      </c>
      <c r="W38" s="383">
        <v>41886</v>
      </c>
      <c r="X38" s="413" t="s">
        <v>1712</v>
      </c>
      <c r="Y38" s="360" t="s">
        <v>1977</v>
      </c>
      <c r="Z38" s="361"/>
      <c r="AA38" s="361"/>
      <c r="AB38" s="359"/>
      <c r="AC38" s="362"/>
      <c r="AD38" s="363"/>
      <c r="AE38" s="359"/>
      <c r="AF38" s="361"/>
      <c r="AG38" s="361"/>
      <c r="AH38" s="361"/>
      <c r="AI38" s="361"/>
      <c r="AJ38" s="361"/>
      <c r="AK38" s="361"/>
      <c r="AL38" s="361"/>
      <c r="AM38" s="361"/>
      <c r="AN38" s="361"/>
      <c r="AO38" s="361"/>
      <c r="AP38" s="361"/>
      <c r="AQ38" s="361"/>
      <c r="AR38" s="361"/>
      <c r="AS38" s="361"/>
      <c r="AT38" s="384"/>
      <c r="AU38" s="357"/>
      <c r="AV38" s="347"/>
      <c r="AW38" s="347"/>
      <c r="AX38" s="347"/>
      <c r="AY38" s="347"/>
      <c r="AZ38" s="358"/>
      <c r="BA38" s="358"/>
      <c r="BB38" s="380">
        <v>161</v>
      </c>
      <c r="BC38" s="380">
        <v>162</v>
      </c>
      <c r="BD38" s="380">
        <v>164</v>
      </c>
      <c r="BE38" s="380">
        <v>165</v>
      </c>
      <c r="BF38" s="380">
        <v>166</v>
      </c>
      <c r="BG38" s="380">
        <v>167</v>
      </c>
      <c r="BH38" s="380">
        <v>168</v>
      </c>
      <c r="BI38" s="380">
        <v>169</v>
      </c>
      <c r="BJ38" s="380">
        <v>170</v>
      </c>
      <c r="BK38" s="380">
        <v>171</v>
      </c>
      <c r="BL38" s="380">
        <v>172</v>
      </c>
      <c r="BM38" s="380">
        <v>304</v>
      </c>
      <c r="BN38" s="380">
        <v>306</v>
      </c>
      <c r="BO38" s="354"/>
      <c r="BP38" s="354"/>
      <c r="BQ38" s="354"/>
      <c r="BR38" s="354"/>
      <c r="BS38" s="354"/>
      <c r="BT38" s="490">
        <v>0.3</v>
      </c>
      <c r="BU38" s="490">
        <v>0.3</v>
      </c>
      <c r="BV38" s="490">
        <v>0.3</v>
      </c>
      <c r="BW38" s="490">
        <v>0.3</v>
      </c>
      <c r="BX38" s="490">
        <v>0.3</v>
      </c>
      <c r="BY38" s="490">
        <v>0.3</v>
      </c>
      <c r="BZ38" s="490">
        <v>0.3</v>
      </c>
      <c r="CA38" s="490">
        <v>0.3</v>
      </c>
      <c r="CB38" s="355"/>
      <c r="CC38" s="355"/>
      <c r="CD38" s="355"/>
      <c r="CE38" s="355"/>
      <c r="CF38" s="355"/>
      <c r="CG38" s="355"/>
      <c r="CH38" s="355"/>
      <c r="CI38" s="355"/>
      <c r="CJ38" s="355"/>
      <c r="CK38" s="355"/>
    </row>
    <row r="39" spans="2:89" s="313" customFormat="1" ht="36" x14ac:dyDescent="0.2">
      <c r="B39" s="483"/>
      <c r="C39" s="377">
        <v>36</v>
      </c>
      <c r="D39" s="812">
        <v>177</v>
      </c>
      <c r="E39" s="379" t="s">
        <v>1515</v>
      </c>
      <c r="F39" s="379" t="s">
        <v>4</v>
      </c>
      <c r="G39" s="379" t="s">
        <v>1727</v>
      </c>
      <c r="H39" s="379" t="s">
        <v>282</v>
      </c>
      <c r="I39" s="379" t="s">
        <v>1576</v>
      </c>
      <c r="J39" s="379" t="s">
        <v>1733</v>
      </c>
      <c r="K39" s="379" t="s">
        <v>1732</v>
      </c>
      <c r="L39" s="380" t="s">
        <v>1546</v>
      </c>
      <c r="M39" s="380">
        <v>125</v>
      </c>
      <c r="N39" s="380">
        <v>2011</v>
      </c>
      <c r="O39" s="380">
        <v>113</v>
      </c>
      <c r="P39" s="378">
        <v>101</v>
      </c>
      <c r="Q39" s="381">
        <v>86</v>
      </c>
      <c r="R39" s="361">
        <v>37</v>
      </c>
      <c r="S39" s="359"/>
      <c r="T39" s="379" t="s">
        <v>1613</v>
      </c>
      <c r="U39" s="382" t="s">
        <v>1530</v>
      </c>
      <c r="V39" s="382" t="s">
        <v>1612</v>
      </c>
      <c r="W39" s="383" t="s">
        <v>1611</v>
      </c>
      <c r="X39" s="361" t="s">
        <v>1610</v>
      </c>
      <c r="Y39" s="360" t="s">
        <v>1609</v>
      </c>
      <c r="Z39" s="361"/>
      <c r="AA39" s="361"/>
      <c r="AB39" s="359"/>
      <c r="AC39" s="362"/>
      <c r="AD39" s="363"/>
      <c r="AE39" s="359"/>
      <c r="AF39" s="361"/>
      <c r="AG39" s="361"/>
      <c r="AH39" s="361"/>
      <c r="AI39" s="361"/>
      <c r="AJ39" s="361"/>
      <c r="AK39" s="361"/>
      <c r="AL39" s="361"/>
      <c r="AM39" s="361"/>
      <c r="AN39" s="361"/>
      <c r="AO39" s="361"/>
      <c r="AP39" s="361"/>
      <c r="AQ39" s="361"/>
      <c r="AR39" s="361"/>
      <c r="AS39" s="361"/>
      <c r="AT39" s="384"/>
      <c r="AU39" s="357"/>
      <c r="AV39" s="347"/>
      <c r="AW39" s="347"/>
      <c r="AX39" s="347"/>
      <c r="AY39" s="347"/>
      <c r="AZ39" s="358"/>
      <c r="BA39" s="358"/>
      <c r="BB39" s="380">
        <v>196</v>
      </c>
      <c r="BC39" s="380">
        <v>198</v>
      </c>
      <c r="BD39" s="354"/>
      <c r="BE39" s="354"/>
      <c r="BF39" s="354"/>
      <c r="BG39" s="354"/>
      <c r="BH39" s="354"/>
      <c r="BI39" s="354"/>
      <c r="BJ39" s="354"/>
      <c r="BK39" s="354"/>
      <c r="BL39" s="354"/>
      <c r="BM39" s="354"/>
      <c r="BN39" s="354"/>
      <c r="BO39" s="354"/>
      <c r="BP39" s="354"/>
      <c r="BQ39" s="354"/>
      <c r="BR39" s="354"/>
      <c r="BS39" s="354"/>
      <c r="BT39" s="486">
        <v>0</v>
      </c>
      <c r="BU39" s="486">
        <v>0</v>
      </c>
      <c r="BV39" s="486">
        <v>0</v>
      </c>
      <c r="BW39" s="486">
        <v>0</v>
      </c>
      <c r="BX39" s="486">
        <v>0</v>
      </c>
      <c r="BY39" s="486">
        <v>0</v>
      </c>
      <c r="BZ39" s="486">
        <v>113</v>
      </c>
      <c r="CA39" s="486">
        <v>113</v>
      </c>
      <c r="CB39" s="355"/>
      <c r="CC39" s="355"/>
      <c r="CD39" s="355"/>
      <c r="CE39" s="355"/>
      <c r="CF39" s="355"/>
      <c r="CG39" s="355"/>
      <c r="CH39" s="355"/>
      <c r="CI39" s="355"/>
      <c r="CJ39" s="355"/>
      <c r="CK39" s="355"/>
    </row>
    <row r="40" spans="2:89" s="313" customFormat="1" ht="48" x14ac:dyDescent="0.2">
      <c r="B40" s="483"/>
      <c r="C40" s="385">
        <v>37</v>
      </c>
      <c r="D40" s="812">
        <v>178</v>
      </c>
      <c r="E40" s="386" t="s">
        <v>1512</v>
      </c>
      <c r="F40" s="379" t="s">
        <v>4</v>
      </c>
      <c r="G40" s="386" t="s">
        <v>1727</v>
      </c>
      <c r="H40" s="386" t="s">
        <v>1731</v>
      </c>
      <c r="I40" s="386" t="s">
        <v>1576</v>
      </c>
      <c r="J40" s="386" t="s">
        <v>1730</v>
      </c>
      <c r="K40" s="386" t="s">
        <v>1729</v>
      </c>
      <c r="L40" s="387" t="s">
        <v>1546</v>
      </c>
      <c r="M40" s="387">
        <v>251</v>
      </c>
      <c r="N40" s="387">
        <v>2011</v>
      </c>
      <c r="O40" s="418">
        <v>226</v>
      </c>
      <c r="P40" s="378">
        <v>87</v>
      </c>
      <c r="Q40" s="378">
        <v>86</v>
      </c>
      <c r="R40" s="378">
        <v>17</v>
      </c>
      <c r="S40" s="378"/>
      <c r="T40" s="380" t="s">
        <v>1906</v>
      </c>
      <c r="U40" s="382" t="s">
        <v>1530</v>
      </c>
      <c r="V40" s="382" t="s">
        <v>1876</v>
      </c>
      <c r="W40" s="383" t="s">
        <v>1877</v>
      </c>
      <c r="X40" s="361" t="s">
        <v>1728</v>
      </c>
      <c r="Y40" s="360" t="s">
        <v>1907</v>
      </c>
      <c r="Z40" s="361">
        <v>1218</v>
      </c>
      <c r="AA40" s="361">
        <v>658</v>
      </c>
      <c r="AB40" s="359">
        <v>69</v>
      </c>
      <c r="AC40" s="362"/>
      <c r="AD40" s="363"/>
      <c r="AE40" s="359"/>
      <c r="AF40" s="361"/>
      <c r="AG40" s="361"/>
      <c r="AH40" s="361"/>
      <c r="AI40" s="361"/>
      <c r="AJ40" s="361"/>
      <c r="AK40" s="361"/>
      <c r="AL40" s="361"/>
      <c r="AM40" s="361"/>
      <c r="AN40" s="361"/>
      <c r="AO40" s="361"/>
      <c r="AP40" s="361"/>
      <c r="AQ40" s="361"/>
      <c r="AR40" s="361"/>
      <c r="AS40" s="361"/>
      <c r="AT40" s="384"/>
      <c r="AU40" s="357"/>
      <c r="AV40" s="347"/>
      <c r="AW40" s="347"/>
      <c r="AX40" s="347"/>
      <c r="AY40" s="347"/>
      <c r="AZ40" s="358"/>
      <c r="BA40" s="358"/>
      <c r="BB40" s="380">
        <v>462</v>
      </c>
      <c r="BC40" s="380">
        <v>463</v>
      </c>
      <c r="BD40" s="380">
        <v>464</v>
      </c>
      <c r="BE40" s="380">
        <v>465</v>
      </c>
      <c r="BF40" s="354"/>
      <c r="BG40" s="354"/>
      <c r="BH40" s="354"/>
      <c r="BI40" s="354"/>
      <c r="BJ40" s="354"/>
      <c r="BK40" s="354"/>
      <c r="BL40" s="354"/>
      <c r="BM40" s="354"/>
      <c r="BN40" s="354"/>
      <c r="BO40" s="354"/>
      <c r="BP40" s="354"/>
      <c r="BQ40" s="354"/>
      <c r="BR40" s="354"/>
      <c r="BS40" s="354"/>
      <c r="BT40" s="486">
        <v>0</v>
      </c>
      <c r="BU40" s="486">
        <v>0</v>
      </c>
      <c r="BV40" s="486">
        <v>0</v>
      </c>
      <c r="BW40" s="486">
        <v>0</v>
      </c>
      <c r="BX40" s="486">
        <v>0</v>
      </c>
      <c r="BY40" s="486">
        <v>0</v>
      </c>
      <c r="BZ40" s="486">
        <v>226</v>
      </c>
      <c r="CA40" s="486">
        <v>226</v>
      </c>
      <c r="CB40" s="355"/>
      <c r="CC40" s="355"/>
      <c r="CD40" s="355"/>
      <c r="CE40" s="355"/>
      <c r="CF40" s="355"/>
      <c r="CG40" s="355"/>
      <c r="CH40" s="355"/>
      <c r="CI40" s="355"/>
      <c r="CJ40" s="355"/>
      <c r="CK40" s="355"/>
    </row>
    <row r="41" spans="2:89" s="313" customFormat="1" ht="45" x14ac:dyDescent="0.2">
      <c r="B41" s="483"/>
      <c r="C41" s="377">
        <v>38</v>
      </c>
      <c r="D41" s="812">
        <v>179</v>
      </c>
      <c r="E41" s="521" t="s">
        <v>3</v>
      </c>
      <c r="F41" s="520" t="s">
        <v>4</v>
      </c>
      <c r="G41" s="521" t="s">
        <v>1727</v>
      </c>
      <c r="H41" s="521" t="s">
        <v>1726</v>
      </c>
      <c r="I41" s="521" t="s">
        <v>1576</v>
      </c>
      <c r="J41" s="521" t="s">
        <v>1725</v>
      </c>
      <c r="K41" s="386" t="s">
        <v>1724</v>
      </c>
      <c r="L41" s="387" t="s">
        <v>244</v>
      </c>
      <c r="M41" s="387">
        <v>0</v>
      </c>
      <c r="N41" s="387"/>
      <c r="O41" s="387">
        <v>7405</v>
      </c>
      <c r="P41" s="423">
        <v>5359</v>
      </c>
      <c r="Q41" s="424">
        <v>10342</v>
      </c>
      <c r="R41" s="424">
        <v>13715</v>
      </c>
      <c r="S41" s="370"/>
      <c r="T41" s="412" t="s">
        <v>1714</v>
      </c>
      <c r="U41" s="382" t="s">
        <v>1529</v>
      </c>
      <c r="V41" s="382" t="s">
        <v>1723</v>
      </c>
      <c r="W41" s="383">
        <v>41886</v>
      </c>
      <c r="X41" s="413" t="s">
        <v>1712</v>
      </c>
      <c r="Y41" s="360" t="s">
        <v>1722</v>
      </c>
      <c r="Z41" s="361"/>
      <c r="AA41" s="361"/>
      <c r="AB41" s="359"/>
      <c r="AC41" s="362"/>
      <c r="AD41" s="363"/>
      <c r="AE41" s="359"/>
      <c r="AF41" s="361"/>
      <c r="AG41" s="361"/>
      <c r="AH41" s="361"/>
      <c r="AI41" s="361"/>
      <c r="AJ41" s="361"/>
      <c r="AK41" s="361"/>
      <c r="AL41" s="361"/>
      <c r="AM41" s="361"/>
      <c r="AN41" s="361"/>
      <c r="AO41" s="361"/>
      <c r="AP41" s="361"/>
      <c r="AQ41" s="361"/>
      <c r="AR41" s="361"/>
      <c r="AS41" s="361"/>
      <c r="AT41" s="384"/>
      <c r="AU41" s="357"/>
      <c r="AV41" s="347"/>
      <c r="AW41" s="347"/>
      <c r="AX41" s="347"/>
      <c r="AY41" s="347"/>
      <c r="AZ41" s="358"/>
      <c r="BA41" s="358"/>
      <c r="BB41" s="380">
        <v>180</v>
      </c>
      <c r="BC41" s="380">
        <v>182</v>
      </c>
      <c r="BD41" s="380">
        <v>184</v>
      </c>
      <c r="BE41" s="380">
        <v>185</v>
      </c>
      <c r="BF41" s="380">
        <v>186</v>
      </c>
      <c r="BG41" s="380">
        <v>187</v>
      </c>
      <c r="BH41" s="380">
        <v>188</v>
      </c>
      <c r="BI41" s="380">
        <v>189</v>
      </c>
      <c r="BJ41" s="380">
        <v>190</v>
      </c>
      <c r="BK41" s="380">
        <v>191</v>
      </c>
      <c r="BL41" s="380">
        <v>193</v>
      </c>
      <c r="BM41" s="380">
        <v>194</v>
      </c>
      <c r="BN41" s="380">
        <v>195</v>
      </c>
      <c r="BO41" s="380">
        <v>197</v>
      </c>
      <c r="BP41" s="380">
        <v>307</v>
      </c>
      <c r="BQ41" s="380">
        <v>308</v>
      </c>
      <c r="BR41" s="354"/>
      <c r="BS41" s="354"/>
      <c r="BT41" s="490">
        <v>0.05</v>
      </c>
      <c r="BU41" s="490">
        <v>0.05</v>
      </c>
      <c r="BV41" s="490">
        <v>0.05</v>
      </c>
      <c r="BW41" s="490">
        <v>0.05</v>
      </c>
      <c r="BX41" s="490">
        <v>0.05</v>
      </c>
      <c r="BY41" s="490">
        <v>0.05</v>
      </c>
      <c r="BZ41" s="490">
        <v>0.05</v>
      </c>
      <c r="CA41" s="490">
        <v>0.05</v>
      </c>
      <c r="CB41" s="355"/>
      <c r="CC41" s="355"/>
      <c r="CD41" s="355"/>
      <c r="CE41" s="355"/>
      <c r="CF41" s="355"/>
      <c r="CG41" s="355"/>
      <c r="CH41" s="355"/>
      <c r="CI41" s="355"/>
      <c r="CJ41" s="355"/>
      <c r="CK41" s="355"/>
    </row>
    <row r="42" spans="2:89" s="313" customFormat="1" ht="180" x14ac:dyDescent="0.2">
      <c r="B42" s="483"/>
      <c r="C42" s="385">
        <v>39</v>
      </c>
      <c r="D42" s="812">
        <v>199</v>
      </c>
      <c r="E42" s="386" t="s">
        <v>1721</v>
      </c>
      <c r="F42" s="379" t="s">
        <v>4</v>
      </c>
      <c r="G42" s="386" t="s">
        <v>1709</v>
      </c>
      <c r="H42" s="386" t="s">
        <v>281</v>
      </c>
      <c r="I42" s="386" t="s">
        <v>1576</v>
      </c>
      <c r="J42" s="386" t="s">
        <v>1720</v>
      </c>
      <c r="K42" s="386" t="s">
        <v>1642</v>
      </c>
      <c r="L42" s="387" t="s">
        <v>243</v>
      </c>
      <c r="M42" s="387">
        <v>0</v>
      </c>
      <c r="N42" s="387">
        <v>2011</v>
      </c>
      <c r="O42" s="387">
        <v>25000</v>
      </c>
      <c r="P42" s="378">
        <v>2342</v>
      </c>
      <c r="Q42" s="381">
        <v>9145</v>
      </c>
      <c r="R42" s="380">
        <v>14693</v>
      </c>
      <c r="S42" s="370"/>
      <c r="T42" s="380" t="s">
        <v>1719</v>
      </c>
      <c r="U42" s="382" t="s">
        <v>1530</v>
      </c>
      <c r="V42" s="382" t="s">
        <v>1908</v>
      </c>
      <c r="W42" s="406">
        <v>42004</v>
      </c>
      <c r="X42" s="361" t="s">
        <v>1718</v>
      </c>
      <c r="Y42" s="408" t="s">
        <v>1909</v>
      </c>
      <c r="Z42" s="361"/>
      <c r="AA42" s="361"/>
      <c r="AB42" s="359"/>
      <c r="AC42" s="362"/>
      <c r="AD42" s="363"/>
      <c r="AE42" s="359"/>
      <c r="AF42" s="361"/>
      <c r="AG42" s="361"/>
      <c r="AH42" s="361"/>
      <c r="AI42" s="361"/>
      <c r="AJ42" s="361"/>
      <c r="AK42" s="361"/>
      <c r="AL42" s="361"/>
      <c r="AM42" s="361"/>
      <c r="AN42" s="361"/>
      <c r="AO42" s="361"/>
      <c r="AP42" s="361"/>
      <c r="AQ42" s="361"/>
      <c r="AR42" s="361"/>
      <c r="AS42" s="361"/>
      <c r="AT42" s="384"/>
      <c r="AU42" s="357"/>
      <c r="AV42" s="347"/>
      <c r="AW42" s="347"/>
      <c r="AX42" s="347"/>
      <c r="AY42" s="347"/>
      <c r="AZ42" s="358"/>
      <c r="BA42" s="358"/>
      <c r="BB42" s="380">
        <v>204</v>
      </c>
      <c r="BC42" s="380">
        <v>205</v>
      </c>
      <c r="BD42" s="380">
        <v>206</v>
      </c>
      <c r="BE42" s="380">
        <v>207</v>
      </c>
      <c r="BF42" s="380">
        <v>208</v>
      </c>
      <c r="BG42" s="380">
        <v>209</v>
      </c>
      <c r="BH42" s="380">
        <v>210</v>
      </c>
      <c r="BI42" s="380">
        <v>211</v>
      </c>
      <c r="BJ42" s="380">
        <v>212</v>
      </c>
      <c r="BK42" s="354"/>
      <c r="BL42" s="354"/>
      <c r="BM42" s="354"/>
      <c r="BN42" s="354"/>
      <c r="BO42" s="354"/>
      <c r="BP42" s="354"/>
      <c r="BQ42" s="354"/>
      <c r="BR42" s="354"/>
      <c r="BS42" s="354"/>
      <c r="BT42" s="486">
        <v>1950</v>
      </c>
      <c r="BU42" s="486">
        <v>1950</v>
      </c>
      <c r="BV42" s="486">
        <v>6600</v>
      </c>
      <c r="BW42" s="486">
        <v>8550</v>
      </c>
      <c r="BX42" s="486">
        <v>6700</v>
      </c>
      <c r="BY42" s="486">
        <v>15250</v>
      </c>
      <c r="BZ42" s="486">
        <v>9750</v>
      </c>
      <c r="CA42" s="486">
        <v>25000</v>
      </c>
      <c r="CB42" s="355"/>
      <c r="CC42" s="355"/>
      <c r="CD42" s="355"/>
      <c r="CE42" s="355"/>
      <c r="CF42" s="355"/>
      <c r="CG42" s="355"/>
      <c r="CH42" s="355"/>
      <c r="CI42" s="355"/>
      <c r="CJ42" s="355"/>
      <c r="CK42" s="355"/>
    </row>
    <row r="43" spans="2:89" s="313" customFormat="1" ht="36" x14ac:dyDescent="0.2">
      <c r="B43" s="483"/>
      <c r="C43" s="377">
        <v>40</v>
      </c>
      <c r="D43" s="812">
        <v>200</v>
      </c>
      <c r="E43" s="386" t="s">
        <v>1705</v>
      </c>
      <c r="F43" s="379" t="s">
        <v>4</v>
      </c>
      <c r="G43" s="379" t="s">
        <v>1709</v>
      </c>
      <c r="H43" s="379" t="s">
        <v>1717</v>
      </c>
      <c r="I43" s="386" t="s">
        <v>1576</v>
      </c>
      <c r="J43" s="379" t="s">
        <v>1716</v>
      </c>
      <c r="K43" s="386" t="s">
        <v>1642</v>
      </c>
      <c r="L43" s="387" t="s">
        <v>243</v>
      </c>
      <c r="M43" s="429">
        <v>0</v>
      </c>
      <c r="N43" s="387">
        <v>2011</v>
      </c>
      <c r="O43" s="387">
        <v>21000</v>
      </c>
      <c r="P43" s="430">
        <v>3475</v>
      </c>
      <c r="Q43" s="430">
        <v>6146</v>
      </c>
      <c r="R43" s="430">
        <v>15000</v>
      </c>
      <c r="S43" s="66"/>
      <c r="T43" s="329" t="s">
        <v>7</v>
      </c>
      <c r="U43" s="405" t="s">
        <v>1529</v>
      </c>
      <c r="V43" s="405" t="s">
        <v>1710</v>
      </c>
      <c r="W43" s="406" t="s">
        <v>1892</v>
      </c>
      <c r="X43" s="431" t="s">
        <v>1978</v>
      </c>
      <c r="Y43" s="432" t="s">
        <v>1979</v>
      </c>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47"/>
      <c r="AX43" s="347"/>
      <c r="AY43" s="347"/>
      <c r="AZ43" s="358"/>
      <c r="BA43" s="358"/>
      <c r="BB43" s="380">
        <v>266</v>
      </c>
      <c r="BC43" s="380">
        <v>281</v>
      </c>
      <c r="BD43" s="380">
        <v>213</v>
      </c>
      <c r="BE43" s="380">
        <v>216</v>
      </c>
      <c r="BF43" s="380">
        <v>231</v>
      </c>
      <c r="BG43" s="380">
        <v>233</v>
      </c>
      <c r="BH43" s="380">
        <v>236</v>
      </c>
      <c r="BI43" s="380">
        <v>237</v>
      </c>
      <c r="BJ43" s="380">
        <v>280</v>
      </c>
      <c r="BK43" s="380">
        <v>149</v>
      </c>
      <c r="BL43" s="354"/>
      <c r="BM43" s="354"/>
      <c r="BN43" s="354"/>
      <c r="BO43" s="354"/>
      <c r="BP43" s="354"/>
      <c r="BQ43" s="354"/>
      <c r="BR43" s="354"/>
      <c r="BS43" s="354"/>
      <c r="BT43" s="486">
        <v>1000</v>
      </c>
      <c r="BU43" s="486">
        <v>1000</v>
      </c>
      <c r="BV43" s="486">
        <v>7000</v>
      </c>
      <c r="BW43" s="486">
        <v>8000</v>
      </c>
      <c r="BX43" s="486">
        <v>6000</v>
      </c>
      <c r="BY43" s="486">
        <v>14000</v>
      </c>
      <c r="BZ43" s="486">
        <v>7000</v>
      </c>
      <c r="CA43" s="486">
        <v>21000</v>
      </c>
      <c r="CB43" s="355"/>
      <c r="CC43" s="355"/>
      <c r="CD43" s="355"/>
      <c r="CE43" s="355"/>
      <c r="CF43" s="355"/>
      <c r="CG43" s="355"/>
      <c r="CH43" s="355"/>
      <c r="CI43" s="355"/>
      <c r="CJ43" s="355"/>
      <c r="CK43" s="355"/>
    </row>
    <row r="44" spans="2:89" s="313" customFormat="1" ht="36" x14ac:dyDescent="0.2">
      <c r="B44" s="483"/>
      <c r="C44" s="385">
        <v>41</v>
      </c>
      <c r="D44" s="812">
        <v>201</v>
      </c>
      <c r="E44" s="521" t="s">
        <v>3</v>
      </c>
      <c r="F44" s="520" t="s">
        <v>4</v>
      </c>
      <c r="G44" s="521" t="s">
        <v>1709</v>
      </c>
      <c r="H44" s="521" t="s">
        <v>280</v>
      </c>
      <c r="I44" s="521" t="s">
        <v>1576</v>
      </c>
      <c r="J44" s="521" t="s">
        <v>1715</v>
      </c>
      <c r="K44" s="386" t="s">
        <v>1642</v>
      </c>
      <c r="L44" s="387" t="s">
        <v>243</v>
      </c>
      <c r="M44" s="387">
        <v>0</v>
      </c>
      <c r="N44" s="387"/>
      <c r="O44" s="387">
        <v>45000</v>
      </c>
      <c r="P44" s="423">
        <v>13945</v>
      </c>
      <c r="Q44" s="424">
        <v>15450</v>
      </c>
      <c r="R44" s="424">
        <v>16000</v>
      </c>
      <c r="S44" s="370"/>
      <c r="T44" s="412" t="s">
        <v>1714</v>
      </c>
      <c r="U44" s="382" t="s">
        <v>1529</v>
      </c>
      <c r="V44" s="382" t="s">
        <v>1713</v>
      </c>
      <c r="W44" s="383">
        <v>41886</v>
      </c>
      <c r="X44" s="413" t="s">
        <v>1712</v>
      </c>
      <c r="Y44" s="360"/>
      <c r="Z44" s="361"/>
      <c r="AA44" s="361"/>
      <c r="AB44" s="359"/>
      <c r="AC44" s="362"/>
      <c r="AD44" s="363"/>
      <c r="AE44" s="359"/>
      <c r="AF44" s="361"/>
      <c r="AG44" s="361"/>
      <c r="AH44" s="361"/>
      <c r="AI44" s="361"/>
      <c r="AJ44" s="361"/>
      <c r="AK44" s="361"/>
      <c r="AL44" s="361"/>
      <c r="AM44" s="361"/>
      <c r="AN44" s="361"/>
      <c r="AO44" s="361"/>
      <c r="AP44" s="361"/>
      <c r="AQ44" s="361"/>
      <c r="AR44" s="361"/>
      <c r="AS44" s="361"/>
      <c r="AT44" s="384"/>
      <c r="AU44" s="357"/>
      <c r="AV44" s="347"/>
      <c r="AW44" s="347"/>
      <c r="AX44" s="347"/>
      <c r="AY44" s="347"/>
      <c r="AZ44" s="358"/>
      <c r="BA44" s="358"/>
      <c r="BB44" s="380">
        <v>243</v>
      </c>
      <c r="BC44" s="380">
        <v>234</v>
      </c>
      <c r="BD44" s="380">
        <v>241</v>
      </c>
      <c r="BE44" s="380">
        <v>242</v>
      </c>
      <c r="BF44" s="380">
        <v>244</v>
      </c>
      <c r="BG44" s="380">
        <v>305</v>
      </c>
      <c r="BH44" s="354"/>
      <c r="BI44" s="354"/>
      <c r="BJ44" s="354"/>
      <c r="BK44" s="354"/>
      <c r="BL44" s="354"/>
      <c r="BM44" s="354"/>
      <c r="BN44" s="354"/>
      <c r="BO44" s="354"/>
      <c r="BP44" s="354"/>
      <c r="BQ44" s="354"/>
      <c r="BR44" s="354"/>
      <c r="BS44" s="354"/>
      <c r="BT44" s="486">
        <v>11250</v>
      </c>
      <c r="BU44" s="486">
        <v>11250</v>
      </c>
      <c r="BV44" s="486">
        <v>11250</v>
      </c>
      <c r="BW44" s="486">
        <v>22500</v>
      </c>
      <c r="BX44" s="486">
        <v>11250</v>
      </c>
      <c r="BY44" s="486">
        <v>33750</v>
      </c>
      <c r="BZ44" s="486">
        <v>11250</v>
      </c>
      <c r="CA44" s="486">
        <v>45000</v>
      </c>
      <c r="CB44" s="355"/>
      <c r="CC44" s="355"/>
      <c r="CD44" s="355"/>
      <c r="CE44" s="355"/>
      <c r="CF44" s="355"/>
      <c r="CG44" s="355"/>
      <c r="CH44" s="355"/>
      <c r="CI44" s="355"/>
      <c r="CJ44" s="355"/>
      <c r="CK44" s="355"/>
    </row>
    <row r="45" spans="2:89" s="313" customFormat="1" ht="48" x14ac:dyDescent="0.2">
      <c r="B45" s="483"/>
      <c r="C45" s="377">
        <v>42</v>
      </c>
      <c r="D45" s="812">
        <v>202</v>
      </c>
      <c r="E45" s="386" t="s">
        <v>1705</v>
      </c>
      <c r="F45" s="379" t="s">
        <v>4</v>
      </c>
      <c r="G45" s="386" t="s">
        <v>1709</v>
      </c>
      <c r="H45" s="386" t="s">
        <v>279</v>
      </c>
      <c r="I45" s="386" t="s">
        <v>1576</v>
      </c>
      <c r="J45" s="386" t="s">
        <v>1711</v>
      </c>
      <c r="K45" s="386" t="s">
        <v>1642</v>
      </c>
      <c r="L45" s="387" t="s">
        <v>243</v>
      </c>
      <c r="M45" s="387">
        <v>0</v>
      </c>
      <c r="N45" s="387">
        <v>2011</v>
      </c>
      <c r="O45" s="387">
        <v>30000</v>
      </c>
      <c r="P45" s="430">
        <v>200</v>
      </c>
      <c r="Q45" s="430">
        <v>6766</v>
      </c>
      <c r="R45" s="430">
        <v>2656</v>
      </c>
      <c r="S45" s="370"/>
      <c r="T45" s="329" t="s">
        <v>7</v>
      </c>
      <c r="U45" s="405" t="s">
        <v>1529</v>
      </c>
      <c r="V45" s="405" t="s">
        <v>1710</v>
      </c>
      <c r="W45" s="406" t="s">
        <v>1892</v>
      </c>
      <c r="X45" s="431" t="s">
        <v>1978</v>
      </c>
      <c r="Y45" s="433" t="s">
        <v>1910</v>
      </c>
      <c r="Z45" s="361"/>
      <c r="AA45" s="361"/>
      <c r="AB45" s="359"/>
      <c r="AC45" s="362"/>
      <c r="AD45" s="363"/>
      <c r="AE45" s="359"/>
      <c r="AF45" s="361"/>
      <c r="AG45" s="361"/>
      <c r="AH45" s="361"/>
      <c r="AI45" s="361"/>
      <c r="AJ45" s="361"/>
      <c r="AK45" s="361"/>
      <c r="AL45" s="361"/>
      <c r="AM45" s="361"/>
      <c r="AN45" s="361"/>
      <c r="AO45" s="361"/>
      <c r="AP45" s="361"/>
      <c r="AQ45" s="361"/>
      <c r="AR45" s="361"/>
      <c r="AS45" s="361"/>
      <c r="AT45" s="384"/>
      <c r="AU45" s="357"/>
      <c r="AV45" s="347"/>
      <c r="AW45" s="347"/>
      <c r="AX45" s="347"/>
      <c r="AY45" s="347"/>
      <c r="AZ45" s="358"/>
      <c r="BA45" s="358"/>
      <c r="BB45" s="380">
        <v>220</v>
      </c>
      <c r="BC45" s="380">
        <v>222</v>
      </c>
      <c r="BD45" s="380">
        <v>181</v>
      </c>
      <c r="BE45" s="380">
        <v>214</v>
      </c>
      <c r="BF45" s="380">
        <v>215</v>
      </c>
      <c r="BG45" s="380">
        <v>217</v>
      </c>
      <c r="BH45" s="380">
        <v>218</v>
      </c>
      <c r="BI45" s="380">
        <v>221</v>
      </c>
      <c r="BJ45" s="380">
        <v>223</v>
      </c>
      <c r="BK45" s="380">
        <v>225</v>
      </c>
      <c r="BL45" s="380">
        <v>226</v>
      </c>
      <c r="BM45" s="380">
        <v>227</v>
      </c>
      <c r="BN45" s="380">
        <v>228</v>
      </c>
      <c r="BO45" s="380">
        <v>229</v>
      </c>
      <c r="BP45" s="380">
        <v>230</v>
      </c>
      <c r="BQ45" s="380">
        <v>232</v>
      </c>
      <c r="BR45" s="380">
        <v>235</v>
      </c>
      <c r="BS45" s="354"/>
      <c r="BT45" s="486">
        <v>1000</v>
      </c>
      <c r="BU45" s="486">
        <v>1000</v>
      </c>
      <c r="BV45" s="486">
        <v>7000</v>
      </c>
      <c r="BW45" s="486">
        <v>8000</v>
      </c>
      <c r="BX45" s="486">
        <v>9000</v>
      </c>
      <c r="BY45" s="486">
        <v>17000</v>
      </c>
      <c r="BZ45" s="486">
        <v>13000</v>
      </c>
      <c r="CA45" s="486">
        <v>30000</v>
      </c>
      <c r="CB45" s="355"/>
      <c r="CC45" s="355"/>
      <c r="CD45" s="355"/>
      <c r="CE45" s="355"/>
      <c r="CF45" s="355"/>
      <c r="CG45" s="355"/>
      <c r="CH45" s="355"/>
      <c r="CI45" s="355"/>
      <c r="CJ45" s="355"/>
      <c r="CK45" s="355"/>
    </row>
    <row r="46" spans="2:89" s="313" customFormat="1" ht="72" x14ac:dyDescent="0.2">
      <c r="B46" s="483"/>
      <c r="C46" s="385">
        <v>43</v>
      </c>
      <c r="D46" s="812">
        <v>203</v>
      </c>
      <c r="E46" s="386" t="s">
        <v>1510</v>
      </c>
      <c r="F46" s="379" t="s">
        <v>4</v>
      </c>
      <c r="G46" s="386" t="s">
        <v>1709</v>
      </c>
      <c r="H46" s="386" t="s">
        <v>278</v>
      </c>
      <c r="I46" s="386" t="s">
        <v>1576</v>
      </c>
      <c r="J46" s="386" t="s">
        <v>1708</v>
      </c>
      <c r="K46" s="386" t="s">
        <v>1707</v>
      </c>
      <c r="L46" s="387" t="s">
        <v>243</v>
      </c>
      <c r="M46" s="387">
        <v>0</v>
      </c>
      <c r="N46" s="387">
        <v>2011</v>
      </c>
      <c r="O46" s="387">
        <v>80</v>
      </c>
      <c r="P46" s="378">
        <v>0</v>
      </c>
      <c r="Q46" s="434">
        <v>30</v>
      </c>
      <c r="R46" s="435">
        <v>30</v>
      </c>
      <c r="S46" s="370"/>
      <c r="T46" s="380" t="s">
        <v>1706</v>
      </c>
      <c r="U46" s="382" t="s">
        <v>1530</v>
      </c>
      <c r="V46" s="382" t="s">
        <v>1706</v>
      </c>
      <c r="W46" s="383" t="s">
        <v>1888</v>
      </c>
      <c r="X46" s="384" t="s">
        <v>1911</v>
      </c>
      <c r="Y46" s="360" t="s">
        <v>1980</v>
      </c>
      <c r="Z46" s="361"/>
      <c r="AA46" s="361"/>
      <c r="AB46" s="361"/>
      <c r="AC46" s="362"/>
      <c r="AD46" s="363"/>
      <c r="AE46" s="359"/>
      <c r="AF46" s="361"/>
      <c r="AG46" s="361"/>
      <c r="AH46" s="361"/>
      <c r="AI46" s="361"/>
      <c r="AJ46" s="361"/>
      <c r="AK46" s="361"/>
      <c r="AL46" s="361"/>
      <c r="AM46" s="361"/>
      <c r="AN46" s="361"/>
      <c r="AO46" s="361"/>
      <c r="AP46" s="361"/>
      <c r="AQ46" s="361"/>
      <c r="AR46" s="361"/>
      <c r="AS46" s="361"/>
      <c r="AT46" s="384"/>
      <c r="AU46" s="357"/>
      <c r="AV46" s="347"/>
      <c r="AW46" s="347"/>
      <c r="AX46" s="347"/>
      <c r="AY46" s="347"/>
      <c r="AZ46" s="358"/>
      <c r="BA46" s="356"/>
      <c r="BB46" s="380">
        <v>219</v>
      </c>
      <c r="BC46" s="380">
        <v>224</v>
      </c>
      <c r="BD46" s="380">
        <v>238</v>
      </c>
      <c r="BE46" s="380">
        <v>239</v>
      </c>
      <c r="BF46" s="380">
        <v>240</v>
      </c>
      <c r="BG46" s="380">
        <v>245</v>
      </c>
      <c r="BH46" s="380">
        <v>246</v>
      </c>
      <c r="BI46" s="380">
        <v>286</v>
      </c>
      <c r="BJ46" s="380">
        <v>287</v>
      </c>
      <c r="BK46" s="380">
        <v>288</v>
      </c>
      <c r="BL46" s="354"/>
      <c r="BM46" s="354"/>
      <c r="BN46" s="354"/>
      <c r="BO46" s="354"/>
      <c r="BP46" s="354"/>
      <c r="BQ46" s="354"/>
      <c r="BR46" s="354"/>
      <c r="BS46" s="354"/>
      <c r="BT46" s="490">
        <v>0</v>
      </c>
      <c r="BU46" s="490">
        <v>0</v>
      </c>
      <c r="BV46" s="490">
        <v>0.3</v>
      </c>
      <c r="BW46" s="496">
        <v>0.3</v>
      </c>
      <c r="BX46" s="490">
        <v>0.3</v>
      </c>
      <c r="BY46" s="490">
        <v>0.6</v>
      </c>
      <c r="BZ46" s="490">
        <v>0.2</v>
      </c>
      <c r="CA46" s="490">
        <v>0.8</v>
      </c>
      <c r="CB46" s="355"/>
      <c r="CC46" s="355"/>
      <c r="CD46" s="355"/>
      <c r="CE46" s="355"/>
      <c r="CF46" s="355"/>
      <c r="CG46" s="355"/>
      <c r="CH46" s="355"/>
      <c r="CI46" s="355"/>
      <c r="CJ46" s="355"/>
      <c r="CK46" s="355"/>
    </row>
    <row r="47" spans="2:89" s="313" customFormat="1" ht="120" x14ac:dyDescent="0.2">
      <c r="B47" s="483"/>
      <c r="C47" s="377">
        <v>44</v>
      </c>
      <c r="D47" s="812">
        <v>247</v>
      </c>
      <c r="E47" s="386" t="s">
        <v>1705</v>
      </c>
      <c r="F47" s="379" t="s">
        <v>4</v>
      </c>
      <c r="G47" s="386" t="s">
        <v>1704</v>
      </c>
      <c r="H47" s="386" t="s">
        <v>277</v>
      </c>
      <c r="I47" s="386" t="s">
        <v>1576</v>
      </c>
      <c r="J47" s="386" t="s">
        <v>1703</v>
      </c>
      <c r="K47" s="386" t="s">
        <v>1582</v>
      </c>
      <c r="L47" s="387" t="s">
        <v>243</v>
      </c>
      <c r="M47" s="387">
        <v>0</v>
      </c>
      <c r="N47" s="387">
        <v>2011</v>
      </c>
      <c r="O47" s="387">
        <v>10</v>
      </c>
      <c r="P47" s="378">
        <v>4.7300000000000004</v>
      </c>
      <c r="Q47" s="381">
        <v>10.8</v>
      </c>
      <c r="R47" s="380">
        <v>19.600000000000001</v>
      </c>
      <c r="S47" s="370"/>
      <c r="T47" s="329" t="s">
        <v>7</v>
      </c>
      <c r="U47" s="405" t="s">
        <v>1529</v>
      </c>
      <c r="V47" s="405" t="s">
        <v>1702</v>
      </c>
      <c r="W47" s="406" t="s">
        <v>1892</v>
      </c>
      <c r="X47" s="407" t="s">
        <v>1981</v>
      </c>
      <c r="Y47" s="408" t="s">
        <v>1982</v>
      </c>
      <c r="Z47" s="361"/>
      <c r="AA47" s="361"/>
      <c r="AB47" s="359"/>
      <c r="AC47" s="362"/>
      <c r="AD47" s="363"/>
      <c r="AE47" s="359"/>
      <c r="AF47" s="361"/>
      <c r="AG47" s="361"/>
      <c r="AH47" s="361"/>
      <c r="AI47" s="361"/>
      <c r="AJ47" s="361"/>
      <c r="AK47" s="361"/>
      <c r="AL47" s="361"/>
      <c r="AM47" s="361"/>
      <c r="AN47" s="361"/>
      <c r="AO47" s="361"/>
      <c r="AP47" s="361"/>
      <c r="AQ47" s="361"/>
      <c r="AR47" s="361"/>
      <c r="AS47" s="361"/>
      <c r="AT47" s="384"/>
      <c r="AU47" s="357"/>
      <c r="AV47" s="347"/>
      <c r="AW47" s="347"/>
      <c r="AX47" s="347"/>
      <c r="AY47" s="347"/>
      <c r="AZ47" s="358"/>
      <c r="BA47" s="358"/>
      <c r="BB47" s="380">
        <v>248</v>
      </c>
      <c r="BC47" s="380">
        <v>249</v>
      </c>
      <c r="BD47" s="380">
        <v>250</v>
      </c>
      <c r="BE47" s="380">
        <v>252</v>
      </c>
      <c r="BF47" s="380">
        <v>253</v>
      </c>
      <c r="BG47" s="380">
        <v>254</v>
      </c>
      <c r="BH47" s="380">
        <v>255</v>
      </c>
      <c r="BI47" s="380">
        <v>256</v>
      </c>
      <c r="BJ47" s="354"/>
      <c r="BK47" s="354"/>
      <c r="BL47" s="354"/>
      <c r="BM47" s="354"/>
      <c r="BN47" s="354"/>
      <c r="BO47" s="354"/>
      <c r="BP47" s="354"/>
      <c r="BQ47" s="354"/>
      <c r="BR47" s="354"/>
      <c r="BS47" s="354"/>
      <c r="BT47" s="486">
        <v>2</v>
      </c>
      <c r="BU47" s="486">
        <v>2</v>
      </c>
      <c r="BV47" s="486">
        <v>1</v>
      </c>
      <c r="BW47" s="486">
        <v>3</v>
      </c>
      <c r="BX47" s="486">
        <v>3</v>
      </c>
      <c r="BY47" s="486">
        <v>6</v>
      </c>
      <c r="BZ47" s="486">
        <v>4</v>
      </c>
      <c r="CA47" s="486">
        <v>10</v>
      </c>
      <c r="CB47" s="355"/>
      <c r="CC47" s="355"/>
      <c r="CD47" s="355"/>
      <c r="CE47" s="355"/>
      <c r="CF47" s="355"/>
      <c r="CG47" s="355"/>
      <c r="CH47" s="355"/>
      <c r="CI47" s="355"/>
      <c r="CJ47" s="355"/>
      <c r="CK47" s="355"/>
    </row>
    <row r="48" spans="2:89" s="313" customFormat="1" ht="60" x14ac:dyDescent="0.2">
      <c r="B48" s="483"/>
      <c r="C48" s="385">
        <v>45</v>
      </c>
      <c r="D48" s="812">
        <v>257</v>
      </c>
      <c r="E48" s="386" t="s">
        <v>15</v>
      </c>
      <c r="F48" s="379" t="s">
        <v>4</v>
      </c>
      <c r="G48" s="386" t="s">
        <v>1701</v>
      </c>
      <c r="H48" s="386" t="s">
        <v>276</v>
      </c>
      <c r="I48" s="386" t="s">
        <v>1576</v>
      </c>
      <c r="J48" s="386" t="s">
        <v>1700</v>
      </c>
      <c r="K48" s="386" t="s">
        <v>1593</v>
      </c>
      <c r="L48" s="387" t="s">
        <v>243</v>
      </c>
      <c r="M48" s="387">
        <v>0</v>
      </c>
      <c r="N48" s="387">
        <v>2011</v>
      </c>
      <c r="O48" s="387">
        <v>116</v>
      </c>
      <c r="P48" s="378">
        <v>0</v>
      </c>
      <c r="Q48" s="381">
        <v>116</v>
      </c>
      <c r="R48" s="380">
        <v>116</v>
      </c>
      <c r="S48" s="370"/>
      <c r="T48" s="380" t="s">
        <v>15</v>
      </c>
      <c r="U48" s="363" t="s">
        <v>1529</v>
      </c>
      <c r="V48" s="382" t="s">
        <v>1699</v>
      </c>
      <c r="W48" s="383">
        <v>42004</v>
      </c>
      <c r="X48" s="360" t="s">
        <v>1983</v>
      </c>
      <c r="Y48" s="360" t="s">
        <v>1698</v>
      </c>
      <c r="Z48" s="361"/>
      <c r="AA48" s="361"/>
      <c r="AB48" s="359"/>
      <c r="AC48" s="362"/>
      <c r="AD48" s="363"/>
      <c r="AE48" s="359"/>
      <c r="AF48" s="361"/>
      <c r="AG48" s="361"/>
      <c r="AH48" s="361"/>
      <c r="AI48" s="361"/>
      <c r="AJ48" s="361"/>
      <c r="AK48" s="361"/>
      <c r="AL48" s="361"/>
      <c r="AM48" s="361"/>
      <c r="AN48" s="361"/>
      <c r="AO48" s="361"/>
      <c r="AP48" s="361"/>
      <c r="AQ48" s="361"/>
      <c r="AR48" s="361"/>
      <c r="AS48" s="361"/>
      <c r="AT48" s="384"/>
      <c r="AU48" s="357"/>
      <c r="AV48" s="347"/>
      <c r="AW48" s="347"/>
      <c r="AX48" s="347"/>
      <c r="AY48" s="347"/>
      <c r="AZ48" s="358"/>
      <c r="BA48" s="358"/>
      <c r="BB48" s="380">
        <v>258</v>
      </c>
      <c r="BC48" s="380">
        <v>259</v>
      </c>
      <c r="BD48" s="380">
        <v>261</v>
      </c>
      <c r="BE48" s="380">
        <v>262</v>
      </c>
      <c r="BF48" s="380">
        <v>263</v>
      </c>
      <c r="BG48" s="380">
        <v>264</v>
      </c>
      <c r="BH48" s="380">
        <v>265</v>
      </c>
      <c r="BI48" s="380">
        <v>267</v>
      </c>
      <c r="BJ48" s="380">
        <v>268</v>
      </c>
      <c r="BK48" s="380">
        <v>324</v>
      </c>
      <c r="BL48" s="380">
        <v>466</v>
      </c>
      <c r="BM48" s="380">
        <v>467</v>
      </c>
      <c r="BN48" s="380"/>
      <c r="BO48" s="354"/>
      <c r="BP48" s="354"/>
      <c r="BQ48" s="354"/>
      <c r="BR48" s="354"/>
      <c r="BS48" s="354"/>
      <c r="BT48" s="486">
        <v>35</v>
      </c>
      <c r="BU48" s="486">
        <v>35</v>
      </c>
      <c r="BV48" s="486">
        <v>25</v>
      </c>
      <c r="BW48" s="486">
        <v>60</v>
      </c>
      <c r="BX48" s="486">
        <v>28</v>
      </c>
      <c r="BY48" s="486">
        <v>88</v>
      </c>
      <c r="BZ48" s="486">
        <v>28</v>
      </c>
      <c r="CA48" s="486">
        <v>116</v>
      </c>
      <c r="CB48" s="355"/>
      <c r="CC48" s="355"/>
      <c r="CD48" s="355"/>
      <c r="CE48" s="355"/>
      <c r="CF48" s="355"/>
      <c r="CG48" s="355"/>
      <c r="CH48" s="355"/>
      <c r="CI48" s="355"/>
      <c r="CJ48" s="355"/>
      <c r="CK48" s="355"/>
    </row>
    <row r="49" spans="2:89" s="313" customFormat="1" ht="48" x14ac:dyDescent="0.2">
      <c r="B49" s="483"/>
      <c r="C49" s="377">
        <v>46</v>
      </c>
      <c r="D49" s="812">
        <v>269</v>
      </c>
      <c r="E49" s="379" t="s">
        <v>1515</v>
      </c>
      <c r="F49" s="379" t="s">
        <v>4</v>
      </c>
      <c r="G49" s="379" t="s">
        <v>1697</v>
      </c>
      <c r="H49" s="379" t="s">
        <v>275</v>
      </c>
      <c r="I49" s="379" t="s">
        <v>1576</v>
      </c>
      <c r="J49" s="379" t="s">
        <v>1696</v>
      </c>
      <c r="K49" s="379" t="s">
        <v>1593</v>
      </c>
      <c r="L49" s="380" t="s">
        <v>243</v>
      </c>
      <c r="M49" s="380">
        <v>0</v>
      </c>
      <c r="N49" s="380">
        <v>2011</v>
      </c>
      <c r="O49" s="380">
        <v>116</v>
      </c>
      <c r="P49" s="378">
        <v>18</v>
      </c>
      <c r="Q49" s="381">
        <v>20</v>
      </c>
      <c r="R49" s="361">
        <v>94</v>
      </c>
      <c r="S49" s="359"/>
      <c r="T49" s="379" t="s">
        <v>1613</v>
      </c>
      <c r="U49" s="382" t="s">
        <v>1530</v>
      </c>
      <c r="V49" s="382" t="s">
        <v>1695</v>
      </c>
      <c r="W49" s="383" t="s">
        <v>1611</v>
      </c>
      <c r="X49" s="360" t="s">
        <v>1694</v>
      </c>
      <c r="Y49" s="360" t="s">
        <v>1693</v>
      </c>
      <c r="Z49" s="361"/>
      <c r="AA49" s="361"/>
      <c r="AB49" s="359"/>
      <c r="AC49" s="362"/>
      <c r="AD49" s="363"/>
      <c r="AE49" s="359"/>
      <c r="AF49" s="361"/>
      <c r="AG49" s="361"/>
      <c r="AH49" s="361"/>
      <c r="AI49" s="361"/>
      <c r="AJ49" s="361"/>
      <c r="AK49" s="361"/>
      <c r="AL49" s="361"/>
      <c r="AM49" s="361"/>
      <c r="AN49" s="361"/>
      <c r="AO49" s="361"/>
      <c r="AP49" s="361"/>
      <c r="AQ49" s="361"/>
      <c r="AR49" s="361"/>
      <c r="AS49" s="361"/>
      <c r="AT49" s="384"/>
      <c r="AU49" s="357"/>
      <c r="AV49" s="347"/>
      <c r="AW49" s="347"/>
      <c r="AX49" s="347"/>
      <c r="AY49" s="347"/>
      <c r="AZ49" s="358"/>
      <c r="BA49" s="358"/>
      <c r="BB49" s="380">
        <v>270</v>
      </c>
      <c r="BC49" s="380">
        <v>271</v>
      </c>
      <c r="BD49" s="380">
        <v>272</v>
      </c>
      <c r="BE49" s="380">
        <v>273</v>
      </c>
      <c r="BF49" s="380">
        <v>274</v>
      </c>
      <c r="BG49" s="380">
        <v>275</v>
      </c>
      <c r="BH49" s="380">
        <v>276</v>
      </c>
      <c r="BI49" s="380">
        <v>277</v>
      </c>
      <c r="BJ49" s="380">
        <v>278</v>
      </c>
      <c r="BK49" s="380">
        <v>279</v>
      </c>
      <c r="BL49" s="380">
        <v>282</v>
      </c>
      <c r="BM49" s="380">
        <v>285</v>
      </c>
      <c r="BN49" s="380">
        <v>289</v>
      </c>
      <c r="BO49" s="380">
        <v>290</v>
      </c>
      <c r="BP49" s="380">
        <v>291</v>
      </c>
      <c r="BQ49" s="380">
        <v>292</v>
      </c>
      <c r="BR49" s="380">
        <v>293</v>
      </c>
      <c r="BS49" s="380">
        <v>297</v>
      </c>
      <c r="BT49" s="486">
        <v>0</v>
      </c>
      <c r="BU49" s="486">
        <v>0</v>
      </c>
      <c r="BV49" s="486">
        <v>58</v>
      </c>
      <c r="BW49" s="486">
        <v>58</v>
      </c>
      <c r="BX49" s="486">
        <v>58</v>
      </c>
      <c r="BY49" s="486">
        <v>116</v>
      </c>
      <c r="BZ49" s="486">
        <v>0</v>
      </c>
      <c r="CA49" s="486">
        <v>116</v>
      </c>
      <c r="CB49" s="380"/>
      <c r="CC49" s="380"/>
      <c r="CD49" s="380"/>
      <c r="CE49" s="380"/>
      <c r="CF49" s="380"/>
      <c r="CG49" s="380"/>
      <c r="CH49" s="380"/>
      <c r="CI49" s="380"/>
      <c r="CJ49" s="380"/>
      <c r="CK49" s="380"/>
    </row>
    <row r="50" spans="2:89" s="313" customFormat="1" ht="84" x14ac:dyDescent="0.2">
      <c r="B50" s="483"/>
      <c r="C50" s="385">
        <v>47</v>
      </c>
      <c r="D50" s="812">
        <v>327</v>
      </c>
      <c r="E50" s="386" t="s">
        <v>1511</v>
      </c>
      <c r="F50" s="379" t="s">
        <v>5</v>
      </c>
      <c r="G50" s="386" t="s">
        <v>1692</v>
      </c>
      <c r="H50" s="386" t="s">
        <v>274</v>
      </c>
      <c r="I50" s="386" t="s">
        <v>1576</v>
      </c>
      <c r="J50" s="386" t="s">
        <v>1691</v>
      </c>
      <c r="K50" s="386" t="s">
        <v>1690</v>
      </c>
      <c r="L50" s="387" t="s">
        <v>243</v>
      </c>
      <c r="M50" s="387">
        <v>0</v>
      </c>
      <c r="N50" s="387">
        <v>2011</v>
      </c>
      <c r="O50" s="387">
        <v>4</v>
      </c>
      <c r="P50" s="378">
        <v>0</v>
      </c>
      <c r="Q50" s="434">
        <v>0</v>
      </c>
      <c r="R50" s="380">
        <v>1</v>
      </c>
      <c r="S50" s="370"/>
      <c r="T50" s="380" t="s">
        <v>1937</v>
      </c>
      <c r="U50" s="363" t="s">
        <v>1529</v>
      </c>
      <c r="V50" s="382" t="s">
        <v>1938</v>
      </c>
      <c r="W50" s="383">
        <v>42004</v>
      </c>
      <c r="X50" s="360"/>
      <c r="Y50" s="360"/>
      <c r="Z50" s="361"/>
      <c r="AA50" s="361"/>
      <c r="AB50" s="359"/>
      <c r="AC50" s="362"/>
      <c r="AD50" s="363"/>
      <c r="AE50" s="359"/>
      <c r="AF50" s="361"/>
      <c r="AG50" s="361"/>
      <c r="AH50" s="361"/>
      <c r="AI50" s="361"/>
      <c r="AJ50" s="361"/>
      <c r="AK50" s="361"/>
      <c r="AL50" s="361"/>
      <c r="AM50" s="361"/>
      <c r="AN50" s="361"/>
      <c r="AO50" s="361"/>
      <c r="AP50" s="361"/>
      <c r="AQ50" s="361"/>
      <c r="AR50" s="361"/>
      <c r="AS50" s="361"/>
      <c r="AT50" s="384"/>
      <c r="AU50" s="357"/>
      <c r="AV50" s="347"/>
      <c r="AW50" s="347"/>
      <c r="AX50" s="347"/>
      <c r="AY50" s="347"/>
      <c r="AZ50" s="358"/>
      <c r="BA50" s="358"/>
      <c r="BB50" s="380">
        <v>498</v>
      </c>
      <c r="BC50" s="380">
        <v>499</v>
      </c>
      <c r="BD50" s="380">
        <v>500</v>
      </c>
      <c r="BE50" s="380">
        <v>328</v>
      </c>
      <c r="BF50" s="380">
        <v>330</v>
      </c>
      <c r="BG50" s="380">
        <v>331</v>
      </c>
      <c r="BH50" s="380">
        <v>332</v>
      </c>
      <c r="BI50" s="380"/>
      <c r="BJ50" s="354"/>
      <c r="BK50" s="354"/>
      <c r="BL50" s="354"/>
      <c r="BM50" s="354"/>
      <c r="BN50" s="354"/>
      <c r="BO50" s="354"/>
      <c r="BP50" s="354"/>
      <c r="BQ50" s="354"/>
      <c r="BR50" s="354"/>
      <c r="BS50" s="354"/>
      <c r="BT50" s="497">
        <v>0</v>
      </c>
      <c r="BU50" s="486">
        <v>0</v>
      </c>
      <c r="BV50" s="486">
        <v>0</v>
      </c>
      <c r="BW50" s="486">
        <v>0</v>
      </c>
      <c r="BX50" s="497">
        <v>0</v>
      </c>
      <c r="BY50" s="486">
        <v>0</v>
      </c>
      <c r="BZ50" s="497">
        <v>4</v>
      </c>
      <c r="CA50" s="486">
        <v>4</v>
      </c>
      <c r="CB50" s="355"/>
      <c r="CC50" s="355"/>
      <c r="CD50" s="355"/>
      <c r="CE50" s="355"/>
      <c r="CF50" s="355"/>
      <c r="CG50" s="355"/>
      <c r="CH50" s="355"/>
      <c r="CI50" s="355"/>
      <c r="CJ50" s="355"/>
      <c r="CK50" s="355"/>
    </row>
    <row r="51" spans="2:89" s="313" customFormat="1" ht="120" x14ac:dyDescent="0.2">
      <c r="B51" s="483"/>
      <c r="C51" s="377">
        <v>48</v>
      </c>
      <c r="D51" s="812">
        <v>334</v>
      </c>
      <c r="E51" s="386" t="s">
        <v>1523</v>
      </c>
      <c r="F51" s="379" t="s">
        <v>5</v>
      </c>
      <c r="G51" s="386" t="s">
        <v>1688</v>
      </c>
      <c r="H51" s="386" t="s">
        <v>273</v>
      </c>
      <c r="I51" s="386" t="s">
        <v>1576</v>
      </c>
      <c r="J51" s="386" t="s">
        <v>1689</v>
      </c>
      <c r="K51" s="386" t="s">
        <v>1659</v>
      </c>
      <c r="L51" s="387" t="s">
        <v>243</v>
      </c>
      <c r="M51" s="387">
        <v>27000</v>
      </c>
      <c r="N51" s="387">
        <v>2011</v>
      </c>
      <c r="O51" s="387">
        <v>31000</v>
      </c>
      <c r="P51" s="425">
        <v>27555</v>
      </c>
      <c r="Q51" s="480">
        <v>31460</v>
      </c>
      <c r="R51" s="480">
        <v>33552</v>
      </c>
      <c r="S51" s="370"/>
      <c r="T51" s="380" t="s">
        <v>105</v>
      </c>
      <c r="U51" s="363" t="s">
        <v>1530</v>
      </c>
      <c r="V51" s="382" t="s">
        <v>1686</v>
      </c>
      <c r="W51" s="383" t="s">
        <v>1912</v>
      </c>
      <c r="X51" s="360"/>
      <c r="Y51" s="360" t="s">
        <v>1984</v>
      </c>
      <c r="Z51" s="361"/>
      <c r="AA51" s="361"/>
      <c r="AB51" s="359"/>
      <c r="AC51" s="362"/>
      <c r="AD51" s="363"/>
      <c r="AE51" s="359"/>
      <c r="AF51" s="361"/>
      <c r="AG51" s="361"/>
      <c r="AH51" s="361"/>
      <c r="AI51" s="361"/>
      <c r="AJ51" s="361"/>
      <c r="AK51" s="361"/>
      <c r="AL51" s="361"/>
      <c r="AM51" s="361"/>
      <c r="AN51" s="361"/>
      <c r="AO51" s="361"/>
      <c r="AP51" s="361"/>
      <c r="AQ51" s="361"/>
      <c r="AR51" s="361"/>
      <c r="AS51" s="361"/>
      <c r="AT51" s="384"/>
      <c r="AU51" s="357"/>
      <c r="AV51" s="347"/>
      <c r="AW51" s="347"/>
      <c r="AX51" s="347"/>
      <c r="AY51" s="347"/>
      <c r="AZ51" s="358"/>
      <c r="BA51" s="358"/>
      <c r="BB51" s="380">
        <v>336</v>
      </c>
      <c r="BC51" s="380">
        <v>338</v>
      </c>
      <c r="BD51" s="380">
        <v>340</v>
      </c>
      <c r="BE51" s="380">
        <v>345</v>
      </c>
      <c r="BF51" s="354"/>
      <c r="BG51" s="354"/>
      <c r="BH51" s="354"/>
      <c r="BI51" s="354"/>
      <c r="BJ51" s="354"/>
      <c r="BK51" s="354"/>
      <c r="BL51" s="354"/>
      <c r="BM51" s="354"/>
      <c r="BN51" s="354"/>
      <c r="BO51" s="354"/>
      <c r="BP51" s="354"/>
      <c r="BQ51" s="354"/>
      <c r="BR51" s="354"/>
      <c r="BS51" s="354"/>
      <c r="BT51" s="497">
        <v>750</v>
      </c>
      <c r="BU51" s="498">
        <v>27750</v>
      </c>
      <c r="BV51" s="410">
        <v>1250</v>
      </c>
      <c r="BW51" s="486">
        <v>29000</v>
      </c>
      <c r="BX51" s="497">
        <v>1000</v>
      </c>
      <c r="BY51" s="486">
        <v>30000</v>
      </c>
      <c r="BZ51" s="497">
        <v>1000</v>
      </c>
      <c r="CA51" s="486">
        <v>31000</v>
      </c>
      <c r="CB51" s="355"/>
      <c r="CC51" s="355"/>
      <c r="CD51" s="355"/>
      <c r="CE51" s="355"/>
      <c r="CF51" s="355"/>
      <c r="CG51" s="355"/>
      <c r="CH51" s="355"/>
      <c r="CI51" s="355"/>
      <c r="CJ51" s="355"/>
      <c r="CK51" s="355"/>
    </row>
    <row r="52" spans="2:89" s="313" customFormat="1" ht="348" x14ac:dyDescent="0.2">
      <c r="B52" s="483"/>
      <c r="C52" s="385">
        <v>49</v>
      </c>
      <c r="D52" s="812">
        <v>335</v>
      </c>
      <c r="E52" s="386" t="s">
        <v>1523</v>
      </c>
      <c r="F52" s="379" t="s">
        <v>5</v>
      </c>
      <c r="G52" s="386" t="s">
        <v>1688</v>
      </c>
      <c r="H52" s="386" t="s">
        <v>272</v>
      </c>
      <c r="I52" s="386" t="s">
        <v>1576</v>
      </c>
      <c r="J52" s="386" t="s">
        <v>1687</v>
      </c>
      <c r="K52" s="386" t="s">
        <v>1669</v>
      </c>
      <c r="L52" s="387" t="s">
        <v>243</v>
      </c>
      <c r="M52" s="387">
        <v>0</v>
      </c>
      <c r="N52" s="387">
        <v>2011</v>
      </c>
      <c r="O52" s="387">
        <v>10000</v>
      </c>
      <c r="P52" s="425">
        <v>1500</v>
      </c>
      <c r="Q52" s="438">
        <v>5690</v>
      </c>
      <c r="R52" s="438">
        <v>7500</v>
      </c>
      <c r="S52" s="370"/>
      <c r="T52" s="380" t="s">
        <v>105</v>
      </c>
      <c r="U52" s="382" t="s">
        <v>1529</v>
      </c>
      <c r="V52" s="382" t="s">
        <v>1686</v>
      </c>
      <c r="W52" s="383" t="s">
        <v>1912</v>
      </c>
      <c r="X52" s="360"/>
      <c r="Y52" s="360" t="s">
        <v>1985</v>
      </c>
      <c r="Z52" s="361"/>
      <c r="AA52" s="361"/>
      <c r="AB52" s="359"/>
      <c r="AC52" s="362"/>
      <c r="AD52" s="363"/>
      <c r="AE52" s="359"/>
      <c r="AF52" s="361"/>
      <c r="AG52" s="361"/>
      <c r="AH52" s="361"/>
      <c r="AI52" s="361"/>
      <c r="AJ52" s="361"/>
      <c r="AK52" s="361"/>
      <c r="AL52" s="361"/>
      <c r="AM52" s="361"/>
      <c r="AN52" s="361"/>
      <c r="AO52" s="361"/>
      <c r="AP52" s="361"/>
      <c r="AQ52" s="361"/>
      <c r="AR52" s="361"/>
      <c r="AS52" s="361"/>
      <c r="AT52" s="384"/>
      <c r="AU52" s="357"/>
      <c r="AV52" s="347"/>
      <c r="AW52" s="347"/>
      <c r="AX52" s="347"/>
      <c r="AY52" s="347"/>
      <c r="AZ52" s="358"/>
      <c r="BA52" s="358"/>
      <c r="BB52" s="380">
        <v>337</v>
      </c>
      <c r="BC52" s="380">
        <v>339</v>
      </c>
      <c r="BD52" s="380">
        <v>341</v>
      </c>
      <c r="BE52" s="380">
        <v>342</v>
      </c>
      <c r="BF52" s="380">
        <v>343</v>
      </c>
      <c r="BG52" s="380">
        <v>344</v>
      </c>
      <c r="BH52" s="380">
        <v>346</v>
      </c>
      <c r="BI52" s="354"/>
      <c r="BJ52" s="354"/>
      <c r="BK52" s="354"/>
      <c r="BL52" s="354"/>
      <c r="BM52" s="354"/>
      <c r="BN52" s="354"/>
      <c r="BO52" s="354"/>
      <c r="BP52" s="354"/>
      <c r="BQ52" s="354"/>
      <c r="BR52" s="354"/>
      <c r="BS52" s="354"/>
      <c r="BT52" s="497">
        <v>1500</v>
      </c>
      <c r="BU52" s="486">
        <v>1500</v>
      </c>
      <c r="BV52" s="486">
        <v>3000</v>
      </c>
      <c r="BW52" s="486">
        <v>4500</v>
      </c>
      <c r="BX52" s="497">
        <v>3000</v>
      </c>
      <c r="BY52" s="486">
        <v>7500</v>
      </c>
      <c r="BZ52" s="497">
        <v>2500</v>
      </c>
      <c r="CA52" s="486">
        <v>10000</v>
      </c>
      <c r="CB52" s="355"/>
      <c r="CC52" s="355"/>
      <c r="CD52" s="355"/>
      <c r="CE52" s="355"/>
      <c r="CF52" s="355"/>
      <c r="CG52" s="355"/>
      <c r="CH52" s="355"/>
      <c r="CI52" s="355"/>
      <c r="CJ52" s="355"/>
      <c r="CK52" s="355"/>
    </row>
    <row r="53" spans="2:89" s="313" customFormat="1" ht="72" x14ac:dyDescent="0.2">
      <c r="B53" s="483"/>
      <c r="C53" s="377">
        <v>50</v>
      </c>
      <c r="D53" s="812">
        <v>347</v>
      </c>
      <c r="E53" s="386" t="s">
        <v>240</v>
      </c>
      <c r="F53" s="379" t="s">
        <v>5</v>
      </c>
      <c r="G53" s="386" t="s">
        <v>1684</v>
      </c>
      <c r="H53" s="386" t="s">
        <v>271</v>
      </c>
      <c r="I53" s="386" t="s">
        <v>1576</v>
      </c>
      <c r="J53" s="386" t="s">
        <v>1685</v>
      </c>
      <c r="K53" s="386" t="s">
        <v>1682</v>
      </c>
      <c r="L53" s="387" t="s">
        <v>243</v>
      </c>
      <c r="M53" s="387">
        <v>1625582</v>
      </c>
      <c r="N53" s="387">
        <v>2011</v>
      </c>
      <c r="O53" s="387">
        <v>1827582</v>
      </c>
      <c r="P53" s="425">
        <v>1625582</v>
      </c>
      <c r="Q53" s="438">
        <v>1726478</v>
      </c>
      <c r="R53" s="438">
        <v>1780921</v>
      </c>
      <c r="S53" s="370"/>
      <c r="T53" s="380" t="s">
        <v>240</v>
      </c>
      <c r="U53" s="382" t="s">
        <v>1530</v>
      </c>
      <c r="V53" s="382" t="s">
        <v>1681</v>
      </c>
      <c r="W53" s="383">
        <v>41820</v>
      </c>
      <c r="X53" s="360" t="s">
        <v>1680</v>
      </c>
      <c r="Y53" s="386" t="s">
        <v>1986</v>
      </c>
      <c r="Z53" s="361"/>
      <c r="AA53" s="361"/>
      <c r="AB53" s="361"/>
      <c r="AC53" s="362"/>
      <c r="AD53" s="363"/>
      <c r="AE53" s="359"/>
      <c r="AF53" s="361"/>
      <c r="AG53" s="361"/>
      <c r="AH53" s="361"/>
      <c r="AI53" s="361"/>
      <c r="AJ53" s="361"/>
      <c r="AK53" s="361"/>
      <c r="AL53" s="361"/>
      <c r="AM53" s="361"/>
      <c r="AN53" s="361"/>
      <c r="AO53" s="361"/>
      <c r="AP53" s="361"/>
      <c r="AQ53" s="361"/>
      <c r="AR53" s="361"/>
      <c r="AS53" s="361"/>
      <c r="AT53" s="384"/>
      <c r="AU53" s="357"/>
      <c r="AV53" s="347"/>
      <c r="AW53" s="347"/>
      <c r="AX53" s="347"/>
      <c r="AY53" s="347"/>
      <c r="AZ53" s="358"/>
      <c r="BA53" s="358"/>
      <c r="BB53" s="380">
        <v>349</v>
      </c>
      <c r="BC53" s="380">
        <v>352</v>
      </c>
      <c r="BD53" s="380">
        <v>354</v>
      </c>
      <c r="BE53" s="380">
        <v>355</v>
      </c>
      <c r="BF53" s="380">
        <v>356</v>
      </c>
      <c r="BG53" s="380">
        <v>357</v>
      </c>
      <c r="BH53" s="380">
        <v>358</v>
      </c>
      <c r="BI53" s="354"/>
      <c r="BJ53" s="354"/>
      <c r="BK53" s="354"/>
      <c r="BL53" s="354"/>
      <c r="BM53" s="354"/>
      <c r="BN53" s="354"/>
      <c r="BO53" s="354"/>
      <c r="BP53" s="354"/>
      <c r="BQ53" s="354"/>
      <c r="BR53" s="354"/>
      <c r="BS53" s="354"/>
      <c r="BT53" s="499">
        <v>0</v>
      </c>
      <c r="BU53" s="498">
        <v>1625582</v>
      </c>
      <c r="BV53" s="486">
        <v>2000</v>
      </c>
      <c r="BW53" s="486">
        <v>1627582</v>
      </c>
      <c r="BX53" s="499">
        <v>50000</v>
      </c>
      <c r="BY53" s="500">
        <v>1677582</v>
      </c>
      <c r="BZ53" s="499">
        <v>150000</v>
      </c>
      <c r="CA53" s="500">
        <v>1827582</v>
      </c>
      <c r="CB53" s="355"/>
      <c r="CC53" s="355"/>
      <c r="CD53" s="355"/>
      <c r="CE53" s="355"/>
      <c r="CF53" s="355"/>
      <c r="CG53" s="355"/>
      <c r="CH53" s="355"/>
      <c r="CI53" s="355"/>
      <c r="CJ53" s="355"/>
      <c r="CK53" s="355"/>
    </row>
    <row r="54" spans="2:89" s="313" customFormat="1" ht="60" x14ac:dyDescent="0.2">
      <c r="B54" s="483"/>
      <c r="C54" s="385">
        <v>51</v>
      </c>
      <c r="D54" s="812">
        <v>348</v>
      </c>
      <c r="E54" s="386" t="s">
        <v>240</v>
      </c>
      <c r="F54" s="379" t="s">
        <v>5</v>
      </c>
      <c r="G54" s="386" t="s">
        <v>1684</v>
      </c>
      <c r="H54" s="386" t="s">
        <v>270</v>
      </c>
      <c r="I54" s="386" t="s">
        <v>1576</v>
      </c>
      <c r="J54" s="386" t="s">
        <v>1683</v>
      </c>
      <c r="K54" s="386" t="s">
        <v>1682</v>
      </c>
      <c r="L54" s="387" t="s">
        <v>243</v>
      </c>
      <c r="M54" s="387">
        <v>1139202</v>
      </c>
      <c r="N54" s="387">
        <v>2011</v>
      </c>
      <c r="O54" s="387">
        <v>1289202</v>
      </c>
      <c r="P54" s="436">
        <v>1139202</v>
      </c>
      <c r="Q54" s="437">
        <v>1172169</v>
      </c>
      <c r="R54" s="437">
        <v>1201848</v>
      </c>
      <c r="S54" s="370"/>
      <c r="T54" s="380" t="s">
        <v>240</v>
      </c>
      <c r="U54" s="382" t="s">
        <v>1530</v>
      </c>
      <c r="V54" s="382" t="s">
        <v>1681</v>
      </c>
      <c r="W54" s="383">
        <v>41820</v>
      </c>
      <c r="X54" s="360" t="s">
        <v>1680</v>
      </c>
      <c r="Y54" s="386" t="s">
        <v>1987</v>
      </c>
      <c r="Z54" s="361"/>
      <c r="AA54" s="361"/>
      <c r="AB54" s="359"/>
      <c r="AC54" s="362"/>
      <c r="AD54" s="363"/>
      <c r="AE54" s="359"/>
      <c r="AF54" s="361"/>
      <c r="AG54" s="361"/>
      <c r="AH54" s="361"/>
      <c r="AI54" s="361"/>
      <c r="AJ54" s="361"/>
      <c r="AK54" s="361"/>
      <c r="AL54" s="361"/>
      <c r="AM54" s="361"/>
      <c r="AN54" s="361"/>
      <c r="AO54" s="361"/>
      <c r="AP54" s="361"/>
      <c r="AQ54" s="361"/>
      <c r="AR54" s="361"/>
      <c r="AS54" s="361"/>
      <c r="AT54" s="384"/>
      <c r="AU54" s="357"/>
      <c r="AV54" s="347"/>
      <c r="AW54" s="347"/>
      <c r="AX54" s="347"/>
      <c r="AY54" s="347"/>
      <c r="AZ54" s="358"/>
      <c r="BA54" s="358"/>
      <c r="BB54" s="380">
        <v>350</v>
      </c>
      <c r="BC54" s="380">
        <v>351</v>
      </c>
      <c r="BD54" s="380">
        <v>353</v>
      </c>
      <c r="BE54" s="354"/>
      <c r="BF54" s="354"/>
      <c r="BG54" s="354"/>
      <c r="BH54" s="354"/>
      <c r="BI54" s="354"/>
      <c r="BJ54" s="354"/>
      <c r="BK54" s="354"/>
      <c r="BL54" s="354"/>
      <c r="BM54" s="354"/>
      <c r="BN54" s="354"/>
      <c r="BO54" s="354"/>
      <c r="BP54" s="354"/>
      <c r="BQ54" s="354"/>
      <c r="BR54" s="354"/>
      <c r="BS54" s="354"/>
      <c r="BT54" s="499">
        <v>2000</v>
      </c>
      <c r="BU54" s="498">
        <v>1141202</v>
      </c>
      <c r="BV54" s="410">
        <v>8000</v>
      </c>
      <c r="BW54" s="500">
        <v>1149202</v>
      </c>
      <c r="BX54" s="500">
        <v>60000</v>
      </c>
      <c r="BY54" s="500">
        <v>1209202</v>
      </c>
      <c r="BZ54" s="500">
        <v>80000</v>
      </c>
      <c r="CA54" s="500">
        <v>1289202</v>
      </c>
      <c r="CB54" s="355"/>
      <c r="CC54" s="355"/>
      <c r="CD54" s="355"/>
      <c r="CE54" s="355"/>
      <c r="CF54" s="355"/>
      <c r="CG54" s="355"/>
      <c r="CH54" s="355"/>
      <c r="CI54" s="355"/>
      <c r="CJ54" s="355"/>
      <c r="CK54" s="355"/>
    </row>
    <row r="55" spans="2:89" s="313" customFormat="1" ht="101.25" customHeight="1" x14ac:dyDescent="0.2">
      <c r="B55" s="483"/>
      <c r="C55" s="377">
        <v>52</v>
      </c>
      <c r="D55" s="812">
        <v>359</v>
      </c>
      <c r="E55" s="386" t="s">
        <v>1524</v>
      </c>
      <c r="F55" s="379" t="s">
        <v>5</v>
      </c>
      <c r="G55" s="386" t="s">
        <v>1678</v>
      </c>
      <c r="H55" s="386" t="s">
        <v>269</v>
      </c>
      <c r="I55" s="386" t="s">
        <v>1576</v>
      </c>
      <c r="J55" s="386" t="s">
        <v>1679</v>
      </c>
      <c r="K55" s="386" t="s">
        <v>1659</v>
      </c>
      <c r="L55" s="387" t="s">
        <v>243</v>
      </c>
      <c r="M55" s="387">
        <v>30000</v>
      </c>
      <c r="N55" s="387">
        <v>2011</v>
      </c>
      <c r="O55" s="387">
        <v>43200</v>
      </c>
      <c r="P55" s="425">
        <v>32230</v>
      </c>
      <c r="Q55" s="438">
        <v>35458</v>
      </c>
      <c r="R55" s="438">
        <v>35458</v>
      </c>
      <c r="S55" s="370"/>
      <c r="T55" s="380" t="s">
        <v>1676</v>
      </c>
      <c r="U55" s="382" t="s">
        <v>1529</v>
      </c>
      <c r="V55" s="382" t="s">
        <v>1676</v>
      </c>
      <c r="W55" s="383" t="s">
        <v>1913</v>
      </c>
      <c r="X55" s="384" t="s">
        <v>2002</v>
      </c>
      <c r="Y55" s="360" t="s">
        <v>1988</v>
      </c>
      <c r="Z55" s="361"/>
      <c r="AA55" s="361"/>
      <c r="AB55" s="359"/>
      <c r="AC55" s="362"/>
      <c r="AD55" s="363"/>
      <c r="AE55" s="359"/>
      <c r="AF55" s="361"/>
      <c r="AG55" s="361"/>
      <c r="AH55" s="361"/>
      <c r="AI55" s="361"/>
      <c r="AJ55" s="361"/>
      <c r="AK55" s="361"/>
      <c r="AL55" s="361"/>
      <c r="AM55" s="361"/>
      <c r="AN55" s="361"/>
      <c r="AO55" s="361"/>
      <c r="AP55" s="361"/>
      <c r="AQ55" s="361"/>
      <c r="AR55" s="361"/>
      <c r="AS55" s="361"/>
      <c r="AT55" s="384"/>
      <c r="AU55" s="357"/>
      <c r="AV55" s="347"/>
      <c r="AW55" s="347"/>
      <c r="AX55" s="347"/>
      <c r="AY55" s="347"/>
      <c r="AZ55" s="358"/>
      <c r="BA55" s="358"/>
      <c r="BB55" s="380">
        <v>365</v>
      </c>
      <c r="BC55" s="380">
        <v>361</v>
      </c>
      <c r="BD55" s="380">
        <v>362</v>
      </c>
      <c r="BE55" s="380">
        <v>363</v>
      </c>
      <c r="BF55" s="380">
        <v>364</v>
      </c>
      <c r="BG55" s="380">
        <v>366</v>
      </c>
      <c r="BH55" s="380">
        <v>367</v>
      </c>
      <c r="BI55" s="380">
        <v>370</v>
      </c>
      <c r="BJ55" s="380">
        <v>371</v>
      </c>
      <c r="BK55" s="380">
        <v>382</v>
      </c>
      <c r="BL55" s="380">
        <v>384</v>
      </c>
      <c r="BM55" s="380">
        <v>383</v>
      </c>
      <c r="BN55" s="380">
        <v>369</v>
      </c>
      <c r="BO55" s="380">
        <v>372</v>
      </c>
      <c r="BP55" s="380">
        <v>373</v>
      </c>
      <c r="BQ55" s="380">
        <v>374</v>
      </c>
      <c r="BR55" s="380">
        <v>386</v>
      </c>
      <c r="BS55" s="380">
        <v>387</v>
      </c>
      <c r="BT55" s="497">
        <v>2000</v>
      </c>
      <c r="BU55" s="498">
        <v>32000</v>
      </c>
      <c r="BV55" s="486">
        <v>3700</v>
      </c>
      <c r="BW55" s="500">
        <v>35700</v>
      </c>
      <c r="BX55" s="497">
        <v>3700</v>
      </c>
      <c r="BY55" s="500">
        <v>39400</v>
      </c>
      <c r="BZ55" s="497">
        <v>3800</v>
      </c>
      <c r="CA55" s="500">
        <v>43200</v>
      </c>
      <c r="CB55" s="355"/>
      <c r="CC55" s="355"/>
      <c r="CD55" s="355"/>
      <c r="CE55" s="355"/>
      <c r="CF55" s="355"/>
      <c r="CG55" s="355"/>
      <c r="CH55" s="355"/>
      <c r="CI55" s="355"/>
      <c r="CJ55" s="355"/>
      <c r="CK55" s="355"/>
    </row>
    <row r="56" spans="2:89" s="313" customFormat="1" ht="48" x14ac:dyDescent="0.2">
      <c r="B56" s="483"/>
      <c r="C56" s="385">
        <v>53</v>
      </c>
      <c r="D56" s="812">
        <v>360</v>
      </c>
      <c r="E56" s="386" t="s">
        <v>1524</v>
      </c>
      <c r="F56" s="379" t="s">
        <v>5</v>
      </c>
      <c r="G56" s="386" t="s">
        <v>1678</v>
      </c>
      <c r="H56" s="386" t="s">
        <v>268</v>
      </c>
      <c r="I56" s="386" t="s">
        <v>1576</v>
      </c>
      <c r="J56" s="386" t="s">
        <v>1677</v>
      </c>
      <c r="K56" s="386" t="s">
        <v>1669</v>
      </c>
      <c r="L56" s="387" t="s">
        <v>243</v>
      </c>
      <c r="M56" s="387">
        <v>4000000</v>
      </c>
      <c r="N56" s="387">
        <v>2011</v>
      </c>
      <c r="O56" s="387">
        <v>4400000</v>
      </c>
      <c r="P56" s="438">
        <v>4559639</v>
      </c>
      <c r="Q56" s="438">
        <v>4634981</v>
      </c>
      <c r="R56" s="438">
        <v>4634981</v>
      </c>
      <c r="S56" s="370"/>
      <c r="T56" s="380" t="s">
        <v>1676</v>
      </c>
      <c r="U56" s="382" t="s">
        <v>1529</v>
      </c>
      <c r="V56" s="382" t="s">
        <v>1676</v>
      </c>
      <c r="W56" s="383" t="s">
        <v>1913</v>
      </c>
      <c r="X56" s="384" t="s">
        <v>1989</v>
      </c>
      <c r="Y56" s="360" t="s">
        <v>2007</v>
      </c>
      <c r="Z56" s="361"/>
      <c r="AA56" s="361"/>
      <c r="AB56" s="359"/>
      <c r="AC56" s="362"/>
      <c r="AD56" s="363"/>
      <c r="AE56" s="359"/>
      <c r="AF56" s="361"/>
      <c r="AG56" s="361"/>
      <c r="AH56" s="361"/>
      <c r="AI56" s="361"/>
      <c r="AJ56" s="361"/>
      <c r="AK56" s="361"/>
      <c r="AL56" s="361"/>
      <c r="AM56" s="361"/>
      <c r="AN56" s="361"/>
      <c r="AO56" s="361"/>
      <c r="AP56" s="361"/>
      <c r="AQ56" s="361"/>
      <c r="AR56" s="361"/>
      <c r="AS56" s="361"/>
      <c r="AT56" s="384"/>
      <c r="AU56" s="357"/>
      <c r="AV56" s="347"/>
      <c r="AW56" s="347"/>
      <c r="AX56" s="347"/>
      <c r="AY56" s="347"/>
      <c r="AZ56" s="358"/>
      <c r="BA56" s="358"/>
      <c r="BB56" s="380">
        <v>368</v>
      </c>
      <c r="BC56" s="380">
        <v>379</v>
      </c>
      <c r="BD56" s="354"/>
      <c r="BE56" s="354"/>
      <c r="BF56" s="354"/>
      <c r="BG56" s="354"/>
      <c r="BH56" s="354"/>
      <c r="BI56" s="354"/>
      <c r="BJ56" s="354"/>
      <c r="BK56" s="354"/>
      <c r="BL56" s="354"/>
      <c r="BM56" s="354"/>
      <c r="BN56" s="354"/>
      <c r="BO56" s="354"/>
      <c r="BP56" s="354"/>
      <c r="BQ56" s="354"/>
      <c r="BR56" s="354"/>
      <c r="BS56" s="354"/>
      <c r="BT56" s="330">
        <v>50000</v>
      </c>
      <c r="BU56" s="498">
        <v>4050000</v>
      </c>
      <c r="BV56" s="410">
        <v>120000</v>
      </c>
      <c r="BW56" s="500">
        <v>4170000</v>
      </c>
      <c r="BX56" s="330">
        <v>120000</v>
      </c>
      <c r="BY56" s="500">
        <v>4290000</v>
      </c>
      <c r="BZ56" s="330">
        <v>110000</v>
      </c>
      <c r="CA56" s="500">
        <v>4400000</v>
      </c>
      <c r="CB56" s="355"/>
      <c r="CC56" s="355"/>
      <c r="CD56" s="355"/>
      <c r="CE56" s="355"/>
      <c r="CF56" s="355"/>
      <c r="CG56" s="355"/>
      <c r="CH56" s="355"/>
      <c r="CI56" s="355"/>
      <c r="CJ56" s="355"/>
      <c r="CK56" s="355"/>
    </row>
    <row r="57" spans="2:89" s="313" customFormat="1" ht="36" x14ac:dyDescent="0.2">
      <c r="B57" s="483"/>
      <c r="C57" s="377">
        <v>54</v>
      </c>
      <c r="D57" s="812">
        <v>375</v>
      </c>
      <c r="E57" s="386" t="s">
        <v>1524</v>
      </c>
      <c r="F57" s="379" t="s">
        <v>5</v>
      </c>
      <c r="G57" s="386" t="s">
        <v>1675</v>
      </c>
      <c r="H57" s="386" t="s">
        <v>267</v>
      </c>
      <c r="I57" s="386" t="s">
        <v>1576</v>
      </c>
      <c r="J57" s="386" t="s">
        <v>1674</v>
      </c>
      <c r="K57" s="386" t="s">
        <v>1642</v>
      </c>
      <c r="L57" s="387" t="s">
        <v>243</v>
      </c>
      <c r="M57" s="387">
        <v>13926</v>
      </c>
      <c r="N57" s="387">
        <v>2011</v>
      </c>
      <c r="O57" s="387">
        <v>19041</v>
      </c>
      <c r="P57" s="425">
        <v>15413</v>
      </c>
      <c r="Q57" s="438">
        <v>19580</v>
      </c>
      <c r="R57" s="438">
        <v>23368</v>
      </c>
      <c r="S57" s="370"/>
      <c r="T57" s="380" t="s">
        <v>1673</v>
      </c>
      <c r="U57" s="382" t="s">
        <v>1529</v>
      </c>
      <c r="V57" s="380" t="s">
        <v>1673</v>
      </c>
      <c r="W57" s="383" t="s">
        <v>1913</v>
      </c>
      <c r="X57" s="384"/>
      <c r="Y57" s="360" t="s">
        <v>1672</v>
      </c>
      <c r="Z57" s="361"/>
      <c r="AA57" s="361"/>
      <c r="AB57" s="359"/>
      <c r="AC57" s="362"/>
      <c r="AD57" s="363"/>
      <c r="AE57" s="359"/>
      <c r="AF57" s="361"/>
      <c r="AG57" s="361"/>
      <c r="AH57" s="361"/>
      <c r="AI57" s="361"/>
      <c r="AJ57" s="361"/>
      <c r="AK57" s="361"/>
      <c r="AL57" s="361"/>
      <c r="AM57" s="361"/>
      <c r="AN57" s="361"/>
      <c r="AO57" s="361"/>
      <c r="AP57" s="361"/>
      <c r="AQ57" s="361"/>
      <c r="AR57" s="361"/>
      <c r="AS57" s="361"/>
      <c r="AT57" s="384"/>
      <c r="AU57" s="357"/>
      <c r="AV57" s="347"/>
      <c r="AW57" s="347"/>
      <c r="AX57" s="347"/>
      <c r="AY57" s="347"/>
      <c r="AZ57" s="358"/>
      <c r="BA57" s="358"/>
      <c r="BB57" s="380">
        <v>376</v>
      </c>
      <c r="BC57" s="380">
        <v>377</v>
      </c>
      <c r="BD57" s="380">
        <v>378</v>
      </c>
      <c r="BE57" s="380">
        <v>380</v>
      </c>
      <c r="BF57" s="380">
        <v>381</v>
      </c>
      <c r="BG57" s="380">
        <v>385</v>
      </c>
      <c r="BH57" s="354"/>
      <c r="BI57" s="354"/>
      <c r="BJ57" s="354"/>
      <c r="BK57" s="354"/>
      <c r="BL57" s="354"/>
      <c r="BM57" s="354"/>
      <c r="BN57" s="354"/>
      <c r="BO57" s="354"/>
      <c r="BP57" s="354"/>
      <c r="BQ57" s="354"/>
      <c r="BR57" s="354"/>
      <c r="BS57" s="354"/>
      <c r="BT57" s="497">
        <v>600</v>
      </c>
      <c r="BU57" s="498">
        <v>14526</v>
      </c>
      <c r="BV57" s="486">
        <v>2000</v>
      </c>
      <c r="BW57" s="500">
        <v>16526</v>
      </c>
      <c r="BX57" s="497">
        <v>1500</v>
      </c>
      <c r="BY57" s="500">
        <v>18026</v>
      </c>
      <c r="BZ57" s="497">
        <v>1015</v>
      </c>
      <c r="CA57" s="500">
        <v>19041</v>
      </c>
      <c r="CB57" s="355"/>
      <c r="CC57" s="355"/>
      <c r="CD57" s="355"/>
      <c r="CE57" s="355"/>
      <c r="CF57" s="355"/>
      <c r="CG57" s="355"/>
      <c r="CH57" s="355"/>
      <c r="CI57" s="355"/>
      <c r="CJ57" s="355"/>
      <c r="CK57" s="355"/>
    </row>
    <row r="58" spans="2:89" s="313" customFormat="1" ht="72" x14ac:dyDescent="0.2">
      <c r="B58" s="483"/>
      <c r="C58" s="385">
        <v>55</v>
      </c>
      <c r="D58" s="812">
        <v>388</v>
      </c>
      <c r="E58" s="386" t="s">
        <v>1523</v>
      </c>
      <c r="F58" s="379" t="s">
        <v>5</v>
      </c>
      <c r="G58" s="386" t="s">
        <v>1671</v>
      </c>
      <c r="H58" s="386" t="s">
        <v>266</v>
      </c>
      <c r="I58" s="386" t="s">
        <v>1576</v>
      </c>
      <c r="J58" s="386" t="s">
        <v>1670</v>
      </c>
      <c r="K58" s="386" t="s">
        <v>1669</v>
      </c>
      <c r="L58" s="387" t="s">
        <v>1546</v>
      </c>
      <c r="M58" s="387">
        <v>1200</v>
      </c>
      <c r="N58" s="387">
        <v>2011</v>
      </c>
      <c r="O58" s="387">
        <v>1150</v>
      </c>
      <c r="P58" s="439">
        <v>1010</v>
      </c>
      <c r="Q58" s="381">
        <v>1098</v>
      </c>
      <c r="R58" s="380">
        <v>1125</v>
      </c>
      <c r="S58" s="370"/>
      <c r="T58" s="440" t="s">
        <v>1668</v>
      </c>
      <c r="U58" s="382" t="s">
        <v>1529</v>
      </c>
      <c r="V58" s="382" t="s">
        <v>1667</v>
      </c>
      <c r="W58" s="383" t="s">
        <v>1912</v>
      </c>
      <c r="X58" s="360" t="s">
        <v>1990</v>
      </c>
      <c r="Y58" s="360" t="s">
        <v>1666</v>
      </c>
      <c r="Z58" s="361"/>
      <c r="AA58" s="361"/>
      <c r="AB58" s="359"/>
      <c r="AC58" s="362"/>
      <c r="AD58" s="363"/>
      <c r="AE58" s="359"/>
      <c r="AF58" s="361"/>
      <c r="AG58" s="361"/>
      <c r="AH58" s="361"/>
      <c r="AI58" s="361"/>
      <c r="AJ58" s="361"/>
      <c r="AK58" s="361"/>
      <c r="AL58" s="361"/>
      <c r="AM58" s="361"/>
      <c r="AN58" s="361"/>
      <c r="AO58" s="361"/>
      <c r="AP58" s="361"/>
      <c r="AQ58" s="361"/>
      <c r="AR58" s="361"/>
      <c r="AS58" s="361"/>
      <c r="AT58" s="384"/>
      <c r="AU58" s="357"/>
      <c r="AV58" s="347"/>
      <c r="AW58" s="347"/>
      <c r="AX58" s="347"/>
      <c r="AY58" s="347"/>
      <c r="AZ58" s="358"/>
      <c r="BA58" s="358"/>
      <c r="BB58" s="380">
        <v>389</v>
      </c>
      <c r="BC58" s="380">
        <v>390</v>
      </c>
      <c r="BD58" s="380">
        <v>391</v>
      </c>
      <c r="BE58" s="380">
        <v>392</v>
      </c>
      <c r="BF58" s="380">
        <v>393</v>
      </c>
      <c r="BG58" s="380">
        <v>394</v>
      </c>
      <c r="BH58" s="380">
        <v>395</v>
      </c>
      <c r="BI58" s="380">
        <v>396</v>
      </c>
      <c r="BJ58" s="354"/>
      <c r="BK58" s="354"/>
      <c r="BL58" s="354"/>
      <c r="BM58" s="354"/>
      <c r="BN58" s="354"/>
      <c r="BO58" s="354"/>
      <c r="BP58" s="354"/>
      <c r="BQ58" s="354"/>
      <c r="BR58" s="354"/>
      <c r="BS58" s="354"/>
      <c r="BT58" s="497">
        <v>0</v>
      </c>
      <c r="BU58" s="498">
        <v>1200</v>
      </c>
      <c r="BV58" s="410">
        <v>0</v>
      </c>
      <c r="BW58" s="500">
        <v>1200</v>
      </c>
      <c r="BX58" s="497">
        <v>25</v>
      </c>
      <c r="BY58" s="500">
        <v>1175</v>
      </c>
      <c r="BZ58" s="497">
        <v>25</v>
      </c>
      <c r="CA58" s="500">
        <v>1150</v>
      </c>
      <c r="CB58" s="355"/>
      <c r="CC58" s="355"/>
      <c r="CD58" s="355"/>
      <c r="CE58" s="355"/>
      <c r="CF58" s="355"/>
      <c r="CG58" s="355"/>
      <c r="CH58" s="355"/>
      <c r="CI58" s="355"/>
      <c r="CJ58" s="355"/>
      <c r="CK58" s="355"/>
    </row>
    <row r="59" spans="2:89" s="313" customFormat="1" ht="60" x14ac:dyDescent="0.2">
      <c r="B59" s="483"/>
      <c r="C59" s="377">
        <v>56</v>
      </c>
      <c r="D59" s="812">
        <v>397</v>
      </c>
      <c r="E59" s="386" t="s">
        <v>20</v>
      </c>
      <c r="F59" s="379" t="s">
        <v>5</v>
      </c>
      <c r="G59" s="386" t="s">
        <v>1663</v>
      </c>
      <c r="H59" s="386" t="s">
        <v>265</v>
      </c>
      <c r="I59" s="386" t="s">
        <v>1576</v>
      </c>
      <c r="J59" s="386" t="s">
        <v>1665</v>
      </c>
      <c r="K59" s="386" t="s">
        <v>1664</v>
      </c>
      <c r="L59" s="387" t="s">
        <v>243</v>
      </c>
      <c r="M59" s="387">
        <v>0</v>
      </c>
      <c r="N59" s="387">
        <v>2011</v>
      </c>
      <c r="O59" s="387">
        <v>7</v>
      </c>
      <c r="P59" s="378">
        <v>0</v>
      </c>
      <c r="Q59" s="434">
        <v>0</v>
      </c>
      <c r="R59" s="380">
        <v>0</v>
      </c>
      <c r="S59" s="370"/>
      <c r="T59" s="380"/>
      <c r="U59" s="363"/>
      <c r="V59" s="382"/>
      <c r="W59" s="383"/>
      <c r="X59" s="360"/>
      <c r="Y59" s="360"/>
      <c r="Z59" s="361"/>
      <c r="AA59" s="361"/>
      <c r="AB59" s="359"/>
      <c r="AC59" s="362"/>
      <c r="AD59" s="363"/>
      <c r="AE59" s="359"/>
      <c r="AF59" s="361"/>
      <c r="AG59" s="361"/>
      <c r="AH59" s="361"/>
      <c r="AI59" s="361"/>
      <c r="AJ59" s="361"/>
      <c r="AK59" s="361"/>
      <c r="AL59" s="361"/>
      <c r="AM59" s="361"/>
      <c r="AN59" s="361"/>
      <c r="AO59" s="361"/>
      <c r="AP59" s="361"/>
      <c r="AQ59" s="361"/>
      <c r="AR59" s="361"/>
      <c r="AS59" s="361"/>
      <c r="AT59" s="384"/>
      <c r="AU59" s="357"/>
      <c r="AV59" s="347"/>
      <c r="AW59" s="347"/>
      <c r="AX59" s="347"/>
      <c r="AY59" s="347"/>
      <c r="AZ59" s="358"/>
      <c r="BA59" s="358"/>
      <c r="BB59" s="380">
        <v>399</v>
      </c>
      <c r="BC59" s="380">
        <v>400</v>
      </c>
      <c r="BD59" s="380">
        <v>401</v>
      </c>
      <c r="BE59" s="380">
        <v>402</v>
      </c>
      <c r="BF59" s="380">
        <v>404</v>
      </c>
      <c r="BG59" s="380">
        <v>405</v>
      </c>
      <c r="BH59" s="380">
        <v>406</v>
      </c>
      <c r="BI59" s="380">
        <v>407</v>
      </c>
      <c r="BJ59" s="354"/>
      <c r="BK59" s="354"/>
      <c r="BL59" s="354"/>
      <c r="BM59" s="354"/>
      <c r="BN59" s="354"/>
      <c r="BO59" s="354"/>
      <c r="BP59" s="354"/>
      <c r="BQ59" s="354"/>
      <c r="BR59" s="354"/>
      <c r="BS59" s="354"/>
      <c r="BT59" s="497">
        <v>0</v>
      </c>
      <c r="BU59" s="498">
        <v>0</v>
      </c>
      <c r="BV59" s="410">
        <v>3</v>
      </c>
      <c r="BW59" s="500">
        <v>3</v>
      </c>
      <c r="BX59" s="497">
        <v>4</v>
      </c>
      <c r="BY59" s="500">
        <v>7</v>
      </c>
      <c r="BZ59" s="497">
        <v>0</v>
      </c>
      <c r="CA59" s="500">
        <v>7</v>
      </c>
      <c r="CB59" s="355"/>
      <c r="CC59" s="355"/>
      <c r="CD59" s="355"/>
      <c r="CE59" s="355"/>
      <c r="CF59" s="355"/>
      <c r="CG59" s="355"/>
      <c r="CH59" s="355"/>
      <c r="CI59" s="355"/>
      <c r="CJ59" s="355"/>
      <c r="CK59" s="355"/>
    </row>
    <row r="60" spans="2:89" s="313" customFormat="1" ht="84" x14ac:dyDescent="0.2">
      <c r="B60" s="483"/>
      <c r="C60" s="385">
        <v>57</v>
      </c>
      <c r="D60" s="812">
        <v>398</v>
      </c>
      <c r="E60" s="386" t="s">
        <v>1623</v>
      </c>
      <c r="F60" s="379" t="s">
        <v>5</v>
      </c>
      <c r="G60" s="386" t="s">
        <v>1663</v>
      </c>
      <c r="H60" s="386" t="s">
        <v>264</v>
      </c>
      <c r="I60" s="386" t="s">
        <v>1576</v>
      </c>
      <c r="J60" s="386" t="s">
        <v>1662</v>
      </c>
      <c r="K60" s="386" t="s">
        <v>1582</v>
      </c>
      <c r="L60" s="387" t="s">
        <v>243</v>
      </c>
      <c r="M60" s="387">
        <v>0</v>
      </c>
      <c r="N60" s="387">
        <v>2011</v>
      </c>
      <c r="O60" s="387">
        <v>10</v>
      </c>
      <c r="P60" s="378">
        <v>0</v>
      </c>
      <c r="Q60" s="434">
        <v>0</v>
      </c>
      <c r="R60" s="380">
        <v>4</v>
      </c>
      <c r="S60" s="370"/>
      <c r="T60" s="380" t="s">
        <v>1914</v>
      </c>
      <c r="U60" s="382" t="s">
        <v>1529</v>
      </c>
      <c r="V60" s="382" t="s">
        <v>1915</v>
      </c>
      <c r="W60" s="383">
        <v>42004</v>
      </c>
      <c r="X60" s="360"/>
      <c r="Y60" s="360" t="s">
        <v>1991</v>
      </c>
      <c r="Z60" s="361"/>
      <c r="AA60" s="361"/>
      <c r="AB60" s="359"/>
      <c r="AC60" s="362"/>
      <c r="AD60" s="363"/>
      <c r="AE60" s="359"/>
      <c r="AF60" s="361"/>
      <c r="AG60" s="361"/>
      <c r="AH60" s="361"/>
      <c r="AI60" s="361"/>
      <c r="AJ60" s="361"/>
      <c r="AK60" s="361"/>
      <c r="AL60" s="361"/>
      <c r="AM60" s="361"/>
      <c r="AN60" s="361"/>
      <c r="AO60" s="361"/>
      <c r="AP60" s="361"/>
      <c r="AQ60" s="361"/>
      <c r="AR60" s="361"/>
      <c r="AS60" s="361"/>
      <c r="AT60" s="384"/>
      <c r="AU60" s="357"/>
      <c r="AV60" s="347"/>
      <c r="AW60" s="347"/>
      <c r="AX60" s="347"/>
      <c r="AY60" s="347"/>
      <c r="AZ60" s="358"/>
      <c r="BA60" s="358"/>
      <c r="BB60" s="380">
        <v>403</v>
      </c>
      <c r="BC60" s="380">
        <v>408</v>
      </c>
      <c r="BD60" s="380">
        <v>409</v>
      </c>
      <c r="BE60" s="380">
        <v>410</v>
      </c>
      <c r="BF60" s="354"/>
      <c r="BG60" s="354"/>
      <c r="BH60" s="354"/>
      <c r="BI60" s="354"/>
      <c r="BJ60" s="354"/>
      <c r="BK60" s="354"/>
      <c r="BL60" s="354"/>
      <c r="BM60" s="354"/>
      <c r="BN60" s="354"/>
      <c r="BO60" s="354"/>
      <c r="BP60" s="354"/>
      <c r="BQ60" s="354"/>
      <c r="BR60" s="354"/>
      <c r="BS60" s="354"/>
      <c r="BT60" s="501">
        <v>0</v>
      </c>
      <c r="BU60" s="502">
        <v>0</v>
      </c>
      <c r="BV60" s="410">
        <v>2</v>
      </c>
      <c r="BW60" s="502">
        <v>0.02</v>
      </c>
      <c r="BX60" s="503">
        <v>2</v>
      </c>
      <c r="BY60" s="502">
        <v>0.04</v>
      </c>
      <c r="BZ60" s="503">
        <v>6</v>
      </c>
      <c r="CA60" s="502">
        <v>0.1</v>
      </c>
      <c r="CB60" s="355"/>
      <c r="CC60" s="355"/>
      <c r="CD60" s="355"/>
      <c r="CE60" s="355"/>
      <c r="CF60" s="355"/>
      <c r="CG60" s="355"/>
      <c r="CH60" s="355"/>
      <c r="CI60" s="355"/>
      <c r="CJ60" s="355"/>
      <c r="CK60" s="355"/>
    </row>
    <row r="61" spans="2:89" s="313" customFormat="1" ht="66" customHeight="1" x14ac:dyDescent="0.2">
      <c r="B61" s="483"/>
      <c r="C61" s="377">
        <v>58</v>
      </c>
      <c r="D61" s="812">
        <v>411</v>
      </c>
      <c r="E61" s="386" t="s">
        <v>1522</v>
      </c>
      <c r="F61" s="379" t="s">
        <v>5</v>
      </c>
      <c r="G61" s="386" t="s">
        <v>1661</v>
      </c>
      <c r="H61" s="386" t="s">
        <v>263</v>
      </c>
      <c r="I61" s="386" t="s">
        <v>1576</v>
      </c>
      <c r="J61" s="386" t="s">
        <v>1660</v>
      </c>
      <c r="K61" s="386" t="s">
        <v>1659</v>
      </c>
      <c r="L61" s="387" t="s">
        <v>243</v>
      </c>
      <c r="M61" s="387">
        <v>7732</v>
      </c>
      <c r="N61" s="387">
        <v>2011</v>
      </c>
      <c r="O61" s="387">
        <v>10132</v>
      </c>
      <c r="P61" s="378">
        <v>7782</v>
      </c>
      <c r="Q61" s="434">
        <v>8232</v>
      </c>
      <c r="R61" s="434">
        <v>9254</v>
      </c>
      <c r="S61" s="370"/>
      <c r="T61" s="380" t="s">
        <v>1658</v>
      </c>
      <c r="U61" s="363" t="s">
        <v>1529</v>
      </c>
      <c r="V61" s="382"/>
      <c r="W61" s="383"/>
      <c r="X61" s="360" t="s">
        <v>1992</v>
      </c>
      <c r="Y61" s="360"/>
      <c r="Z61" s="361"/>
      <c r="AA61" s="361"/>
      <c r="AB61" s="359"/>
      <c r="AC61" s="362"/>
      <c r="AD61" s="363"/>
      <c r="AE61" s="359"/>
      <c r="AF61" s="361"/>
      <c r="AG61" s="361"/>
      <c r="AH61" s="361"/>
      <c r="AI61" s="361"/>
      <c r="AJ61" s="361"/>
      <c r="AK61" s="361"/>
      <c r="AL61" s="361"/>
      <c r="AM61" s="361"/>
      <c r="AN61" s="361"/>
      <c r="AO61" s="361"/>
      <c r="AP61" s="361"/>
      <c r="AQ61" s="361"/>
      <c r="AR61" s="361"/>
      <c r="AS61" s="361"/>
      <c r="AT61" s="384"/>
      <c r="AU61" s="357"/>
      <c r="AV61" s="347"/>
      <c r="AW61" s="347"/>
      <c r="AX61" s="347"/>
      <c r="AY61" s="347"/>
      <c r="AZ61" s="358"/>
      <c r="BA61" s="358"/>
      <c r="BB61" s="380">
        <v>412</v>
      </c>
      <c r="BC61" s="380">
        <v>413</v>
      </c>
      <c r="BD61" s="380">
        <v>414</v>
      </c>
      <c r="BE61" s="380">
        <v>415</v>
      </c>
      <c r="BF61" s="380">
        <v>416</v>
      </c>
      <c r="BG61" s="380">
        <v>417</v>
      </c>
      <c r="BH61" s="380">
        <v>418</v>
      </c>
      <c r="BI61" s="380">
        <v>419</v>
      </c>
      <c r="BJ61" s="380">
        <v>420</v>
      </c>
      <c r="BK61" s="380">
        <v>421</v>
      </c>
      <c r="BL61" s="354"/>
      <c r="BM61" s="354"/>
      <c r="BN61" s="354"/>
      <c r="BO61" s="354"/>
      <c r="BP61" s="354"/>
      <c r="BQ61" s="354"/>
      <c r="BR61" s="354"/>
      <c r="BS61" s="354"/>
      <c r="BT61" s="499">
        <v>100</v>
      </c>
      <c r="BU61" s="498">
        <v>7832</v>
      </c>
      <c r="BV61" s="486">
        <v>300</v>
      </c>
      <c r="BW61" s="500">
        <v>8132</v>
      </c>
      <c r="BX61" s="499">
        <v>1000</v>
      </c>
      <c r="BY61" s="500">
        <v>9132</v>
      </c>
      <c r="BZ61" s="499">
        <v>1000</v>
      </c>
      <c r="CA61" s="500">
        <v>10132</v>
      </c>
      <c r="CB61" s="355"/>
      <c r="CC61" s="355"/>
      <c r="CD61" s="355"/>
      <c r="CE61" s="355"/>
      <c r="CF61" s="355"/>
      <c r="CG61" s="355"/>
      <c r="CH61" s="355"/>
      <c r="CI61" s="355"/>
      <c r="CJ61" s="355"/>
      <c r="CK61" s="355"/>
    </row>
    <row r="62" spans="2:89" s="313" customFormat="1" ht="48" x14ac:dyDescent="0.2">
      <c r="B62" s="483"/>
      <c r="C62" s="385">
        <v>59</v>
      </c>
      <c r="D62" s="812">
        <v>422</v>
      </c>
      <c r="E62" s="386" t="s">
        <v>1520</v>
      </c>
      <c r="F62" s="379" t="s">
        <v>1553</v>
      </c>
      <c r="G62" s="386" t="s">
        <v>1657</v>
      </c>
      <c r="H62" s="386" t="s">
        <v>262</v>
      </c>
      <c r="I62" s="386" t="s">
        <v>1576</v>
      </c>
      <c r="J62" s="386" t="s">
        <v>1656</v>
      </c>
      <c r="K62" s="386" t="s">
        <v>1629</v>
      </c>
      <c r="L62" s="387" t="s">
        <v>1546</v>
      </c>
      <c r="M62" s="387">
        <v>6</v>
      </c>
      <c r="N62" s="387">
        <v>2011</v>
      </c>
      <c r="O62" s="387">
        <v>5</v>
      </c>
      <c r="P62" s="378">
        <v>6</v>
      </c>
      <c r="Q62" s="434">
        <v>6</v>
      </c>
      <c r="R62" s="380">
        <v>6</v>
      </c>
      <c r="S62" s="370"/>
      <c r="T62" s="379" t="s">
        <v>1655</v>
      </c>
      <c r="U62" s="405" t="s">
        <v>1529</v>
      </c>
      <c r="V62" s="405" t="s">
        <v>1654</v>
      </c>
      <c r="W62" s="419">
        <v>41639</v>
      </c>
      <c r="X62" s="384"/>
      <c r="Y62" s="360"/>
      <c r="Z62" s="361"/>
      <c r="AA62" s="361"/>
      <c r="AB62" s="359"/>
      <c r="AC62" s="362"/>
      <c r="AD62" s="363"/>
      <c r="AE62" s="359"/>
      <c r="AF62" s="361"/>
      <c r="AG62" s="361"/>
      <c r="AH62" s="361"/>
      <c r="AI62" s="361"/>
      <c r="AJ62" s="361"/>
      <c r="AK62" s="361"/>
      <c r="AL62" s="361"/>
      <c r="AM62" s="361"/>
      <c r="AN62" s="361"/>
      <c r="AO62" s="361"/>
      <c r="AP62" s="361"/>
      <c r="AQ62" s="361"/>
      <c r="AR62" s="361"/>
      <c r="AS62" s="361"/>
      <c r="AT62" s="384"/>
      <c r="AU62" s="357"/>
      <c r="AV62" s="347"/>
      <c r="AW62" s="347"/>
      <c r="AX62" s="347"/>
      <c r="AY62" s="347"/>
      <c r="AZ62" s="358"/>
      <c r="BA62" s="358"/>
      <c r="BB62" s="380">
        <v>426</v>
      </c>
      <c r="BC62" s="380">
        <v>540</v>
      </c>
      <c r="BD62" s="380">
        <v>424</v>
      </c>
      <c r="BE62" s="380">
        <v>425</v>
      </c>
      <c r="BF62" s="380">
        <v>427</v>
      </c>
      <c r="BG62" s="380">
        <v>428</v>
      </c>
      <c r="BH62" s="380">
        <v>429</v>
      </c>
      <c r="BI62" s="380">
        <v>430</v>
      </c>
      <c r="BJ62" s="380">
        <v>431</v>
      </c>
      <c r="BK62" s="380">
        <v>432</v>
      </c>
      <c r="BL62" s="380">
        <v>433</v>
      </c>
      <c r="BM62" s="354"/>
      <c r="BN62" s="354"/>
      <c r="BO62" s="354"/>
      <c r="BP62" s="354"/>
      <c r="BQ62" s="354"/>
      <c r="BR62" s="354"/>
      <c r="BS62" s="354"/>
      <c r="BT62" s="504">
        <v>0</v>
      </c>
      <c r="BU62" s="504">
        <v>0</v>
      </c>
      <c r="BV62" s="410">
        <v>0</v>
      </c>
      <c r="BW62" s="504">
        <v>0</v>
      </c>
      <c r="BX62" s="504">
        <v>0</v>
      </c>
      <c r="BY62" s="504">
        <v>0</v>
      </c>
      <c r="BZ62" s="504">
        <v>1</v>
      </c>
      <c r="CA62" s="504">
        <v>5</v>
      </c>
      <c r="CB62" s="355"/>
      <c r="CC62" s="355"/>
      <c r="CD62" s="355"/>
      <c r="CE62" s="355"/>
      <c r="CF62" s="355"/>
      <c r="CG62" s="355"/>
      <c r="CH62" s="355"/>
      <c r="CI62" s="355"/>
      <c r="CJ62" s="355"/>
      <c r="CK62" s="355"/>
    </row>
    <row r="63" spans="2:89" s="313" customFormat="1" ht="132" x14ac:dyDescent="0.2">
      <c r="B63" s="483"/>
      <c r="C63" s="377">
        <v>60</v>
      </c>
      <c r="D63" s="812">
        <v>434</v>
      </c>
      <c r="E63" s="386" t="s">
        <v>1520</v>
      </c>
      <c r="F63" s="379" t="s">
        <v>1553</v>
      </c>
      <c r="G63" s="386" t="s">
        <v>1653</v>
      </c>
      <c r="H63" s="386" t="s">
        <v>261</v>
      </c>
      <c r="I63" s="386" t="s">
        <v>1576</v>
      </c>
      <c r="J63" s="386" t="s">
        <v>1652</v>
      </c>
      <c r="K63" s="386" t="s">
        <v>1651</v>
      </c>
      <c r="L63" s="387" t="s">
        <v>243</v>
      </c>
      <c r="M63" s="387">
        <v>1763</v>
      </c>
      <c r="N63" s="387">
        <v>2011</v>
      </c>
      <c r="O63" s="387">
        <v>2500</v>
      </c>
      <c r="P63" s="362">
        <v>1745</v>
      </c>
      <c r="Q63" s="441">
        <v>1689</v>
      </c>
      <c r="R63" s="361">
        <v>1442</v>
      </c>
      <c r="S63" s="370"/>
      <c r="T63" s="379" t="s">
        <v>1650</v>
      </c>
      <c r="U63" s="405" t="s">
        <v>1529</v>
      </c>
      <c r="V63" s="405" t="s">
        <v>1916</v>
      </c>
      <c r="W63" s="419">
        <v>42024</v>
      </c>
      <c r="X63" s="384" t="s">
        <v>1917</v>
      </c>
      <c r="Y63" s="360" t="s">
        <v>2003</v>
      </c>
      <c r="Z63" s="361">
        <v>60125</v>
      </c>
      <c r="AA63" s="357">
        <v>58823</v>
      </c>
      <c r="AB63" s="359">
        <v>51061</v>
      </c>
      <c r="AC63" s="362"/>
      <c r="AD63" s="441">
        <v>6708</v>
      </c>
      <c r="AE63" s="441">
        <v>5830</v>
      </c>
      <c r="AF63" s="361">
        <v>4647</v>
      </c>
      <c r="AG63" s="361"/>
      <c r="AH63" s="357">
        <v>1242</v>
      </c>
      <c r="AI63" s="357">
        <v>1421</v>
      </c>
      <c r="AJ63" s="361">
        <v>1227</v>
      </c>
      <c r="AK63" s="361"/>
      <c r="AL63" s="357">
        <v>3290</v>
      </c>
      <c r="AM63" s="357">
        <v>3232</v>
      </c>
      <c r="AN63" s="361">
        <v>2834</v>
      </c>
      <c r="AO63" s="361"/>
      <c r="AP63" s="441">
        <v>389</v>
      </c>
      <c r="AQ63" s="441">
        <v>341</v>
      </c>
      <c r="AR63" s="361">
        <v>310</v>
      </c>
      <c r="AS63" s="361"/>
      <c r="AT63" s="441">
        <v>714</v>
      </c>
      <c r="AU63" s="441">
        <v>1118</v>
      </c>
      <c r="AV63" s="394">
        <v>1065</v>
      </c>
      <c r="AW63" s="394"/>
      <c r="AX63" s="442">
        <v>2283</v>
      </c>
      <c r="AY63" s="394">
        <v>2112</v>
      </c>
      <c r="AZ63" s="357">
        <v>2022</v>
      </c>
      <c r="BA63" s="357"/>
      <c r="BB63" s="380">
        <v>435</v>
      </c>
      <c r="BC63" s="380">
        <v>436</v>
      </c>
      <c r="BD63" s="380">
        <v>437</v>
      </c>
      <c r="BE63" s="380">
        <v>438</v>
      </c>
      <c r="BF63" s="380">
        <v>439</v>
      </c>
      <c r="BG63" s="354"/>
      <c r="BH63" s="354"/>
      <c r="BI63" s="354"/>
      <c r="BJ63" s="354"/>
      <c r="BK63" s="354"/>
      <c r="BL63" s="354"/>
      <c r="BM63" s="354"/>
      <c r="BN63" s="354"/>
      <c r="BO63" s="354"/>
      <c r="BP63" s="354"/>
      <c r="BQ63" s="354"/>
      <c r="BR63" s="354"/>
      <c r="BS63" s="354"/>
      <c r="BT63" s="504">
        <v>75</v>
      </c>
      <c r="BU63" s="505">
        <v>1838</v>
      </c>
      <c r="BV63" s="410">
        <v>100</v>
      </c>
      <c r="BW63" s="505">
        <v>1938</v>
      </c>
      <c r="BX63" s="504">
        <v>100</v>
      </c>
      <c r="BY63" s="506">
        <v>2038</v>
      </c>
      <c r="BZ63" s="504">
        <v>462</v>
      </c>
      <c r="CA63" s="506">
        <v>2500</v>
      </c>
      <c r="CB63" s="355"/>
      <c r="CC63" s="355"/>
      <c r="CD63" s="355"/>
      <c r="CE63" s="355"/>
      <c r="CF63" s="355"/>
      <c r="CG63" s="355"/>
      <c r="CH63" s="355"/>
      <c r="CI63" s="355"/>
      <c r="CJ63" s="355"/>
      <c r="CK63" s="355"/>
    </row>
    <row r="64" spans="2:89" s="313" customFormat="1" ht="60" x14ac:dyDescent="0.2">
      <c r="B64" s="483"/>
      <c r="C64" s="385">
        <v>61</v>
      </c>
      <c r="D64" s="812">
        <v>440</v>
      </c>
      <c r="E64" s="386" t="s">
        <v>1513</v>
      </c>
      <c r="F64" s="379" t="s">
        <v>1553</v>
      </c>
      <c r="G64" s="386" t="s">
        <v>1644</v>
      </c>
      <c r="H64" s="386" t="s">
        <v>1649</v>
      </c>
      <c r="I64" s="386" t="s">
        <v>1576</v>
      </c>
      <c r="J64" s="386" t="s">
        <v>2844</v>
      </c>
      <c r="K64" s="386" t="s">
        <v>2843</v>
      </c>
      <c r="L64" s="387" t="s">
        <v>1546</v>
      </c>
      <c r="M64" s="387">
        <v>640</v>
      </c>
      <c r="N64" s="387">
        <v>2011</v>
      </c>
      <c r="O64" s="443">
        <v>538</v>
      </c>
      <c r="P64" s="425">
        <v>233</v>
      </c>
      <c r="Q64" s="438">
        <v>233</v>
      </c>
      <c r="R64" s="438">
        <v>233</v>
      </c>
      <c r="S64" s="438"/>
      <c r="T64" s="379" t="s">
        <v>1918</v>
      </c>
      <c r="U64" s="421" t="s">
        <v>1529</v>
      </c>
      <c r="V64" s="405" t="s">
        <v>1919</v>
      </c>
      <c r="W64" s="419"/>
      <c r="X64" s="360" t="s">
        <v>1920</v>
      </c>
      <c r="Y64" s="360"/>
      <c r="Z64" s="361"/>
      <c r="AA64" s="361"/>
      <c r="AB64" s="359"/>
      <c r="AC64" s="362"/>
      <c r="AD64" s="363"/>
      <c r="AE64" s="359"/>
      <c r="AF64" s="361"/>
      <c r="AG64" s="361"/>
      <c r="AH64" s="361"/>
      <c r="AI64" s="361"/>
      <c r="AJ64" s="361"/>
      <c r="AK64" s="361"/>
      <c r="AL64" s="361"/>
      <c r="AM64" s="361"/>
      <c r="AN64" s="361"/>
      <c r="AO64" s="361"/>
      <c r="AP64" s="361"/>
      <c r="AQ64" s="361"/>
      <c r="AR64" s="361"/>
      <c r="AS64" s="361"/>
      <c r="AT64" s="384"/>
      <c r="AU64" s="357"/>
      <c r="AV64" s="347"/>
      <c r="AW64" s="347"/>
      <c r="AX64" s="347"/>
      <c r="AY64" s="347"/>
      <c r="AZ64" s="358"/>
      <c r="BA64" s="358"/>
      <c r="BB64" s="380">
        <v>443</v>
      </c>
      <c r="BC64" s="380">
        <v>444</v>
      </c>
      <c r="BD64" s="380">
        <v>445</v>
      </c>
      <c r="BE64" s="380">
        <v>446</v>
      </c>
      <c r="BF64" s="354"/>
      <c r="BG64" s="354"/>
      <c r="BH64" s="354"/>
      <c r="BI64" s="354"/>
      <c r="BJ64" s="354"/>
      <c r="BK64" s="354"/>
      <c r="BL64" s="354"/>
      <c r="BM64" s="354"/>
      <c r="BN64" s="354"/>
      <c r="BO64" s="354"/>
      <c r="BP64" s="354"/>
      <c r="BQ64" s="354"/>
      <c r="BR64" s="354"/>
      <c r="BS64" s="354"/>
      <c r="BT64" s="505">
        <v>7</v>
      </c>
      <c r="BU64" s="505">
        <v>233</v>
      </c>
      <c r="BV64" s="410">
        <v>8</v>
      </c>
      <c r="BW64" s="504">
        <v>225</v>
      </c>
      <c r="BX64" s="505">
        <v>10</v>
      </c>
      <c r="BY64" s="504">
        <v>215</v>
      </c>
      <c r="BZ64" s="505">
        <v>13</v>
      </c>
      <c r="CA64" s="504">
        <v>202</v>
      </c>
      <c r="CB64" s="355"/>
      <c r="CC64" s="355"/>
      <c r="CD64" s="355"/>
      <c r="CE64" s="355"/>
      <c r="CF64" s="355"/>
      <c r="CG64" s="355"/>
      <c r="CH64" s="355"/>
      <c r="CI64" s="355"/>
      <c r="CJ64" s="355"/>
      <c r="CK64" s="355"/>
    </row>
    <row r="65" spans="2:89" s="313" customFormat="1" ht="48" x14ac:dyDescent="0.2">
      <c r="B65" s="483"/>
      <c r="C65" s="377">
        <v>62</v>
      </c>
      <c r="D65" s="812">
        <v>441</v>
      </c>
      <c r="E65" s="386" t="s">
        <v>1648</v>
      </c>
      <c r="F65" s="379" t="s">
        <v>1553</v>
      </c>
      <c r="G65" s="386" t="s">
        <v>1644</v>
      </c>
      <c r="H65" s="386" t="s">
        <v>1647</v>
      </c>
      <c r="I65" s="386" t="s">
        <v>1576</v>
      </c>
      <c r="J65" s="386" t="s">
        <v>1646</v>
      </c>
      <c r="K65" s="386" t="s">
        <v>1645</v>
      </c>
      <c r="L65" s="387" t="s">
        <v>1546</v>
      </c>
      <c r="M65" s="387">
        <v>9979</v>
      </c>
      <c r="N65" s="387">
        <v>2011</v>
      </c>
      <c r="O65" s="443">
        <v>9779</v>
      </c>
      <c r="P65" s="425">
        <v>9979</v>
      </c>
      <c r="Q65" s="438">
        <v>9905</v>
      </c>
      <c r="R65" s="438">
        <v>9782</v>
      </c>
      <c r="S65" s="438"/>
      <c r="T65" s="379" t="s">
        <v>1921</v>
      </c>
      <c r="U65" s="421" t="s">
        <v>1531</v>
      </c>
      <c r="V65" s="405" t="s">
        <v>1919</v>
      </c>
      <c r="W65" s="419"/>
      <c r="X65" s="360"/>
      <c r="Y65" s="360"/>
      <c r="Z65" s="361"/>
      <c r="AA65" s="361"/>
      <c r="AB65" s="359"/>
      <c r="AC65" s="362"/>
      <c r="AD65" s="363"/>
      <c r="AE65" s="359"/>
      <c r="AF65" s="361"/>
      <c r="AG65" s="361"/>
      <c r="AH65" s="361"/>
      <c r="AI65" s="361"/>
      <c r="AJ65" s="361"/>
      <c r="AK65" s="361"/>
      <c r="AL65" s="361"/>
      <c r="AM65" s="361"/>
      <c r="AN65" s="361"/>
      <c r="AO65" s="361"/>
      <c r="AP65" s="361"/>
      <c r="AQ65" s="361"/>
      <c r="AR65" s="361"/>
      <c r="AS65" s="361"/>
      <c r="AT65" s="384"/>
      <c r="AU65" s="357"/>
      <c r="AV65" s="347"/>
      <c r="AW65" s="347"/>
      <c r="AX65" s="347"/>
      <c r="AY65" s="347"/>
      <c r="AZ65" s="358"/>
      <c r="BA65" s="358"/>
      <c r="BB65" s="380">
        <v>448</v>
      </c>
      <c r="BC65" s="354"/>
      <c r="BD65" s="354"/>
      <c r="BE65" s="354"/>
      <c r="BF65" s="354"/>
      <c r="BG65" s="354"/>
      <c r="BH65" s="354"/>
      <c r="BI65" s="354"/>
      <c r="BJ65" s="354"/>
      <c r="BK65" s="354"/>
      <c r="BL65" s="354"/>
      <c r="BM65" s="354"/>
      <c r="BN65" s="354"/>
      <c r="BO65" s="354"/>
      <c r="BP65" s="354"/>
      <c r="BQ65" s="354"/>
      <c r="BR65" s="354"/>
      <c r="BS65" s="354"/>
      <c r="BT65" s="505">
        <v>50</v>
      </c>
      <c r="BU65" s="505">
        <v>9929</v>
      </c>
      <c r="BV65" s="410">
        <v>50</v>
      </c>
      <c r="BW65" s="506">
        <v>9879</v>
      </c>
      <c r="BX65" s="507">
        <v>50</v>
      </c>
      <c r="BY65" s="508">
        <v>9829</v>
      </c>
      <c r="BZ65" s="507">
        <v>50</v>
      </c>
      <c r="CA65" s="508">
        <v>9779</v>
      </c>
      <c r="CB65" s="355"/>
      <c r="CC65" s="355"/>
      <c r="CD65" s="355"/>
      <c r="CE65" s="355"/>
      <c r="CF65" s="355"/>
      <c r="CG65" s="355"/>
      <c r="CH65" s="355"/>
      <c r="CI65" s="355"/>
      <c r="CJ65" s="355"/>
      <c r="CK65" s="355"/>
    </row>
    <row r="66" spans="2:89" s="313" customFormat="1" ht="36" x14ac:dyDescent="0.2">
      <c r="B66" s="483"/>
      <c r="C66" s="385">
        <v>63</v>
      </c>
      <c r="D66" s="812">
        <v>442</v>
      </c>
      <c r="E66" s="386" t="s">
        <v>1513</v>
      </c>
      <c r="F66" s="379" t="s">
        <v>1553</v>
      </c>
      <c r="G66" s="386" t="s">
        <v>1644</v>
      </c>
      <c r="H66" s="386" t="s">
        <v>1643</v>
      </c>
      <c r="I66" s="386" t="s">
        <v>1576</v>
      </c>
      <c r="J66" s="386" t="s">
        <v>2845</v>
      </c>
      <c r="K66" s="386" t="s">
        <v>1642</v>
      </c>
      <c r="L66" s="387" t="s">
        <v>243</v>
      </c>
      <c r="M66" s="387">
        <v>0</v>
      </c>
      <c r="N66" s="387">
        <v>2011</v>
      </c>
      <c r="O66" s="443">
        <v>10000</v>
      </c>
      <c r="P66" s="425">
        <v>11012</v>
      </c>
      <c r="Q66" s="438">
        <v>12315</v>
      </c>
      <c r="R66" s="438">
        <v>29248</v>
      </c>
      <c r="S66" s="438"/>
      <c r="T66" s="379" t="s">
        <v>1921</v>
      </c>
      <c r="U66" s="421" t="s">
        <v>1531</v>
      </c>
      <c r="V66" s="405" t="s">
        <v>1919</v>
      </c>
      <c r="W66" s="419"/>
      <c r="X66" s="360"/>
      <c r="Y66" s="360"/>
      <c r="Z66" s="361"/>
      <c r="AA66" s="361"/>
      <c r="AB66" s="359"/>
      <c r="AC66" s="362"/>
      <c r="AD66" s="363"/>
      <c r="AE66" s="359"/>
      <c r="AF66" s="361"/>
      <c r="AG66" s="361"/>
      <c r="AH66" s="361"/>
      <c r="AI66" s="361"/>
      <c r="AJ66" s="361"/>
      <c r="AK66" s="361"/>
      <c r="AL66" s="361"/>
      <c r="AM66" s="361"/>
      <c r="AN66" s="361"/>
      <c r="AO66" s="361"/>
      <c r="AP66" s="361"/>
      <c r="AQ66" s="361"/>
      <c r="AR66" s="361"/>
      <c r="AS66" s="361"/>
      <c r="AT66" s="384"/>
      <c r="AU66" s="357"/>
      <c r="AV66" s="347"/>
      <c r="AW66" s="347"/>
      <c r="AX66" s="347"/>
      <c r="AY66" s="347"/>
      <c r="AZ66" s="358"/>
      <c r="BA66" s="358"/>
      <c r="BB66" s="380">
        <v>447</v>
      </c>
      <c r="BC66" s="354"/>
      <c r="BD66" s="354"/>
      <c r="BE66" s="354"/>
      <c r="BF66" s="354"/>
      <c r="BG66" s="354"/>
      <c r="BH66" s="354"/>
      <c r="BI66" s="354"/>
      <c r="BJ66" s="354"/>
      <c r="BK66" s="354"/>
      <c r="BL66" s="354"/>
      <c r="BM66" s="354"/>
      <c r="BN66" s="354"/>
      <c r="BO66" s="354"/>
      <c r="BP66" s="354"/>
      <c r="BQ66" s="354"/>
      <c r="BR66" s="354"/>
      <c r="BS66" s="354"/>
      <c r="BT66" s="505">
        <v>1500</v>
      </c>
      <c r="BU66" s="505">
        <v>1500</v>
      </c>
      <c r="BV66" s="509">
        <v>5000</v>
      </c>
      <c r="BW66" s="486">
        <v>6500</v>
      </c>
      <c r="BX66" s="505">
        <v>2000</v>
      </c>
      <c r="BY66" s="505">
        <v>8500</v>
      </c>
      <c r="BZ66" s="505">
        <v>1500</v>
      </c>
      <c r="CA66" s="505">
        <v>10000</v>
      </c>
      <c r="CB66" s="355"/>
      <c r="CC66" s="355"/>
      <c r="CD66" s="355"/>
      <c r="CE66" s="355"/>
      <c r="CF66" s="355"/>
      <c r="CG66" s="355"/>
      <c r="CH66" s="355"/>
      <c r="CI66" s="355"/>
      <c r="CJ66" s="355"/>
      <c r="CK66" s="355"/>
    </row>
    <row r="67" spans="2:89" s="313" customFormat="1" ht="72" x14ac:dyDescent="0.2">
      <c r="B67" s="483"/>
      <c r="C67" s="377">
        <v>64</v>
      </c>
      <c r="D67" s="812">
        <v>449</v>
      </c>
      <c r="E67" s="386" t="s">
        <v>15</v>
      </c>
      <c r="F67" s="379" t="s">
        <v>1553</v>
      </c>
      <c r="G67" s="386" t="s">
        <v>1638</v>
      </c>
      <c r="H67" s="386" t="s">
        <v>1641</v>
      </c>
      <c r="I67" s="386" t="s">
        <v>1576</v>
      </c>
      <c r="J67" s="386" t="s">
        <v>1640</v>
      </c>
      <c r="K67" s="386" t="s">
        <v>1582</v>
      </c>
      <c r="L67" s="387" t="s">
        <v>243</v>
      </c>
      <c r="M67" s="387">
        <v>30</v>
      </c>
      <c r="N67" s="387">
        <v>2011</v>
      </c>
      <c r="O67" s="418">
        <v>50</v>
      </c>
      <c r="P67" s="378">
        <v>35</v>
      </c>
      <c r="Q67" s="434">
        <v>40</v>
      </c>
      <c r="R67" s="380">
        <v>43</v>
      </c>
      <c r="S67" s="370"/>
      <c r="T67" s="380" t="s">
        <v>15</v>
      </c>
      <c r="U67" s="363" t="s">
        <v>1529</v>
      </c>
      <c r="V67" s="382" t="s">
        <v>1634</v>
      </c>
      <c r="W67" s="383">
        <v>42004</v>
      </c>
      <c r="X67" s="360" t="s">
        <v>1639</v>
      </c>
      <c r="Y67" s="360" t="s">
        <v>1922</v>
      </c>
      <c r="Z67" s="361"/>
      <c r="AA67" s="361"/>
      <c r="AB67" s="359"/>
      <c r="AC67" s="444"/>
      <c r="AD67" s="363"/>
      <c r="AE67" s="359"/>
      <c r="AF67" s="361"/>
      <c r="AG67" s="361"/>
      <c r="AH67" s="361"/>
      <c r="AI67" s="361"/>
      <c r="AJ67" s="361"/>
      <c r="AK67" s="361"/>
      <c r="AL67" s="361"/>
      <c r="AM67" s="361"/>
      <c r="AN67" s="361"/>
      <c r="AO67" s="361"/>
      <c r="AP67" s="361"/>
      <c r="AQ67" s="361"/>
      <c r="AR67" s="361"/>
      <c r="AS67" s="361"/>
      <c r="AT67" s="384"/>
      <c r="AU67" s="357"/>
      <c r="AV67" s="347"/>
      <c r="AW67" s="347"/>
      <c r="AX67" s="347"/>
      <c r="AY67" s="347"/>
      <c r="AZ67" s="358"/>
      <c r="BA67" s="358"/>
      <c r="BB67" s="380">
        <v>453</v>
      </c>
      <c r="BC67" s="380">
        <v>451</v>
      </c>
      <c r="BD67" s="380">
        <v>452</v>
      </c>
      <c r="BE67" s="380">
        <v>454</v>
      </c>
      <c r="BF67" s="380">
        <v>455</v>
      </c>
      <c r="BG67" s="380">
        <v>456</v>
      </c>
      <c r="BH67" s="380">
        <v>457</v>
      </c>
      <c r="BI67" s="380">
        <v>458</v>
      </c>
      <c r="BJ67" s="380">
        <v>460</v>
      </c>
      <c r="BK67" s="354"/>
      <c r="BL67" s="354"/>
      <c r="BM67" s="354"/>
      <c r="BN67" s="354"/>
      <c r="BO67" s="354"/>
      <c r="BP67" s="354"/>
      <c r="BQ67" s="354"/>
      <c r="BR67" s="354"/>
      <c r="BS67" s="354"/>
      <c r="BT67" s="504">
        <v>2</v>
      </c>
      <c r="BU67" s="510">
        <v>0.32</v>
      </c>
      <c r="BV67" s="410">
        <v>6</v>
      </c>
      <c r="BW67" s="510">
        <v>0.38</v>
      </c>
      <c r="BX67" s="504">
        <v>6</v>
      </c>
      <c r="BY67" s="510">
        <v>0.44</v>
      </c>
      <c r="BZ67" s="504">
        <v>6</v>
      </c>
      <c r="CA67" s="510">
        <v>0.5</v>
      </c>
      <c r="CB67" s="355"/>
      <c r="CC67" s="355"/>
      <c r="CD67" s="355"/>
      <c r="CE67" s="355"/>
      <c r="CF67" s="355"/>
      <c r="CG67" s="355"/>
      <c r="CH67" s="355"/>
      <c r="CI67" s="355"/>
      <c r="CJ67" s="355"/>
      <c r="CK67" s="355"/>
    </row>
    <row r="68" spans="2:89" s="313" customFormat="1" ht="180" x14ac:dyDescent="0.2">
      <c r="B68" s="483"/>
      <c r="C68" s="385">
        <v>65</v>
      </c>
      <c r="D68" s="812">
        <v>450</v>
      </c>
      <c r="E68" s="386" t="s">
        <v>15</v>
      </c>
      <c r="F68" s="379" t="s">
        <v>1553</v>
      </c>
      <c r="G68" s="386" t="s">
        <v>1638</v>
      </c>
      <c r="H68" s="386" t="s">
        <v>1637</v>
      </c>
      <c r="I68" s="386" t="s">
        <v>1576</v>
      </c>
      <c r="J68" s="386" t="s">
        <v>1636</v>
      </c>
      <c r="K68" s="386" t="s">
        <v>1635</v>
      </c>
      <c r="L68" s="387" t="s">
        <v>243</v>
      </c>
      <c r="M68" s="387">
        <v>0</v>
      </c>
      <c r="N68" s="387">
        <v>2011</v>
      </c>
      <c r="O68" s="418">
        <v>3</v>
      </c>
      <c r="P68" s="378">
        <v>0</v>
      </c>
      <c r="Q68" s="434">
        <v>1</v>
      </c>
      <c r="R68" s="380">
        <v>2</v>
      </c>
      <c r="S68" s="445"/>
      <c r="T68" s="380" t="s">
        <v>15</v>
      </c>
      <c r="U68" s="363" t="s">
        <v>1529</v>
      </c>
      <c r="V68" s="382" t="s">
        <v>1634</v>
      </c>
      <c r="W68" s="383">
        <v>42004</v>
      </c>
      <c r="X68" s="360" t="s">
        <v>1633</v>
      </c>
      <c r="Y68" s="360" t="s">
        <v>1993</v>
      </c>
      <c r="Z68" s="361"/>
      <c r="AA68" s="361"/>
      <c r="AB68" s="359"/>
      <c r="AC68" s="359"/>
      <c r="AD68" s="363"/>
      <c r="AE68" s="359"/>
      <c r="AF68" s="361"/>
      <c r="AG68" s="361"/>
      <c r="AH68" s="361"/>
      <c r="AI68" s="361"/>
      <c r="AJ68" s="361"/>
      <c r="AK68" s="361"/>
      <c r="AL68" s="361"/>
      <c r="AM68" s="361"/>
      <c r="AN68" s="361"/>
      <c r="AO68" s="361"/>
      <c r="AP68" s="361"/>
      <c r="AQ68" s="361"/>
      <c r="AR68" s="361"/>
      <c r="AS68" s="361"/>
      <c r="AT68" s="384"/>
      <c r="AU68" s="357"/>
      <c r="AV68" s="347"/>
      <c r="AW68" s="347"/>
      <c r="AX68" s="347"/>
      <c r="AY68" s="347"/>
      <c r="AZ68" s="358"/>
      <c r="BA68" s="358"/>
      <c r="BB68" s="380">
        <v>459</v>
      </c>
      <c r="BC68" s="380">
        <v>461</v>
      </c>
      <c r="BD68" s="354"/>
      <c r="BE68" s="354"/>
      <c r="BF68" s="354"/>
      <c r="BG68" s="354"/>
      <c r="BH68" s="354"/>
      <c r="BI68" s="354"/>
      <c r="BJ68" s="354"/>
      <c r="BK68" s="354"/>
      <c r="BL68" s="354"/>
      <c r="BM68" s="354"/>
      <c r="BN68" s="354"/>
      <c r="BO68" s="354"/>
      <c r="BP68" s="354"/>
      <c r="BQ68" s="354"/>
      <c r="BR68" s="354"/>
      <c r="BS68" s="354"/>
      <c r="BT68" s="504">
        <v>0</v>
      </c>
      <c r="BU68" s="504">
        <v>0</v>
      </c>
      <c r="BV68" s="410">
        <v>0</v>
      </c>
      <c r="BW68" s="504">
        <v>0</v>
      </c>
      <c r="BX68" s="504">
        <v>1</v>
      </c>
      <c r="BY68" s="504">
        <v>1</v>
      </c>
      <c r="BZ68" s="504">
        <v>2</v>
      </c>
      <c r="CA68" s="504">
        <v>3</v>
      </c>
      <c r="CB68" s="355"/>
      <c r="CC68" s="355"/>
      <c r="CD68" s="355"/>
      <c r="CE68" s="355"/>
      <c r="CF68" s="355"/>
      <c r="CG68" s="355"/>
      <c r="CH68" s="355"/>
      <c r="CI68" s="355"/>
      <c r="CJ68" s="355"/>
      <c r="CK68" s="355"/>
    </row>
    <row r="69" spans="2:89" s="313" customFormat="1" ht="48" x14ac:dyDescent="0.2">
      <c r="B69" s="483"/>
      <c r="C69" s="377">
        <v>66</v>
      </c>
      <c r="D69" s="812">
        <v>468</v>
      </c>
      <c r="E69" s="386" t="s">
        <v>1632</v>
      </c>
      <c r="F69" s="379" t="s">
        <v>1553</v>
      </c>
      <c r="G69" s="386" t="s">
        <v>1631</v>
      </c>
      <c r="H69" s="386" t="s">
        <v>260</v>
      </c>
      <c r="I69" s="386" t="s">
        <v>1576</v>
      </c>
      <c r="J69" s="386" t="s">
        <v>1630</v>
      </c>
      <c r="K69" s="386" t="s">
        <v>1629</v>
      </c>
      <c r="L69" s="387" t="s">
        <v>1546</v>
      </c>
      <c r="M69" s="387">
        <v>10</v>
      </c>
      <c r="N69" s="387">
        <v>2011</v>
      </c>
      <c r="O69" s="418">
        <v>9</v>
      </c>
      <c r="P69" s="378">
        <v>10</v>
      </c>
      <c r="Q69" s="434">
        <v>7</v>
      </c>
      <c r="R69" s="380">
        <v>7</v>
      </c>
      <c r="S69" s="370"/>
      <c r="T69" s="379" t="s">
        <v>1923</v>
      </c>
      <c r="U69" s="363" t="s">
        <v>1529</v>
      </c>
      <c r="V69" s="382" t="s">
        <v>1924</v>
      </c>
      <c r="W69" s="383" t="s">
        <v>1925</v>
      </c>
      <c r="X69" s="361"/>
      <c r="Y69" s="360" t="s">
        <v>1926</v>
      </c>
      <c r="Z69" s="361"/>
      <c r="AA69" s="361"/>
      <c r="AB69" s="359"/>
      <c r="AC69" s="362"/>
      <c r="AD69" s="363"/>
      <c r="AE69" s="359"/>
      <c r="AF69" s="361"/>
      <c r="AG69" s="361"/>
      <c r="AH69" s="361"/>
      <c r="AI69" s="361"/>
      <c r="AJ69" s="361"/>
      <c r="AK69" s="361"/>
      <c r="AL69" s="361"/>
      <c r="AM69" s="361"/>
      <c r="AN69" s="361"/>
      <c r="AO69" s="361"/>
      <c r="AP69" s="361"/>
      <c r="AQ69" s="361"/>
      <c r="AR69" s="361"/>
      <c r="AS69" s="361"/>
      <c r="AT69" s="384"/>
      <c r="AU69" s="357"/>
      <c r="AV69" s="347"/>
      <c r="AW69" s="347"/>
      <c r="AX69" s="347"/>
      <c r="AY69" s="347"/>
      <c r="AZ69" s="358"/>
      <c r="BA69" s="358"/>
      <c r="BB69" s="380">
        <v>469</v>
      </c>
      <c r="BC69" s="380">
        <v>470</v>
      </c>
      <c r="BD69" s="380">
        <v>471</v>
      </c>
      <c r="BE69" s="380">
        <v>472</v>
      </c>
      <c r="BF69" s="380">
        <v>473</v>
      </c>
      <c r="BG69" s="380">
        <v>474</v>
      </c>
      <c r="BH69" s="380">
        <v>475</v>
      </c>
      <c r="BI69" s="380">
        <v>476</v>
      </c>
      <c r="BJ69" s="380">
        <v>477</v>
      </c>
      <c r="BK69" s="380">
        <v>478</v>
      </c>
      <c r="BL69" s="380">
        <v>479</v>
      </c>
      <c r="BM69" s="380">
        <v>480</v>
      </c>
      <c r="BN69" s="380">
        <v>481</v>
      </c>
      <c r="BO69" s="380">
        <v>482</v>
      </c>
      <c r="BP69" s="380">
        <v>483</v>
      </c>
      <c r="BQ69" s="380">
        <v>484</v>
      </c>
      <c r="BR69" s="380">
        <v>485</v>
      </c>
      <c r="BS69" s="354"/>
      <c r="BT69" s="504">
        <v>0</v>
      </c>
      <c r="BU69" s="486">
        <v>0</v>
      </c>
      <c r="BV69" s="410">
        <v>0</v>
      </c>
      <c r="BW69" s="486">
        <v>0</v>
      </c>
      <c r="BX69" s="504">
        <v>0</v>
      </c>
      <c r="BY69" s="486">
        <v>0</v>
      </c>
      <c r="BZ69" s="504">
        <v>9</v>
      </c>
      <c r="CA69" s="487">
        <v>9</v>
      </c>
      <c r="CB69" s="355"/>
      <c r="CC69" s="355"/>
      <c r="CD69" s="355"/>
      <c r="CE69" s="355"/>
      <c r="CF69" s="355"/>
      <c r="CG69" s="355"/>
      <c r="CH69" s="355"/>
      <c r="CI69" s="355"/>
      <c r="CJ69" s="355"/>
      <c r="CK69" s="355"/>
    </row>
    <row r="70" spans="2:89" s="313" customFormat="1" ht="132" x14ac:dyDescent="0.2">
      <c r="B70" s="483"/>
      <c r="C70" s="385">
        <v>67</v>
      </c>
      <c r="D70" s="812">
        <v>486</v>
      </c>
      <c r="E70" s="386" t="s">
        <v>239</v>
      </c>
      <c r="F70" s="379" t="s">
        <v>1553</v>
      </c>
      <c r="G70" s="386" t="s">
        <v>1628</v>
      </c>
      <c r="H70" s="386" t="s">
        <v>259</v>
      </c>
      <c r="I70" s="386" t="s">
        <v>1576</v>
      </c>
      <c r="J70" s="386" t="s">
        <v>1627</v>
      </c>
      <c r="K70" s="386" t="s">
        <v>1626</v>
      </c>
      <c r="L70" s="387" t="s">
        <v>243</v>
      </c>
      <c r="M70" s="387">
        <v>0</v>
      </c>
      <c r="N70" s="387">
        <v>2011</v>
      </c>
      <c r="O70" s="387">
        <v>4</v>
      </c>
      <c r="P70" s="378">
        <v>0</v>
      </c>
      <c r="Q70" s="434">
        <v>0</v>
      </c>
      <c r="R70" s="380">
        <v>2</v>
      </c>
      <c r="S70" s="370"/>
      <c r="T70" s="380" t="s">
        <v>239</v>
      </c>
      <c r="U70" s="382" t="s">
        <v>1528</v>
      </c>
      <c r="V70" s="382" t="s">
        <v>1625</v>
      </c>
      <c r="W70" s="383" t="s">
        <v>1913</v>
      </c>
      <c r="X70" s="384" t="s">
        <v>1624</v>
      </c>
      <c r="Y70" s="360" t="s">
        <v>2008</v>
      </c>
      <c r="Z70" s="361"/>
      <c r="AA70" s="361"/>
      <c r="AB70" s="359"/>
      <c r="AC70" s="362"/>
      <c r="AD70" s="363"/>
      <c r="AE70" s="359"/>
      <c r="AF70" s="361"/>
      <c r="AG70" s="361"/>
      <c r="AH70" s="361"/>
      <c r="AI70" s="361"/>
      <c r="AJ70" s="361"/>
      <c r="AK70" s="361"/>
      <c r="AL70" s="361"/>
      <c r="AM70" s="361"/>
      <c r="AN70" s="361"/>
      <c r="AO70" s="361"/>
      <c r="AP70" s="361"/>
      <c r="AQ70" s="361"/>
      <c r="AR70" s="361"/>
      <c r="AS70" s="361"/>
      <c r="AT70" s="384"/>
      <c r="AU70" s="357"/>
      <c r="AV70" s="347"/>
      <c r="AW70" s="347"/>
      <c r="AX70" s="347"/>
      <c r="AY70" s="347"/>
      <c r="AZ70" s="358"/>
      <c r="BA70" s="358"/>
      <c r="BB70" s="380">
        <v>487</v>
      </c>
      <c r="BC70" s="380">
        <v>488</v>
      </c>
      <c r="BD70" s="380">
        <v>489</v>
      </c>
      <c r="BE70" s="380">
        <v>490</v>
      </c>
      <c r="BF70" s="380">
        <v>491</v>
      </c>
      <c r="BG70" s="380">
        <v>492</v>
      </c>
      <c r="BH70" s="380">
        <v>493</v>
      </c>
      <c r="BI70" s="380">
        <v>494</v>
      </c>
      <c r="BJ70" s="380">
        <v>495</v>
      </c>
      <c r="BK70" s="380">
        <v>496</v>
      </c>
      <c r="BL70" s="354"/>
      <c r="BM70" s="354"/>
      <c r="BN70" s="354"/>
      <c r="BO70" s="354"/>
      <c r="BP70" s="354"/>
      <c r="BQ70" s="354"/>
      <c r="BR70" s="354"/>
      <c r="BS70" s="354"/>
      <c r="BT70" s="504">
        <v>0</v>
      </c>
      <c r="BU70" s="504">
        <v>0</v>
      </c>
      <c r="BV70" s="410">
        <v>0</v>
      </c>
      <c r="BW70" s="504">
        <v>0</v>
      </c>
      <c r="BX70" s="504">
        <v>2</v>
      </c>
      <c r="BY70" s="504">
        <v>2</v>
      </c>
      <c r="BZ70" s="504">
        <v>2</v>
      </c>
      <c r="CA70" s="504">
        <v>4</v>
      </c>
      <c r="CB70" s="355"/>
      <c r="CC70" s="355"/>
      <c r="CD70" s="355"/>
      <c r="CE70" s="355"/>
      <c r="CF70" s="355"/>
      <c r="CG70" s="355"/>
      <c r="CH70" s="355"/>
      <c r="CI70" s="355"/>
      <c r="CJ70" s="355"/>
      <c r="CK70" s="355"/>
    </row>
    <row r="71" spans="2:89" s="313" customFormat="1" ht="84" x14ac:dyDescent="0.2">
      <c r="B71" s="483"/>
      <c r="C71" s="377">
        <v>68</v>
      </c>
      <c r="D71" s="812">
        <v>497</v>
      </c>
      <c r="E71" s="386" t="s">
        <v>1623</v>
      </c>
      <c r="F71" s="379" t="s">
        <v>1553</v>
      </c>
      <c r="G71" s="386" t="s">
        <v>1623</v>
      </c>
      <c r="H71" s="386" t="s">
        <v>258</v>
      </c>
      <c r="I71" s="386" t="s">
        <v>1576</v>
      </c>
      <c r="J71" s="386" t="s">
        <v>1622</v>
      </c>
      <c r="K71" s="386" t="s">
        <v>1621</v>
      </c>
      <c r="L71" s="387" t="s">
        <v>243</v>
      </c>
      <c r="M71" s="387">
        <v>0</v>
      </c>
      <c r="N71" s="387">
        <v>2011</v>
      </c>
      <c r="O71" s="386">
        <v>1</v>
      </c>
      <c r="P71" s="378">
        <v>0</v>
      </c>
      <c r="Q71" s="434">
        <v>0</v>
      </c>
      <c r="R71" s="434">
        <v>1</v>
      </c>
      <c r="S71" s="388"/>
      <c r="T71" s="380" t="s">
        <v>1914</v>
      </c>
      <c r="U71" s="382" t="s">
        <v>1529</v>
      </c>
      <c r="V71" s="382" t="s">
        <v>1927</v>
      </c>
      <c r="W71" s="383">
        <v>42004</v>
      </c>
      <c r="X71" s="361"/>
      <c r="Y71" s="360" t="s">
        <v>1928</v>
      </c>
      <c r="Z71" s="361"/>
      <c r="AA71" s="361"/>
      <c r="AB71" s="359"/>
      <c r="AC71" s="362"/>
      <c r="AD71" s="363"/>
      <c r="AE71" s="359"/>
      <c r="AF71" s="361"/>
      <c r="AG71" s="361"/>
      <c r="AH71" s="361"/>
      <c r="AI71" s="361"/>
      <c r="AJ71" s="361"/>
      <c r="AK71" s="361"/>
      <c r="AL71" s="361"/>
      <c r="AM71" s="361"/>
      <c r="AN71" s="361"/>
      <c r="AO71" s="361"/>
      <c r="AP71" s="361"/>
      <c r="AQ71" s="361"/>
      <c r="AR71" s="361"/>
      <c r="AS71" s="361"/>
      <c r="AT71" s="384"/>
      <c r="AU71" s="357"/>
      <c r="AV71" s="347"/>
      <c r="AW71" s="347"/>
      <c r="AX71" s="347"/>
      <c r="AY71" s="347"/>
      <c r="AZ71" s="358"/>
      <c r="BA71" s="358"/>
      <c r="BB71" s="380">
        <v>498</v>
      </c>
      <c r="BC71" s="380">
        <v>499</v>
      </c>
      <c r="BD71" s="380">
        <v>500</v>
      </c>
      <c r="BE71" s="354"/>
      <c r="BF71" s="354"/>
      <c r="BG71" s="354"/>
      <c r="BH71" s="354"/>
      <c r="BI71" s="354"/>
      <c r="BJ71" s="354"/>
      <c r="BK71" s="354"/>
      <c r="BL71" s="354"/>
      <c r="BM71" s="354"/>
      <c r="BN71" s="354"/>
      <c r="BO71" s="354"/>
      <c r="BP71" s="354"/>
      <c r="BQ71" s="354"/>
      <c r="BR71" s="354"/>
      <c r="BS71" s="354"/>
      <c r="BT71" s="504">
        <v>0</v>
      </c>
      <c r="BU71" s="504">
        <v>0</v>
      </c>
      <c r="BV71" s="410">
        <v>0.3</v>
      </c>
      <c r="BW71" s="504">
        <v>0.3</v>
      </c>
      <c r="BX71" s="504">
        <v>0.5</v>
      </c>
      <c r="BY71" s="504">
        <v>0.8</v>
      </c>
      <c r="BZ71" s="504">
        <v>0.2</v>
      </c>
      <c r="CA71" s="504">
        <v>1</v>
      </c>
      <c r="CB71" s="355"/>
      <c r="CC71" s="355"/>
      <c r="CD71" s="355"/>
      <c r="CE71" s="355"/>
      <c r="CF71" s="355"/>
      <c r="CG71" s="355"/>
      <c r="CH71" s="355"/>
      <c r="CI71" s="355"/>
      <c r="CJ71" s="355"/>
      <c r="CK71" s="355"/>
    </row>
    <row r="72" spans="2:89" s="313" customFormat="1" ht="204" x14ac:dyDescent="0.2">
      <c r="B72" s="483"/>
      <c r="C72" s="385">
        <v>69</v>
      </c>
      <c r="D72" s="812">
        <v>574</v>
      </c>
      <c r="E72" s="386" t="s">
        <v>1517</v>
      </c>
      <c r="F72" s="379" t="s">
        <v>1535</v>
      </c>
      <c r="G72" s="386" t="s">
        <v>1584</v>
      </c>
      <c r="H72" s="386" t="s">
        <v>1929</v>
      </c>
      <c r="I72" s="386" t="s">
        <v>1576</v>
      </c>
      <c r="J72" s="386" t="s">
        <v>1620</v>
      </c>
      <c r="K72" s="386" t="s">
        <v>1582</v>
      </c>
      <c r="L72" s="387" t="s">
        <v>1546</v>
      </c>
      <c r="M72" s="387">
        <v>21</v>
      </c>
      <c r="N72" s="387">
        <v>2011</v>
      </c>
      <c r="O72" s="387">
        <v>10</v>
      </c>
      <c r="P72" s="481">
        <v>17</v>
      </c>
      <c r="Q72" s="434">
        <v>12</v>
      </c>
      <c r="R72" s="434">
        <v>6</v>
      </c>
      <c r="S72" s="370"/>
      <c r="T72" s="380" t="s">
        <v>1619</v>
      </c>
      <c r="U72" s="382" t="s">
        <v>1529</v>
      </c>
      <c r="V72" s="382" t="s">
        <v>1618</v>
      </c>
      <c r="W72" s="419" t="s">
        <v>1898</v>
      </c>
      <c r="X72" s="361" t="s">
        <v>1617</v>
      </c>
      <c r="Y72" s="360" t="s">
        <v>1994</v>
      </c>
      <c r="Z72" s="361"/>
      <c r="AA72" s="361"/>
      <c r="AB72" s="359"/>
      <c r="AC72" s="362"/>
      <c r="AD72" s="363"/>
      <c r="AE72" s="359"/>
      <c r="AF72" s="359"/>
      <c r="AG72" s="361"/>
      <c r="AH72" s="361"/>
      <c r="AI72" s="361"/>
      <c r="AJ72" s="361"/>
      <c r="AK72" s="361"/>
      <c r="AL72" s="361"/>
      <c r="AM72" s="361"/>
      <c r="AN72" s="361"/>
      <c r="AO72" s="361"/>
      <c r="AP72" s="361"/>
      <c r="AQ72" s="361"/>
      <c r="AR72" s="361"/>
      <c r="AS72" s="361"/>
      <c r="AT72" s="384"/>
      <c r="AU72" s="357"/>
      <c r="AV72" s="347"/>
      <c r="AW72" s="347"/>
      <c r="AX72" s="347"/>
      <c r="AY72" s="347"/>
      <c r="AZ72" s="358"/>
      <c r="BA72" s="358"/>
      <c r="BB72" s="354"/>
      <c r="BC72" s="354"/>
      <c r="BD72" s="354"/>
      <c r="BE72" s="354"/>
      <c r="BF72" s="354"/>
      <c r="BG72" s="354"/>
      <c r="BH72" s="354"/>
      <c r="BI72" s="354"/>
      <c r="BJ72" s="354"/>
      <c r="BK72" s="354"/>
      <c r="BL72" s="354"/>
      <c r="BM72" s="354"/>
      <c r="BN72" s="354"/>
      <c r="BO72" s="354"/>
      <c r="BP72" s="354"/>
      <c r="BQ72" s="354"/>
      <c r="BR72" s="354"/>
      <c r="BS72" s="354"/>
      <c r="BT72" s="410">
        <v>3</v>
      </c>
      <c r="BU72" s="486">
        <v>18</v>
      </c>
      <c r="BV72" s="410">
        <v>1</v>
      </c>
      <c r="BW72" s="486">
        <v>17</v>
      </c>
      <c r="BX72" s="410">
        <v>1</v>
      </c>
      <c r="BY72" s="486">
        <v>16</v>
      </c>
      <c r="BZ72" s="410">
        <v>1</v>
      </c>
      <c r="CA72" s="487">
        <v>15</v>
      </c>
      <c r="CB72" s="355"/>
      <c r="CC72" s="355"/>
      <c r="CD72" s="355"/>
      <c r="CE72" s="355"/>
      <c r="CF72" s="355"/>
      <c r="CG72" s="355"/>
      <c r="CH72" s="355"/>
      <c r="CI72" s="355"/>
      <c r="CJ72" s="355"/>
      <c r="CK72" s="355"/>
    </row>
    <row r="73" spans="2:89" s="313" customFormat="1" ht="48" x14ac:dyDescent="0.2">
      <c r="B73" s="484"/>
      <c r="C73" s="377">
        <v>70</v>
      </c>
      <c r="D73" s="812">
        <v>611</v>
      </c>
      <c r="E73" s="379" t="s">
        <v>1515</v>
      </c>
      <c r="F73" s="379" t="s">
        <v>1535</v>
      </c>
      <c r="G73" s="379" t="s">
        <v>1616</v>
      </c>
      <c r="H73" s="379" t="s">
        <v>256</v>
      </c>
      <c r="I73" s="379" t="s">
        <v>1576</v>
      </c>
      <c r="J73" s="379" t="s">
        <v>1615</v>
      </c>
      <c r="K73" s="379" t="s">
        <v>1614</v>
      </c>
      <c r="L73" s="380" t="s">
        <v>1546</v>
      </c>
      <c r="M73" s="361">
        <v>8313</v>
      </c>
      <c r="N73" s="380">
        <v>2011</v>
      </c>
      <c r="O73" s="446">
        <v>6650</v>
      </c>
      <c r="P73" s="378">
        <v>6444</v>
      </c>
      <c r="Q73" s="381">
        <v>6521</v>
      </c>
      <c r="R73" s="361">
        <v>6150</v>
      </c>
      <c r="S73" s="359"/>
      <c r="T73" s="379" t="s">
        <v>1613</v>
      </c>
      <c r="U73" s="382" t="s">
        <v>1530</v>
      </c>
      <c r="V73" s="382" t="s">
        <v>1612</v>
      </c>
      <c r="W73" s="383" t="s">
        <v>1611</v>
      </c>
      <c r="X73" s="361" t="s">
        <v>1610</v>
      </c>
      <c r="Y73" s="360" t="s">
        <v>1609</v>
      </c>
      <c r="Z73" s="361"/>
      <c r="AA73" s="361"/>
      <c r="AB73" s="359"/>
      <c r="AC73" s="362"/>
      <c r="AD73" s="363"/>
      <c r="AE73" s="359"/>
      <c r="AF73" s="361"/>
      <c r="AG73" s="361"/>
      <c r="AH73" s="361"/>
      <c r="AI73" s="361"/>
      <c r="AJ73" s="361"/>
      <c r="AK73" s="361"/>
      <c r="AL73" s="361"/>
      <c r="AM73" s="361"/>
      <c r="AN73" s="361"/>
      <c r="AO73" s="361"/>
      <c r="AP73" s="361"/>
      <c r="AQ73" s="361"/>
      <c r="AR73" s="361"/>
      <c r="AS73" s="361"/>
      <c r="AT73" s="384"/>
      <c r="AU73" s="357"/>
      <c r="AV73" s="347"/>
      <c r="AW73" s="347"/>
      <c r="AX73" s="347"/>
      <c r="AY73" s="347"/>
      <c r="AZ73" s="358"/>
      <c r="BA73" s="358"/>
      <c r="BB73" s="380">
        <v>501</v>
      </c>
      <c r="BC73" s="380">
        <v>502</v>
      </c>
      <c r="BD73" s="380">
        <v>503</v>
      </c>
      <c r="BE73" s="380">
        <v>504</v>
      </c>
      <c r="BF73" s="380">
        <v>505</v>
      </c>
      <c r="BG73" s="380">
        <v>506</v>
      </c>
      <c r="BH73" s="380">
        <v>507</v>
      </c>
      <c r="BI73" s="380">
        <v>508</v>
      </c>
      <c r="BJ73" s="380">
        <v>509</v>
      </c>
      <c r="BK73" s="380">
        <v>510</v>
      </c>
      <c r="BL73" s="380">
        <v>511</v>
      </c>
      <c r="BM73" s="380">
        <v>512</v>
      </c>
      <c r="BN73" s="380">
        <v>513</v>
      </c>
      <c r="BO73" s="380">
        <v>514</v>
      </c>
      <c r="BP73" s="380">
        <v>515</v>
      </c>
      <c r="BQ73" s="380">
        <v>588</v>
      </c>
      <c r="BR73" s="380">
        <v>589</v>
      </c>
      <c r="BS73" s="354"/>
      <c r="BT73" s="504">
        <v>7845</v>
      </c>
      <c r="BU73" s="486">
        <v>7845</v>
      </c>
      <c r="BV73" s="410">
        <v>7453</v>
      </c>
      <c r="BW73" s="504">
        <v>7453</v>
      </c>
      <c r="BX73" s="509">
        <v>7080</v>
      </c>
      <c r="BY73" s="504">
        <v>7080</v>
      </c>
      <c r="BZ73" s="509">
        <v>6606</v>
      </c>
      <c r="CA73" s="504">
        <v>6606</v>
      </c>
      <c r="CB73" s="355"/>
      <c r="CC73" s="355"/>
      <c r="CD73" s="355"/>
      <c r="CE73" s="355"/>
      <c r="CF73" s="355"/>
      <c r="CG73" s="355"/>
      <c r="CH73" s="355"/>
      <c r="CI73" s="355"/>
      <c r="CJ73" s="355"/>
      <c r="CK73" s="355"/>
    </row>
    <row r="74" spans="2:89" s="313" customFormat="1" ht="36" x14ac:dyDescent="0.2">
      <c r="B74" s="484"/>
      <c r="C74" s="385">
        <v>71</v>
      </c>
      <c r="D74" s="812">
        <v>612</v>
      </c>
      <c r="E74" s="386" t="s">
        <v>1608</v>
      </c>
      <c r="F74" s="379" t="s">
        <v>1535</v>
      </c>
      <c r="G74" s="386" t="s">
        <v>1603</v>
      </c>
      <c r="H74" s="386" t="s">
        <v>255</v>
      </c>
      <c r="I74" s="386" t="s">
        <v>1576</v>
      </c>
      <c r="J74" s="386" t="s">
        <v>1607</v>
      </c>
      <c r="K74" s="386" t="s">
        <v>1601</v>
      </c>
      <c r="L74" s="387" t="s">
        <v>1546</v>
      </c>
      <c r="M74" s="387">
        <v>6</v>
      </c>
      <c r="N74" s="387">
        <v>2011</v>
      </c>
      <c r="O74" s="418">
        <v>4</v>
      </c>
      <c r="P74" s="378">
        <v>6</v>
      </c>
      <c r="Q74" s="381">
        <v>6</v>
      </c>
      <c r="R74" s="380">
        <v>6</v>
      </c>
      <c r="S74" s="370"/>
      <c r="T74" s="380"/>
      <c r="U74" s="363"/>
      <c r="V74" s="382"/>
      <c r="W74" s="383"/>
      <c r="X74" s="361"/>
      <c r="Y74" s="360"/>
      <c r="Z74" s="361"/>
      <c r="AA74" s="361"/>
      <c r="AB74" s="359"/>
      <c r="AC74" s="362"/>
      <c r="AD74" s="363"/>
      <c r="AE74" s="359"/>
      <c r="AF74" s="361"/>
      <c r="AG74" s="361"/>
      <c r="AH74" s="361"/>
      <c r="AI74" s="361"/>
      <c r="AJ74" s="361"/>
      <c r="AK74" s="361"/>
      <c r="AL74" s="361"/>
      <c r="AM74" s="361"/>
      <c r="AN74" s="361"/>
      <c r="AO74" s="361"/>
      <c r="AP74" s="361"/>
      <c r="AQ74" s="361"/>
      <c r="AR74" s="361"/>
      <c r="AS74" s="361"/>
      <c r="AT74" s="384"/>
      <c r="AU74" s="357"/>
      <c r="AV74" s="347"/>
      <c r="AW74" s="347"/>
      <c r="AX74" s="347"/>
      <c r="AY74" s="347"/>
      <c r="AZ74" s="358"/>
      <c r="BA74" s="358"/>
      <c r="BB74" s="380">
        <v>520</v>
      </c>
      <c r="BC74" s="380">
        <v>523</v>
      </c>
      <c r="BD74" s="380">
        <v>527</v>
      </c>
      <c r="BE74" s="380">
        <v>528</v>
      </c>
      <c r="BF74" s="380">
        <v>529</v>
      </c>
      <c r="BG74" s="380">
        <v>530</v>
      </c>
      <c r="BH74" s="380">
        <v>576</v>
      </c>
      <c r="BI74" s="354"/>
      <c r="BJ74" s="354"/>
      <c r="BK74" s="354"/>
      <c r="BL74" s="354"/>
      <c r="BM74" s="354"/>
      <c r="BN74" s="354"/>
      <c r="BO74" s="354"/>
      <c r="BP74" s="354"/>
      <c r="BQ74" s="354"/>
      <c r="BR74" s="354"/>
      <c r="BS74" s="354"/>
      <c r="BT74" s="410">
        <v>0</v>
      </c>
      <c r="BU74" s="410">
        <v>0</v>
      </c>
      <c r="BV74" s="486">
        <v>0</v>
      </c>
      <c r="BW74" s="410">
        <v>0</v>
      </c>
      <c r="BX74" s="410">
        <v>0</v>
      </c>
      <c r="BY74" s="410">
        <v>0</v>
      </c>
      <c r="BZ74" s="410">
        <v>2</v>
      </c>
      <c r="CA74" s="410">
        <v>2</v>
      </c>
      <c r="CB74" s="355"/>
      <c r="CC74" s="355"/>
      <c r="CD74" s="355"/>
      <c r="CE74" s="355"/>
      <c r="CF74" s="355"/>
      <c r="CG74" s="355"/>
      <c r="CH74" s="355"/>
      <c r="CI74" s="355"/>
      <c r="CJ74" s="355"/>
      <c r="CK74" s="355"/>
    </row>
    <row r="75" spans="2:89" s="313" customFormat="1" ht="252" x14ac:dyDescent="0.2">
      <c r="B75" s="484"/>
      <c r="C75" s="377">
        <v>72</v>
      </c>
      <c r="D75" s="812">
        <v>613</v>
      </c>
      <c r="E75" s="386" t="s">
        <v>1516</v>
      </c>
      <c r="F75" s="379" t="s">
        <v>1535</v>
      </c>
      <c r="G75" s="386" t="s">
        <v>1603</v>
      </c>
      <c r="H75" s="386" t="s">
        <v>254</v>
      </c>
      <c r="I75" s="386" t="s">
        <v>1576</v>
      </c>
      <c r="J75" s="386" t="s">
        <v>1606</v>
      </c>
      <c r="K75" s="386" t="s">
        <v>1582</v>
      </c>
      <c r="L75" s="387" t="s">
        <v>243</v>
      </c>
      <c r="M75" s="387">
        <v>65</v>
      </c>
      <c r="N75" s="387">
        <v>2011</v>
      </c>
      <c r="O75" s="418">
        <v>80</v>
      </c>
      <c r="P75" s="378">
        <v>65</v>
      </c>
      <c r="Q75" s="381">
        <v>56</v>
      </c>
      <c r="R75" s="380">
        <v>70</v>
      </c>
      <c r="S75" s="370"/>
      <c r="T75" s="380" t="s">
        <v>1952</v>
      </c>
      <c r="U75" s="363" t="s">
        <v>1529</v>
      </c>
      <c r="V75" s="382" t="s">
        <v>1953</v>
      </c>
      <c r="W75" s="383">
        <v>41971</v>
      </c>
      <c r="X75" s="361" t="s">
        <v>1951</v>
      </c>
      <c r="Y75" s="360" t="s">
        <v>1954</v>
      </c>
      <c r="Z75" s="361"/>
      <c r="AA75" s="361"/>
      <c r="AB75" s="359"/>
      <c r="AC75" s="362"/>
      <c r="AD75" s="363"/>
      <c r="AE75" s="359"/>
      <c r="AF75" s="361"/>
      <c r="AG75" s="361"/>
      <c r="AH75" s="361"/>
      <c r="AI75" s="361"/>
      <c r="AJ75" s="361"/>
      <c r="AK75" s="361"/>
      <c r="AL75" s="361"/>
      <c r="AM75" s="361"/>
      <c r="AN75" s="361"/>
      <c r="AO75" s="361"/>
      <c r="AP75" s="361"/>
      <c r="AQ75" s="361"/>
      <c r="AR75" s="361"/>
      <c r="AS75" s="361"/>
      <c r="AT75" s="384"/>
      <c r="AU75" s="357"/>
      <c r="AV75" s="347"/>
      <c r="AW75" s="347"/>
      <c r="AX75" s="347"/>
      <c r="AY75" s="347"/>
      <c r="AZ75" s="358"/>
      <c r="BA75" s="358"/>
      <c r="BB75" s="380">
        <v>519</v>
      </c>
      <c r="BC75" s="380">
        <v>522</v>
      </c>
      <c r="BD75" s="380">
        <v>526</v>
      </c>
      <c r="BE75" s="380">
        <v>531</v>
      </c>
      <c r="BF75" s="380">
        <v>532</v>
      </c>
      <c r="BG75" s="380">
        <v>533</v>
      </c>
      <c r="BH75" s="380">
        <v>534</v>
      </c>
      <c r="BI75" s="380">
        <v>535</v>
      </c>
      <c r="BJ75" s="380">
        <v>537</v>
      </c>
      <c r="BK75" s="354"/>
      <c r="BL75" s="354"/>
      <c r="BM75" s="354"/>
      <c r="BN75" s="354"/>
      <c r="BO75" s="354"/>
      <c r="BP75" s="354"/>
      <c r="BQ75" s="354"/>
      <c r="BR75" s="354"/>
      <c r="BS75" s="354"/>
      <c r="BT75" s="410">
        <v>0</v>
      </c>
      <c r="BU75" s="511">
        <v>0</v>
      </c>
      <c r="BV75" s="410">
        <v>5</v>
      </c>
      <c r="BW75" s="511">
        <v>0.7</v>
      </c>
      <c r="BX75" s="410">
        <v>5</v>
      </c>
      <c r="BY75" s="511">
        <v>0.75</v>
      </c>
      <c r="BZ75" s="410">
        <v>5</v>
      </c>
      <c r="CA75" s="511">
        <v>0.8</v>
      </c>
      <c r="CB75" s="355"/>
      <c r="CC75" s="355"/>
      <c r="CD75" s="355"/>
      <c r="CE75" s="355"/>
      <c r="CF75" s="355"/>
      <c r="CG75" s="355"/>
      <c r="CH75" s="355"/>
      <c r="CI75" s="355"/>
      <c r="CJ75" s="355"/>
      <c r="CK75" s="355"/>
    </row>
    <row r="76" spans="2:89" s="313" customFormat="1" ht="36" x14ac:dyDescent="0.2">
      <c r="B76" s="484"/>
      <c r="C76" s="385">
        <v>73</v>
      </c>
      <c r="D76" s="812">
        <v>614</v>
      </c>
      <c r="E76" s="386" t="s">
        <v>1511</v>
      </c>
      <c r="F76" s="379" t="s">
        <v>1535</v>
      </c>
      <c r="G76" s="386" t="s">
        <v>1603</v>
      </c>
      <c r="H76" s="386" t="s">
        <v>253</v>
      </c>
      <c r="I76" s="386" t="s">
        <v>1576</v>
      </c>
      <c r="J76" s="386" t="s">
        <v>1605</v>
      </c>
      <c r="K76" s="386" t="s">
        <v>1604</v>
      </c>
      <c r="L76" s="387" t="s">
        <v>243</v>
      </c>
      <c r="M76" s="387">
        <v>2.8</v>
      </c>
      <c r="N76" s="387">
        <v>2011</v>
      </c>
      <c r="O76" s="387">
        <v>3.8</v>
      </c>
      <c r="P76" s="378">
        <v>0</v>
      </c>
      <c r="Q76" s="381">
        <v>0</v>
      </c>
      <c r="R76" s="380"/>
      <c r="S76" s="370"/>
      <c r="T76" s="380"/>
      <c r="U76" s="363"/>
      <c r="V76" s="382"/>
      <c r="W76" s="383"/>
      <c r="X76" s="361"/>
      <c r="Y76" s="360"/>
      <c r="Z76" s="361"/>
      <c r="AA76" s="361"/>
      <c r="AB76" s="359"/>
      <c r="AC76" s="362"/>
      <c r="AD76" s="363"/>
      <c r="AE76" s="359"/>
      <c r="AF76" s="361"/>
      <c r="AG76" s="361"/>
      <c r="AH76" s="361"/>
      <c r="AI76" s="361"/>
      <c r="AJ76" s="361"/>
      <c r="AK76" s="361"/>
      <c r="AL76" s="361"/>
      <c r="AM76" s="361"/>
      <c r="AN76" s="361"/>
      <c r="AO76" s="361"/>
      <c r="AP76" s="361"/>
      <c r="AQ76" s="361"/>
      <c r="AR76" s="361"/>
      <c r="AS76" s="361"/>
      <c r="AT76" s="384"/>
      <c r="AU76" s="357"/>
      <c r="AV76" s="347"/>
      <c r="AW76" s="347"/>
      <c r="AX76" s="347"/>
      <c r="AY76" s="347"/>
      <c r="AZ76" s="358"/>
      <c r="BA76" s="358"/>
      <c r="BB76" s="380">
        <v>538</v>
      </c>
      <c r="BC76" s="380">
        <v>524</v>
      </c>
      <c r="BD76" s="380">
        <v>525</v>
      </c>
      <c r="BE76" s="380">
        <v>536</v>
      </c>
      <c r="BF76" s="380">
        <v>539</v>
      </c>
      <c r="BG76" s="380">
        <v>542</v>
      </c>
      <c r="BH76" s="354"/>
      <c r="BI76" s="354"/>
      <c r="BJ76" s="354"/>
      <c r="BK76" s="354"/>
      <c r="BL76" s="354"/>
      <c r="BM76" s="354"/>
      <c r="BN76" s="354"/>
      <c r="BO76" s="354"/>
      <c r="BP76" s="354"/>
      <c r="BQ76" s="354"/>
      <c r="BR76" s="354"/>
      <c r="BS76" s="354"/>
      <c r="BT76" s="410">
        <v>0</v>
      </c>
      <c r="BU76" s="410">
        <v>0</v>
      </c>
      <c r="BV76" s="410">
        <v>0.3</v>
      </c>
      <c r="BW76" s="410">
        <v>0.3</v>
      </c>
      <c r="BX76" s="410">
        <v>0.3</v>
      </c>
      <c r="BY76" s="410">
        <v>0.6</v>
      </c>
      <c r="BZ76" s="410">
        <v>0.4</v>
      </c>
      <c r="CA76" s="410">
        <v>1</v>
      </c>
      <c r="CB76" s="355"/>
      <c r="CC76" s="355"/>
      <c r="CD76" s="355"/>
      <c r="CE76" s="355"/>
      <c r="CF76" s="355"/>
      <c r="CG76" s="355"/>
      <c r="CH76" s="355"/>
      <c r="CI76" s="355"/>
      <c r="CJ76" s="355"/>
      <c r="CK76" s="355"/>
    </row>
    <row r="77" spans="2:89" s="313" customFormat="1" ht="36" x14ac:dyDescent="0.2">
      <c r="B77" s="484"/>
      <c r="C77" s="377">
        <v>74</v>
      </c>
      <c r="D77" s="812">
        <v>615</v>
      </c>
      <c r="E77" s="386" t="s">
        <v>1511</v>
      </c>
      <c r="F77" s="379" t="s">
        <v>1535</v>
      </c>
      <c r="G77" s="386" t="s">
        <v>1603</v>
      </c>
      <c r="H77" s="386" t="s">
        <v>252</v>
      </c>
      <c r="I77" s="386" t="s">
        <v>1576</v>
      </c>
      <c r="J77" s="386" t="s">
        <v>1602</v>
      </c>
      <c r="K77" s="386" t="s">
        <v>1601</v>
      </c>
      <c r="L77" s="387" t="s">
        <v>1546</v>
      </c>
      <c r="M77" s="387">
        <v>8</v>
      </c>
      <c r="N77" s="387">
        <v>2011</v>
      </c>
      <c r="O77" s="387">
        <v>7</v>
      </c>
      <c r="P77" s="378">
        <v>5</v>
      </c>
      <c r="Q77" s="434">
        <v>5</v>
      </c>
      <c r="R77" s="380">
        <v>5</v>
      </c>
      <c r="S77" s="370"/>
      <c r="T77" s="412" t="s">
        <v>1600</v>
      </c>
      <c r="U77" s="363"/>
      <c r="V77" s="382"/>
      <c r="W77" s="383"/>
      <c r="X77" s="361"/>
      <c r="Y77" s="360"/>
      <c r="Z77" s="361"/>
      <c r="AA77" s="361"/>
      <c r="AB77" s="359"/>
      <c r="AC77" s="362"/>
      <c r="AD77" s="363"/>
      <c r="AE77" s="359"/>
      <c r="AF77" s="361"/>
      <c r="AG77" s="361"/>
      <c r="AH77" s="361"/>
      <c r="AI77" s="361"/>
      <c r="AJ77" s="361"/>
      <c r="AK77" s="361"/>
      <c r="AL77" s="361"/>
      <c r="AM77" s="361"/>
      <c r="AN77" s="361"/>
      <c r="AO77" s="361"/>
      <c r="AP77" s="361"/>
      <c r="AQ77" s="361"/>
      <c r="AR77" s="361"/>
      <c r="AS77" s="361"/>
      <c r="AT77" s="384"/>
      <c r="AU77" s="357"/>
      <c r="AV77" s="347"/>
      <c r="AW77" s="347"/>
      <c r="AX77" s="347"/>
      <c r="AY77" s="347"/>
      <c r="AZ77" s="358"/>
      <c r="BA77" s="358"/>
      <c r="BB77" s="380">
        <v>518</v>
      </c>
      <c r="BC77" s="380">
        <v>541</v>
      </c>
      <c r="BD77" s="354"/>
      <c r="BE77" s="354"/>
      <c r="BF77" s="354"/>
      <c r="BG77" s="354"/>
      <c r="BH77" s="354"/>
      <c r="BI77" s="354"/>
      <c r="BJ77" s="354"/>
      <c r="BK77" s="354"/>
      <c r="BL77" s="354"/>
      <c r="BM77" s="354"/>
      <c r="BN77" s="354"/>
      <c r="BO77" s="354"/>
      <c r="BP77" s="354"/>
      <c r="BQ77" s="354"/>
      <c r="BR77" s="354"/>
      <c r="BS77" s="354"/>
      <c r="BT77" s="410">
        <v>0</v>
      </c>
      <c r="BU77" s="410">
        <v>0</v>
      </c>
      <c r="BV77" s="410">
        <v>0</v>
      </c>
      <c r="BW77" s="410">
        <v>0</v>
      </c>
      <c r="BX77" s="410">
        <v>0</v>
      </c>
      <c r="BY77" s="410">
        <v>0</v>
      </c>
      <c r="BZ77" s="410">
        <v>1</v>
      </c>
      <c r="CA77" s="410">
        <v>1</v>
      </c>
      <c r="CB77" s="355"/>
      <c r="CC77" s="355"/>
      <c r="CD77" s="355"/>
      <c r="CE77" s="355"/>
      <c r="CF77" s="355"/>
      <c r="CG77" s="355"/>
      <c r="CH77" s="355"/>
      <c r="CI77" s="355"/>
      <c r="CJ77" s="355"/>
      <c r="CK77" s="355"/>
    </row>
    <row r="78" spans="2:89" s="313" customFormat="1" ht="48" x14ac:dyDescent="0.2">
      <c r="B78" s="484"/>
      <c r="C78" s="385">
        <v>75</v>
      </c>
      <c r="D78" s="812">
        <v>616</v>
      </c>
      <c r="E78" s="386" t="s">
        <v>1511</v>
      </c>
      <c r="F78" s="379" t="s">
        <v>1535</v>
      </c>
      <c r="G78" s="386" t="s">
        <v>1595</v>
      </c>
      <c r="H78" s="386" t="s">
        <v>251</v>
      </c>
      <c r="I78" s="386" t="s">
        <v>1576</v>
      </c>
      <c r="J78" s="386" t="s">
        <v>1599</v>
      </c>
      <c r="K78" s="386" t="s">
        <v>1593</v>
      </c>
      <c r="L78" s="387" t="s">
        <v>243</v>
      </c>
      <c r="M78" s="387">
        <v>0</v>
      </c>
      <c r="N78" s="387">
        <v>2011</v>
      </c>
      <c r="O78" s="387">
        <v>22</v>
      </c>
      <c r="P78" s="378">
        <v>40</v>
      </c>
      <c r="Q78" s="434">
        <v>0</v>
      </c>
      <c r="R78" s="380"/>
      <c r="S78" s="370"/>
      <c r="T78" s="380"/>
      <c r="U78" s="363"/>
      <c r="V78" s="382"/>
      <c r="W78" s="383"/>
      <c r="X78" s="361"/>
      <c r="Y78" s="360"/>
      <c r="Z78" s="361"/>
      <c r="AA78" s="361"/>
      <c r="AB78" s="359"/>
      <c r="AC78" s="362"/>
      <c r="AD78" s="363"/>
      <c r="AE78" s="359"/>
      <c r="AF78" s="361"/>
      <c r="AG78" s="361"/>
      <c r="AH78" s="361"/>
      <c r="AI78" s="361"/>
      <c r="AJ78" s="361"/>
      <c r="AK78" s="361"/>
      <c r="AL78" s="361"/>
      <c r="AM78" s="361"/>
      <c r="AN78" s="361"/>
      <c r="AO78" s="361"/>
      <c r="AP78" s="361"/>
      <c r="AQ78" s="361"/>
      <c r="AR78" s="361"/>
      <c r="AS78" s="361"/>
      <c r="AT78" s="384"/>
      <c r="AU78" s="357"/>
      <c r="AV78" s="347"/>
      <c r="AW78" s="347"/>
      <c r="AX78" s="347"/>
      <c r="AY78" s="347"/>
      <c r="AZ78" s="358"/>
      <c r="BA78" s="358"/>
      <c r="BB78" s="380">
        <v>543</v>
      </c>
      <c r="BC78" s="380">
        <v>548</v>
      </c>
      <c r="BD78" s="380">
        <v>546</v>
      </c>
      <c r="BE78" s="380">
        <v>547</v>
      </c>
      <c r="BF78" s="380">
        <v>551</v>
      </c>
      <c r="BG78" s="354"/>
      <c r="BH78" s="354"/>
      <c r="BI78" s="354"/>
      <c r="BJ78" s="354"/>
      <c r="BK78" s="354"/>
      <c r="BL78" s="354"/>
      <c r="BM78" s="354"/>
      <c r="BN78" s="354"/>
      <c r="BO78" s="354"/>
      <c r="BP78" s="354"/>
      <c r="BQ78" s="354"/>
      <c r="BR78" s="354"/>
      <c r="BS78" s="354"/>
      <c r="BT78" s="410">
        <v>0</v>
      </c>
      <c r="BU78" s="410">
        <v>0</v>
      </c>
      <c r="BV78" s="410">
        <v>4</v>
      </c>
      <c r="BW78" s="410">
        <v>4</v>
      </c>
      <c r="BX78" s="410">
        <v>9</v>
      </c>
      <c r="BY78" s="410">
        <v>13</v>
      </c>
      <c r="BZ78" s="410">
        <v>9</v>
      </c>
      <c r="CA78" s="410">
        <v>22</v>
      </c>
      <c r="CB78" s="355"/>
      <c r="CC78" s="355"/>
      <c r="CD78" s="355"/>
      <c r="CE78" s="355"/>
      <c r="CF78" s="355"/>
      <c r="CG78" s="355"/>
      <c r="CH78" s="355"/>
      <c r="CI78" s="355"/>
      <c r="CJ78" s="355"/>
      <c r="CK78" s="355"/>
    </row>
    <row r="79" spans="2:89" s="313" customFormat="1" ht="48" x14ac:dyDescent="0.2">
      <c r="B79" s="484"/>
      <c r="C79" s="377">
        <v>76</v>
      </c>
      <c r="D79" s="812">
        <v>617</v>
      </c>
      <c r="E79" s="386" t="s">
        <v>1511</v>
      </c>
      <c r="F79" s="379" t="s">
        <v>1535</v>
      </c>
      <c r="G79" s="386" t="s">
        <v>1595</v>
      </c>
      <c r="H79" s="386" t="s">
        <v>250</v>
      </c>
      <c r="I79" s="386" t="s">
        <v>1576</v>
      </c>
      <c r="J79" s="386" t="s">
        <v>1598</v>
      </c>
      <c r="K79" s="386" t="s">
        <v>1593</v>
      </c>
      <c r="L79" s="387" t="s">
        <v>243</v>
      </c>
      <c r="M79" s="387">
        <v>24</v>
      </c>
      <c r="N79" s="387">
        <v>2011</v>
      </c>
      <c r="O79" s="387">
        <v>92</v>
      </c>
      <c r="P79" s="378">
        <v>73</v>
      </c>
      <c r="Q79" s="434">
        <v>116</v>
      </c>
      <c r="R79" s="380">
        <v>116</v>
      </c>
      <c r="S79" s="370"/>
      <c r="T79" s="412" t="s">
        <v>1597</v>
      </c>
      <c r="U79" s="363" t="s">
        <v>1529</v>
      </c>
      <c r="V79" s="382" t="s">
        <v>1596</v>
      </c>
      <c r="W79" s="383">
        <v>42004</v>
      </c>
      <c r="X79" s="361"/>
      <c r="Y79" s="360"/>
      <c r="Z79" s="361"/>
      <c r="AA79" s="361"/>
      <c r="AB79" s="359"/>
      <c r="AC79" s="362"/>
      <c r="AD79" s="363"/>
      <c r="AE79" s="359"/>
      <c r="AF79" s="361"/>
      <c r="AG79" s="361"/>
      <c r="AH79" s="361"/>
      <c r="AI79" s="361"/>
      <c r="AJ79" s="361"/>
      <c r="AK79" s="361"/>
      <c r="AL79" s="361"/>
      <c r="AM79" s="361"/>
      <c r="AN79" s="361"/>
      <c r="AO79" s="361"/>
      <c r="AP79" s="361"/>
      <c r="AQ79" s="361"/>
      <c r="AR79" s="361"/>
      <c r="AS79" s="361"/>
      <c r="AT79" s="384"/>
      <c r="AU79" s="357"/>
      <c r="AV79" s="347"/>
      <c r="AW79" s="347"/>
      <c r="AX79" s="347"/>
      <c r="AY79" s="347"/>
      <c r="AZ79" s="358"/>
      <c r="BA79" s="358"/>
      <c r="BB79" s="380">
        <v>544</v>
      </c>
      <c r="BC79" s="380">
        <v>545</v>
      </c>
      <c r="BD79" s="354"/>
      <c r="BE79" s="354"/>
      <c r="BF79" s="354"/>
      <c r="BG79" s="354"/>
      <c r="BH79" s="354"/>
      <c r="BI79" s="354"/>
      <c r="BJ79" s="354"/>
      <c r="BK79" s="354"/>
      <c r="BL79" s="354"/>
      <c r="BM79" s="354"/>
      <c r="BN79" s="354"/>
      <c r="BO79" s="354"/>
      <c r="BP79" s="354"/>
      <c r="BQ79" s="354"/>
      <c r="BR79" s="354"/>
      <c r="BS79" s="354"/>
      <c r="BT79" s="410">
        <v>0</v>
      </c>
      <c r="BU79" s="410">
        <v>0</v>
      </c>
      <c r="BV79" s="410">
        <v>23</v>
      </c>
      <c r="BW79" s="410">
        <v>23</v>
      </c>
      <c r="BX79" s="410">
        <v>46</v>
      </c>
      <c r="BY79" s="410">
        <v>69</v>
      </c>
      <c r="BZ79" s="410">
        <v>23</v>
      </c>
      <c r="CA79" s="410">
        <v>92</v>
      </c>
      <c r="CB79" s="355"/>
      <c r="CC79" s="355"/>
      <c r="CD79" s="355"/>
      <c r="CE79" s="355"/>
      <c r="CF79" s="355"/>
      <c r="CG79" s="355"/>
      <c r="CH79" s="355"/>
      <c r="CI79" s="355"/>
      <c r="CJ79" s="355"/>
      <c r="CK79" s="355"/>
    </row>
    <row r="80" spans="2:89" s="313" customFormat="1" ht="48" x14ac:dyDescent="0.2">
      <c r="B80" s="484"/>
      <c r="C80" s="385">
        <v>77</v>
      </c>
      <c r="D80" s="812">
        <v>618</v>
      </c>
      <c r="E80" s="386" t="s">
        <v>1511</v>
      </c>
      <c r="F80" s="379" t="s">
        <v>1535</v>
      </c>
      <c r="G80" s="386" t="s">
        <v>1595</v>
      </c>
      <c r="H80" s="386" t="s">
        <v>249</v>
      </c>
      <c r="I80" s="386" t="s">
        <v>1576</v>
      </c>
      <c r="J80" s="386" t="s">
        <v>1594</v>
      </c>
      <c r="K80" s="386" t="s">
        <v>1593</v>
      </c>
      <c r="L80" s="387" t="s">
        <v>244</v>
      </c>
      <c r="M80" s="387">
        <v>111</v>
      </c>
      <c r="N80" s="387">
        <v>2011</v>
      </c>
      <c r="O80" s="387">
        <v>116</v>
      </c>
      <c r="P80" s="378">
        <v>106</v>
      </c>
      <c r="Q80" s="434">
        <v>110</v>
      </c>
      <c r="R80" s="380"/>
      <c r="S80" s="370"/>
      <c r="T80" s="412" t="s">
        <v>1592</v>
      </c>
      <c r="U80" s="363"/>
      <c r="V80" s="382"/>
      <c r="W80" s="383"/>
      <c r="X80" s="361"/>
      <c r="Y80" s="360"/>
      <c r="Z80" s="361"/>
      <c r="AA80" s="361"/>
      <c r="AB80" s="359"/>
      <c r="AC80" s="362"/>
      <c r="AD80" s="363"/>
      <c r="AE80" s="359"/>
      <c r="AF80" s="361"/>
      <c r="AG80" s="361"/>
      <c r="AH80" s="361"/>
      <c r="AI80" s="361"/>
      <c r="AJ80" s="361"/>
      <c r="AK80" s="361"/>
      <c r="AL80" s="361"/>
      <c r="AM80" s="361"/>
      <c r="AN80" s="361"/>
      <c r="AO80" s="361"/>
      <c r="AP80" s="361"/>
      <c r="AQ80" s="361"/>
      <c r="AR80" s="361"/>
      <c r="AS80" s="361"/>
      <c r="AT80" s="384"/>
      <c r="AU80" s="357"/>
      <c r="AV80" s="347"/>
      <c r="AW80" s="347"/>
      <c r="AX80" s="347"/>
      <c r="AY80" s="347"/>
      <c r="AZ80" s="358"/>
      <c r="BA80" s="358"/>
      <c r="BB80" s="380">
        <v>549</v>
      </c>
      <c r="BC80" s="380">
        <v>550</v>
      </c>
      <c r="BD80" s="354"/>
      <c r="BE80" s="354"/>
      <c r="BF80" s="354"/>
      <c r="BG80" s="354"/>
      <c r="BH80" s="354"/>
      <c r="BI80" s="354"/>
      <c r="BJ80" s="354"/>
      <c r="BK80" s="354"/>
      <c r="BL80" s="354"/>
      <c r="BM80" s="354"/>
      <c r="BN80" s="354"/>
      <c r="BO80" s="354"/>
      <c r="BP80" s="354"/>
      <c r="BQ80" s="354"/>
      <c r="BR80" s="354"/>
      <c r="BS80" s="354"/>
      <c r="BT80" s="509">
        <v>116</v>
      </c>
      <c r="BU80" s="509">
        <v>116</v>
      </c>
      <c r="BV80" s="410">
        <v>116</v>
      </c>
      <c r="BW80" s="410">
        <v>116</v>
      </c>
      <c r="BX80" s="509">
        <v>116</v>
      </c>
      <c r="BY80" s="410">
        <v>116</v>
      </c>
      <c r="BZ80" s="509">
        <v>116</v>
      </c>
      <c r="CA80" s="410">
        <v>116</v>
      </c>
      <c r="CB80" s="355"/>
      <c r="CC80" s="355"/>
      <c r="CD80" s="355"/>
      <c r="CE80" s="355"/>
      <c r="CF80" s="355"/>
      <c r="CG80" s="355"/>
      <c r="CH80" s="355"/>
      <c r="CI80" s="355"/>
      <c r="CJ80" s="355"/>
      <c r="CK80" s="355"/>
    </row>
    <row r="81" spans="2:89" s="313" customFormat="1" ht="84" x14ac:dyDescent="0.2">
      <c r="B81" s="484"/>
      <c r="C81" s="377">
        <v>78</v>
      </c>
      <c r="D81" s="812">
        <v>619</v>
      </c>
      <c r="E81" s="386" t="s">
        <v>1591</v>
      </c>
      <c r="F81" s="379" t="s">
        <v>1535</v>
      </c>
      <c r="G81" s="386" t="s">
        <v>1590</v>
      </c>
      <c r="H81" s="386" t="s">
        <v>1589</v>
      </c>
      <c r="I81" s="386" t="s">
        <v>1576</v>
      </c>
      <c r="J81" s="386" t="s">
        <v>2846</v>
      </c>
      <c r="K81" s="386" t="s">
        <v>1588</v>
      </c>
      <c r="L81" s="387" t="s">
        <v>243</v>
      </c>
      <c r="M81" s="387">
        <v>0</v>
      </c>
      <c r="N81" s="387">
        <v>2011</v>
      </c>
      <c r="O81" s="387">
        <v>4993</v>
      </c>
      <c r="P81" s="378"/>
      <c r="Q81" s="381"/>
      <c r="R81" s="380"/>
      <c r="S81" s="370"/>
      <c r="T81" s="380"/>
      <c r="U81" s="363"/>
      <c r="V81" s="382"/>
      <c r="W81" s="383"/>
      <c r="X81" s="361"/>
      <c r="Y81" s="360"/>
      <c r="Z81" s="361"/>
      <c r="AA81" s="361"/>
      <c r="AB81" s="359"/>
      <c r="AC81" s="362"/>
      <c r="AD81" s="363"/>
      <c r="AE81" s="359"/>
      <c r="AF81" s="361"/>
      <c r="AG81" s="361"/>
      <c r="AH81" s="361"/>
      <c r="AI81" s="361"/>
      <c r="AJ81" s="361"/>
      <c r="AK81" s="361"/>
      <c r="AL81" s="361"/>
      <c r="AM81" s="361"/>
      <c r="AN81" s="361"/>
      <c r="AO81" s="361"/>
      <c r="AP81" s="361"/>
      <c r="AQ81" s="361"/>
      <c r="AR81" s="361"/>
      <c r="AS81" s="361"/>
      <c r="AT81" s="384"/>
      <c r="AU81" s="357"/>
      <c r="AV81" s="347"/>
      <c r="AW81" s="347"/>
      <c r="AX81" s="347"/>
      <c r="AY81" s="347"/>
      <c r="AZ81" s="358"/>
      <c r="BA81" s="358"/>
      <c r="BB81" s="380">
        <v>605</v>
      </c>
      <c r="BC81" s="380">
        <v>67</v>
      </c>
      <c r="BD81" s="380">
        <v>68</v>
      </c>
      <c r="BE81" s="380">
        <v>108</v>
      </c>
      <c r="BF81" s="380">
        <v>150</v>
      </c>
      <c r="BG81" s="380">
        <v>173</v>
      </c>
      <c r="BH81" s="380">
        <v>251</v>
      </c>
      <c r="BI81" s="380">
        <v>323</v>
      </c>
      <c r="BJ81" s="380">
        <v>554</v>
      </c>
      <c r="BK81" s="380">
        <v>555</v>
      </c>
      <c r="BL81" s="380">
        <v>556</v>
      </c>
      <c r="BM81" s="380">
        <v>557</v>
      </c>
      <c r="BN81" s="380">
        <v>558</v>
      </c>
      <c r="BO81" s="380">
        <v>559</v>
      </c>
      <c r="BP81" s="380">
        <v>560</v>
      </c>
      <c r="BQ81" s="380">
        <v>561</v>
      </c>
      <c r="BR81" s="380">
        <v>562</v>
      </c>
      <c r="BS81" s="380">
        <v>563</v>
      </c>
      <c r="BT81" s="410">
        <v>749</v>
      </c>
      <c r="BU81" s="410">
        <v>749</v>
      </c>
      <c r="BV81" s="410">
        <v>1248</v>
      </c>
      <c r="BW81" s="410">
        <v>1997</v>
      </c>
      <c r="BX81" s="410">
        <v>1498</v>
      </c>
      <c r="BY81" s="410">
        <v>3495</v>
      </c>
      <c r="BZ81" s="410">
        <v>1498</v>
      </c>
      <c r="CA81" s="410">
        <v>4993</v>
      </c>
      <c r="CB81" s="355"/>
      <c r="CC81" s="355"/>
      <c r="CD81" s="355"/>
      <c r="CE81" s="355"/>
      <c r="CF81" s="355"/>
      <c r="CG81" s="355"/>
      <c r="CH81" s="355"/>
      <c r="CI81" s="355"/>
      <c r="CJ81" s="355"/>
      <c r="CK81" s="355"/>
    </row>
    <row r="82" spans="2:89" s="313" customFormat="1" ht="72" x14ac:dyDescent="0.2">
      <c r="B82" s="484"/>
      <c r="C82" s="385">
        <v>79</v>
      </c>
      <c r="D82" s="812">
        <v>620</v>
      </c>
      <c r="E82" s="386" t="s">
        <v>239</v>
      </c>
      <c r="F82" s="379" t="s">
        <v>1535</v>
      </c>
      <c r="G82" s="386" t="s">
        <v>1587</v>
      </c>
      <c r="H82" s="386" t="s">
        <v>248</v>
      </c>
      <c r="I82" s="386" t="s">
        <v>1576</v>
      </c>
      <c r="J82" s="386" t="s">
        <v>1586</v>
      </c>
      <c r="K82" s="386" t="s">
        <v>1582</v>
      </c>
      <c r="L82" s="387" t="s">
        <v>243</v>
      </c>
      <c r="M82" s="387">
        <v>0</v>
      </c>
      <c r="N82" s="387">
        <v>2011</v>
      </c>
      <c r="O82" s="387">
        <v>10</v>
      </c>
      <c r="P82" s="378">
        <v>0</v>
      </c>
      <c r="Q82" s="378">
        <v>7</v>
      </c>
      <c r="R82" s="380">
        <v>17</v>
      </c>
      <c r="S82" s="447"/>
      <c r="T82" s="412" t="s">
        <v>1585</v>
      </c>
      <c r="U82" s="382" t="s">
        <v>1529</v>
      </c>
      <c r="V82" s="382" t="s">
        <v>1930</v>
      </c>
      <c r="W82" s="383" t="s">
        <v>1913</v>
      </c>
      <c r="X82" s="384" t="s">
        <v>1931</v>
      </c>
      <c r="Y82" s="360" t="s">
        <v>2009</v>
      </c>
      <c r="Z82" s="361"/>
      <c r="AA82" s="361"/>
      <c r="AB82" s="359"/>
      <c r="AC82" s="362"/>
      <c r="AD82" s="363"/>
      <c r="AE82" s="359"/>
      <c r="AF82" s="361"/>
      <c r="AG82" s="361"/>
      <c r="AH82" s="361"/>
      <c r="AI82" s="361"/>
      <c r="AJ82" s="361"/>
      <c r="AK82" s="361"/>
      <c r="AL82" s="361"/>
      <c r="AM82" s="361"/>
      <c r="AN82" s="361"/>
      <c r="AO82" s="361"/>
      <c r="AP82" s="361"/>
      <c r="AQ82" s="361"/>
      <c r="AR82" s="361"/>
      <c r="AS82" s="361"/>
      <c r="AT82" s="384"/>
      <c r="AU82" s="357"/>
      <c r="AV82" s="347"/>
      <c r="AW82" s="347"/>
      <c r="AX82" s="347"/>
      <c r="AY82" s="347"/>
      <c r="AZ82" s="358"/>
      <c r="BA82" s="358"/>
      <c r="BB82" s="380">
        <v>564</v>
      </c>
      <c r="BC82" s="380">
        <v>565</v>
      </c>
      <c r="BD82" s="380">
        <v>566</v>
      </c>
      <c r="BE82" s="380">
        <v>567</v>
      </c>
      <c r="BF82" s="354"/>
      <c r="BG82" s="354"/>
      <c r="BH82" s="354"/>
      <c r="BI82" s="354"/>
      <c r="BJ82" s="354"/>
      <c r="BK82" s="354"/>
      <c r="BL82" s="354"/>
      <c r="BM82" s="354"/>
      <c r="BN82" s="354"/>
      <c r="BO82" s="354"/>
      <c r="BP82" s="354"/>
      <c r="BQ82" s="354"/>
      <c r="BR82" s="354"/>
      <c r="BS82" s="354"/>
      <c r="BT82" s="480">
        <v>1</v>
      </c>
      <c r="BU82" s="511">
        <v>0.01</v>
      </c>
      <c r="BV82" s="410">
        <v>3</v>
      </c>
      <c r="BW82" s="511">
        <v>0.04</v>
      </c>
      <c r="BX82" s="410">
        <v>3</v>
      </c>
      <c r="BY82" s="511">
        <v>7.0000000000000007E-2</v>
      </c>
      <c r="BZ82" s="410">
        <v>3</v>
      </c>
      <c r="CA82" s="511">
        <v>0.1</v>
      </c>
      <c r="CB82" s="355"/>
      <c r="CC82" s="355"/>
      <c r="CD82" s="355"/>
      <c r="CE82" s="355"/>
      <c r="CF82" s="355"/>
      <c r="CG82" s="355"/>
      <c r="CH82" s="355"/>
      <c r="CI82" s="355"/>
      <c r="CJ82" s="355"/>
      <c r="CK82" s="355"/>
    </row>
    <row r="83" spans="2:89" s="313" customFormat="1" ht="72" x14ac:dyDescent="0.2">
      <c r="B83" s="484"/>
      <c r="C83" s="377">
        <v>80</v>
      </c>
      <c r="D83" s="812">
        <v>621</v>
      </c>
      <c r="E83" s="386" t="s">
        <v>1509</v>
      </c>
      <c r="F83" s="379" t="s">
        <v>1535</v>
      </c>
      <c r="G83" s="386" t="s">
        <v>1584</v>
      </c>
      <c r="H83" s="386" t="s">
        <v>247</v>
      </c>
      <c r="I83" s="386" t="s">
        <v>1576</v>
      </c>
      <c r="J83" s="386" t="s">
        <v>1583</v>
      </c>
      <c r="K83" s="386" t="s">
        <v>1582</v>
      </c>
      <c r="L83" s="387" t="s">
        <v>243</v>
      </c>
      <c r="M83" s="387">
        <v>4.5999999999999996</v>
      </c>
      <c r="N83" s="387">
        <v>2011</v>
      </c>
      <c r="O83" s="387">
        <v>12.8</v>
      </c>
      <c r="P83" s="378">
        <v>5.82</v>
      </c>
      <c r="Q83" s="381">
        <v>7.49</v>
      </c>
      <c r="R83" s="380">
        <v>8.82</v>
      </c>
      <c r="S83" s="370"/>
      <c r="T83" s="380" t="s">
        <v>1995</v>
      </c>
      <c r="U83" s="382" t="s">
        <v>1531</v>
      </c>
      <c r="V83" s="382" t="s">
        <v>1581</v>
      </c>
      <c r="W83" s="383">
        <v>41912</v>
      </c>
      <c r="X83" s="384" t="s">
        <v>1996</v>
      </c>
      <c r="Y83" s="360" t="s">
        <v>1997</v>
      </c>
      <c r="Z83" s="361"/>
      <c r="AA83" s="361"/>
      <c r="AB83" s="448">
        <v>10.85</v>
      </c>
      <c r="AC83" s="362"/>
      <c r="AD83" s="363"/>
      <c r="AE83" s="359"/>
      <c r="AF83" s="448">
        <v>14.12</v>
      </c>
      <c r="AG83" s="449"/>
      <c r="AH83" s="449"/>
      <c r="AI83" s="449"/>
      <c r="AJ83" s="449">
        <v>10.9</v>
      </c>
      <c r="AK83" s="449"/>
      <c r="AL83" s="449"/>
      <c r="AM83" s="449"/>
      <c r="AN83" s="449">
        <v>19.399999999999999</v>
      </c>
      <c r="AO83" s="449"/>
      <c r="AP83" s="449"/>
      <c r="AQ83" s="449"/>
      <c r="AR83" s="449">
        <v>5.69</v>
      </c>
      <c r="AS83" s="449"/>
      <c r="AT83" s="450"/>
      <c r="AU83" s="451"/>
      <c r="AV83" s="452">
        <v>13.52</v>
      </c>
      <c r="AW83" s="452"/>
      <c r="AX83" s="452"/>
      <c r="AY83" s="452"/>
      <c r="AZ83" s="453">
        <v>12.66</v>
      </c>
      <c r="BA83" s="358"/>
      <c r="BB83" s="380">
        <v>568</v>
      </c>
      <c r="BC83" s="380">
        <v>569</v>
      </c>
      <c r="BD83" s="380">
        <v>572</v>
      </c>
      <c r="BE83" s="380">
        <v>577</v>
      </c>
      <c r="BF83" s="380">
        <v>578</v>
      </c>
      <c r="BG83" s="380">
        <v>579</v>
      </c>
      <c r="BH83" s="380">
        <v>580</v>
      </c>
      <c r="BI83" s="380">
        <v>581</v>
      </c>
      <c r="BJ83" s="380">
        <v>582</v>
      </c>
      <c r="BK83" s="380">
        <v>583</v>
      </c>
      <c r="BL83" s="380">
        <v>584</v>
      </c>
      <c r="BM83" s="380">
        <v>585</v>
      </c>
      <c r="BN83" s="380">
        <v>586</v>
      </c>
      <c r="BO83" s="380">
        <v>587</v>
      </c>
      <c r="BP83" s="380">
        <v>590</v>
      </c>
      <c r="BQ83" s="380">
        <v>591</v>
      </c>
      <c r="BR83" s="380">
        <v>592</v>
      </c>
      <c r="BS83" s="354"/>
      <c r="BT83" s="410">
        <v>0</v>
      </c>
      <c r="BU83" s="382">
        <v>0</v>
      </c>
      <c r="BV83" s="410">
        <v>3</v>
      </c>
      <c r="BW83" s="382">
        <v>7.5999999999999998E-2</v>
      </c>
      <c r="BX83" s="410">
        <v>3</v>
      </c>
      <c r="BY83" s="382">
        <v>0.106</v>
      </c>
      <c r="BZ83" s="410">
        <v>2.2000000000000002</v>
      </c>
      <c r="CA83" s="382">
        <v>0.128</v>
      </c>
      <c r="CB83" s="355"/>
      <c r="CC83" s="355"/>
      <c r="CD83" s="355"/>
      <c r="CE83" s="355"/>
      <c r="CF83" s="355"/>
      <c r="CG83" s="355"/>
      <c r="CH83" s="355"/>
      <c r="CI83" s="355"/>
      <c r="CJ83" s="355"/>
      <c r="CK83" s="355"/>
    </row>
    <row r="84" spans="2:89" s="313" customFormat="1" ht="60" x14ac:dyDescent="0.2">
      <c r="B84" s="484"/>
      <c r="C84" s="385">
        <v>81</v>
      </c>
      <c r="D84" s="812">
        <v>622</v>
      </c>
      <c r="E84" s="386" t="s">
        <v>1511</v>
      </c>
      <c r="F84" s="379" t="s">
        <v>1535</v>
      </c>
      <c r="G84" s="386" t="s">
        <v>1580</v>
      </c>
      <c r="H84" s="386" t="s">
        <v>246</v>
      </c>
      <c r="I84" s="386" t="s">
        <v>1576</v>
      </c>
      <c r="J84" s="386" t="s">
        <v>1579</v>
      </c>
      <c r="K84" s="386" t="s">
        <v>1578</v>
      </c>
      <c r="L84" s="387" t="s">
        <v>243</v>
      </c>
      <c r="M84" s="387">
        <v>0</v>
      </c>
      <c r="N84" s="387">
        <v>2011</v>
      </c>
      <c r="O84" s="387">
        <v>1</v>
      </c>
      <c r="P84" s="378">
        <v>0</v>
      </c>
      <c r="Q84" s="434">
        <v>0</v>
      </c>
      <c r="R84" s="380"/>
      <c r="S84" s="370"/>
      <c r="T84" s="380"/>
      <c r="U84" s="382"/>
      <c r="V84" s="382"/>
      <c r="W84" s="383"/>
      <c r="X84" s="361"/>
      <c r="Y84" s="360"/>
      <c r="Z84" s="361"/>
      <c r="AA84" s="361"/>
      <c r="AB84" s="359"/>
      <c r="AC84" s="362"/>
      <c r="AD84" s="363"/>
      <c r="AE84" s="359"/>
      <c r="AF84" s="361"/>
      <c r="AG84" s="361"/>
      <c r="AH84" s="361"/>
      <c r="AI84" s="361"/>
      <c r="AJ84" s="361"/>
      <c r="AK84" s="361"/>
      <c r="AL84" s="361"/>
      <c r="AM84" s="361"/>
      <c r="AN84" s="361"/>
      <c r="AO84" s="361"/>
      <c r="AP84" s="361"/>
      <c r="AQ84" s="361"/>
      <c r="AR84" s="361"/>
      <c r="AS84" s="361"/>
      <c r="AT84" s="384"/>
      <c r="AU84" s="357"/>
      <c r="AV84" s="347"/>
      <c r="AW84" s="347"/>
      <c r="AX84" s="347"/>
      <c r="AY84" s="347"/>
      <c r="AZ84" s="358"/>
      <c r="BA84" s="358"/>
      <c r="BB84" s="380">
        <v>329</v>
      </c>
      <c r="BC84" s="380">
        <v>593</v>
      </c>
      <c r="BD84" s="380">
        <v>594</v>
      </c>
      <c r="BE84" s="380">
        <v>595</v>
      </c>
      <c r="BF84" s="380">
        <v>597</v>
      </c>
      <c r="BG84" s="380">
        <v>599</v>
      </c>
      <c r="BH84" s="380"/>
      <c r="BI84" s="380"/>
      <c r="BJ84" s="354"/>
      <c r="BK84" s="354"/>
      <c r="BL84" s="354"/>
      <c r="BM84" s="354"/>
      <c r="BN84" s="354"/>
      <c r="BO84" s="354"/>
      <c r="BP84" s="354"/>
      <c r="BQ84" s="354"/>
      <c r="BR84" s="354"/>
      <c r="BS84" s="354"/>
      <c r="BT84" s="410">
        <v>0</v>
      </c>
      <c r="BU84" s="410">
        <v>0</v>
      </c>
      <c r="BV84" s="410">
        <v>1</v>
      </c>
      <c r="BW84" s="410">
        <v>1</v>
      </c>
      <c r="BX84" s="410">
        <v>0</v>
      </c>
      <c r="BY84" s="410">
        <v>1</v>
      </c>
      <c r="BZ84" s="410">
        <v>0</v>
      </c>
      <c r="CA84" s="410">
        <v>1</v>
      </c>
      <c r="CB84" s="355"/>
      <c r="CC84" s="355"/>
      <c r="CD84" s="355"/>
      <c r="CE84" s="355"/>
      <c r="CF84" s="355"/>
      <c r="CG84" s="355"/>
      <c r="CH84" s="355"/>
      <c r="CI84" s="355"/>
      <c r="CJ84" s="355"/>
      <c r="CK84" s="355"/>
    </row>
    <row r="85" spans="2:89" s="313" customFormat="1" ht="36" x14ac:dyDescent="0.2">
      <c r="B85" s="484"/>
      <c r="C85" s="377">
        <v>82</v>
      </c>
      <c r="D85" s="812">
        <v>623</v>
      </c>
      <c r="E85" s="386" t="s">
        <v>1511</v>
      </c>
      <c r="F85" s="379" t="s">
        <v>1535</v>
      </c>
      <c r="G85" s="386" t="s">
        <v>1577</v>
      </c>
      <c r="H85" s="386" t="s">
        <v>245</v>
      </c>
      <c r="I85" s="386" t="s">
        <v>1576</v>
      </c>
      <c r="J85" s="386" t="s">
        <v>1575</v>
      </c>
      <c r="K85" s="386" t="s">
        <v>1574</v>
      </c>
      <c r="L85" s="387" t="s">
        <v>243</v>
      </c>
      <c r="M85" s="387">
        <v>0</v>
      </c>
      <c r="N85" s="387">
        <v>2011</v>
      </c>
      <c r="O85" s="387">
        <v>100</v>
      </c>
      <c r="P85" s="378">
        <v>100</v>
      </c>
      <c r="Q85" s="434">
        <v>100</v>
      </c>
      <c r="R85" s="380">
        <v>100</v>
      </c>
      <c r="S85" s="370"/>
      <c r="T85" s="380" t="s">
        <v>1573</v>
      </c>
      <c r="U85" s="382" t="s">
        <v>1530</v>
      </c>
      <c r="V85" s="382" t="s">
        <v>1572</v>
      </c>
      <c r="W85" s="383">
        <v>41820</v>
      </c>
      <c r="X85" s="361"/>
      <c r="Y85" s="360"/>
      <c r="Z85" s="361"/>
      <c r="AA85" s="361"/>
      <c r="AB85" s="359"/>
      <c r="AC85" s="362"/>
      <c r="AD85" s="363"/>
      <c r="AE85" s="359"/>
      <c r="AF85" s="361"/>
      <c r="AG85" s="361"/>
      <c r="AH85" s="361"/>
      <c r="AI85" s="361"/>
      <c r="AJ85" s="361"/>
      <c r="AK85" s="361"/>
      <c r="AL85" s="361"/>
      <c r="AM85" s="361"/>
      <c r="AN85" s="361"/>
      <c r="AO85" s="361"/>
      <c r="AP85" s="361"/>
      <c r="AQ85" s="361"/>
      <c r="AR85" s="361"/>
      <c r="AS85" s="361"/>
      <c r="AT85" s="384"/>
      <c r="AU85" s="357"/>
      <c r="AV85" s="347"/>
      <c r="AW85" s="347"/>
      <c r="AX85" s="347"/>
      <c r="AY85" s="347"/>
      <c r="AZ85" s="358"/>
      <c r="BA85" s="358"/>
      <c r="BB85" s="380">
        <v>552</v>
      </c>
      <c r="BC85" s="380">
        <v>570</v>
      </c>
      <c r="BD85" s="380">
        <v>571</v>
      </c>
      <c r="BE85" s="380">
        <v>573</v>
      </c>
      <c r="BF85" s="380">
        <v>600</v>
      </c>
      <c r="BG85" s="380">
        <v>601</v>
      </c>
      <c r="BH85" s="380">
        <v>602</v>
      </c>
      <c r="BI85" s="380">
        <v>603</v>
      </c>
      <c r="BJ85" s="380">
        <v>604</v>
      </c>
      <c r="BK85" s="380">
        <v>606</v>
      </c>
      <c r="BL85" s="380">
        <v>607</v>
      </c>
      <c r="BM85" s="380">
        <v>608</v>
      </c>
      <c r="BN85" s="354"/>
      <c r="BO85" s="354"/>
      <c r="BP85" s="354"/>
      <c r="BQ85" s="354"/>
      <c r="BR85" s="354"/>
      <c r="BS85" s="354"/>
      <c r="BT85" s="511">
        <v>0</v>
      </c>
      <c r="BU85" s="511">
        <v>0</v>
      </c>
      <c r="BV85" s="511">
        <v>0</v>
      </c>
      <c r="BW85" s="511">
        <v>0</v>
      </c>
      <c r="BX85" s="511">
        <v>1</v>
      </c>
      <c r="BY85" s="511">
        <v>0.5</v>
      </c>
      <c r="BZ85" s="511">
        <v>1</v>
      </c>
      <c r="CA85" s="511">
        <v>1</v>
      </c>
      <c r="CB85" s="355"/>
      <c r="CC85" s="355"/>
      <c r="CD85" s="355"/>
      <c r="CE85" s="355"/>
      <c r="CF85" s="355"/>
      <c r="CG85" s="355"/>
      <c r="CH85" s="355"/>
      <c r="CI85" s="355"/>
      <c r="CJ85" s="355"/>
      <c r="CK85" s="355"/>
    </row>
    <row r="86" spans="2:89" s="313" customFormat="1" ht="25.5" hidden="1" x14ac:dyDescent="0.2">
      <c r="B86" s="483"/>
      <c r="C86" s="385">
        <v>83</v>
      </c>
      <c r="D86" s="812">
        <v>650</v>
      </c>
      <c r="E86" s="379" t="s">
        <v>1511</v>
      </c>
      <c r="F86" s="379" t="s">
        <v>4</v>
      </c>
      <c r="G86" s="379"/>
      <c r="H86" s="386" t="s">
        <v>1571</v>
      </c>
      <c r="I86" s="454" t="s">
        <v>1533</v>
      </c>
      <c r="J86" s="386" t="s">
        <v>1570</v>
      </c>
      <c r="K86" s="379"/>
      <c r="L86" s="387" t="s">
        <v>243</v>
      </c>
      <c r="M86" s="391">
        <v>0.84</v>
      </c>
      <c r="N86" s="387">
        <v>2011</v>
      </c>
      <c r="O86" s="387">
        <v>0.87</v>
      </c>
      <c r="P86" s="378"/>
      <c r="Q86" s="378"/>
      <c r="R86" s="380"/>
      <c r="S86" s="370"/>
      <c r="T86" s="371"/>
      <c r="U86" s="382"/>
      <c r="V86" s="454" t="s">
        <v>1541</v>
      </c>
      <c r="W86" s="383"/>
      <c r="X86" s="361"/>
      <c r="Y86" s="360"/>
      <c r="Z86" s="361"/>
      <c r="AA86" s="361"/>
      <c r="AB86" s="359"/>
      <c r="AC86" s="444"/>
      <c r="AD86" s="363"/>
      <c r="AE86" s="359"/>
      <c r="AF86" s="361"/>
      <c r="AG86" s="361"/>
      <c r="AH86" s="361"/>
      <c r="AI86" s="361"/>
      <c r="AJ86" s="361"/>
      <c r="AK86" s="361"/>
      <c r="AL86" s="361"/>
      <c r="AM86" s="361"/>
      <c r="AN86" s="361"/>
      <c r="AO86" s="361"/>
      <c r="AP86" s="361"/>
      <c r="AQ86" s="361"/>
      <c r="AR86" s="361"/>
      <c r="AS86" s="361"/>
      <c r="AT86" s="384"/>
      <c r="AU86" s="357"/>
      <c r="AV86" s="347"/>
      <c r="AW86" s="347"/>
      <c r="AX86" s="347"/>
      <c r="AY86" s="347"/>
      <c r="AZ86" s="358"/>
      <c r="BA86" s="358"/>
      <c r="BB86" s="354"/>
      <c r="BC86" s="354"/>
      <c r="BD86" s="354"/>
      <c r="BE86" s="354"/>
      <c r="BF86" s="354"/>
      <c r="BG86" s="354"/>
      <c r="BH86" s="354"/>
      <c r="BI86" s="354"/>
      <c r="BJ86" s="354"/>
      <c r="BK86" s="354"/>
      <c r="BL86" s="354"/>
      <c r="BM86" s="354"/>
      <c r="BN86" s="354"/>
      <c r="BO86" s="354"/>
      <c r="BP86" s="354"/>
      <c r="BQ86" s="354"/>
      <c r="BR86" s="354"/>
      <c r="BS86" s="354"/>
      <c r="BT86" s="486">
        <v>0</v>
      </c>
      <c r="BU86" s="486">
        <v>0</v>
      </c>
      <c r="BV86" s="486">
        <v>0</v>
      </c>
      <c r="BW86" s="486">
        <v>0</v>
      </c>
      <c r="BX86" s="486">
        <v>0</v>
      </c>
      <c r="BY86" s="486">
        <v>0</v>
      </c>
      <c r="BZ86" s="486">
        <v>0</v>
      </c>
      <c r="CA86" s="486">
        <v>0</v>
      </c>
      <c r="CB86" s="355"/>
      <c r="CC86" s="355"/>
      <c r="CD86" s="355"/>
      <c r="CE86" s="355"/>
      <c r="CF86" s="355"/>
      <c r="CG86" s="355"/>
      <c r="CH86" s="355"/>
      <c r="CI86" s="355"/>
      <c r="CJ86" s="355"/>
      <c r="CK86" s="355"/>
    </row>
    <row r="87" spans="2:89" s="313" customFormat="1" ht="25.5" hidden="1" x14ac:dyDescent="0.2">
      <c r="B87" s="483"/>
      <c r="C87" s="377">
        <v>84</v>
      </c>
      <c r="D87" s="812">
        <v>651</v>
      </c>
      <c r="E87" s="379" t="s">
        <v>1545</v>
      </c>
      <c r="F87" s="379" t="s">
        <v>4</v>
      </c>
      <c r="G87" s="379"/>
      <c r="H87" s="386" t="s">
        <v>1569</v>
      </c>
      <c r="I87" s="454" t="s">
        <v>1533</v>
      </c>
      <c r="J87" s="386" t="s">
        <v>1567</v>
      </c>
      <c r="K87" s="379"/>
      <c r="L87" s="387" t="s">
        <v>1546</v>
      </c>
      <c r="M87" s="449">
        <v>25.259999999999998</v>
      </c>
      <c r="N87" s="387">
        <v>2011</v>
      </c>
      <c r="O87" s="387">
        <v>20</v>
      </c>
      <c r="P87" s="378"/>
      <c r="Q87" s="378"/>
      <c r="R87" s="380"/>
      <c r="S87" s="370"/>
      <c r="T87" s="455"/>
      <c r="U87" s="405"/>
      <c r="V87" s="456" t="s">
        <v>1541</v>
      </c>
      <c r="W87" s="383"/>
      <c r="X87" s="361"/>
      <c r="Y87" s="360"/>
      <c r="Z87" s="361"/>
      <c r="AA87" s="361"/>
      <c r="AB87" s="359"/>
      <c r="AC87" s="444"/>
      <c r="AD87" s="363"/>
      <c r="AE87" s="359"/>
      <c r="AF87" s="361"/>
      <c r="AG87" s="361"/>
      <c r="AH87" s="361"/>
      <c r="AI87" s="361"/>
      <c r="AJ87" s="361"/>
      <c r="AK87" s="361"/>
      <c r="AL87" s="361"/>
      <c r="AM87" s="361"/>
      <c r="AN87" s="361"/>
      <c r="AO87" s="361"/>
      <c r="AP87" s="361"/>
      <c r="AQ87" s="361"/>
      <c r="AR87" s="361"/>
      <c r="AS87" s="361"/>
      <c r="AT87" s="384"/>
      <c r="AU87" s="357"/>
      <c r="AV87" s="347"/>
      <c r="AW87" s="347"/>
      <c r="AX87" s="347"/>
      <c r="AY87" s="347"/>
      <c r="AZ87" s="358"/>
      <c r="BA87" s="358"/>
      <c r="BB87" s="354"/>
      <c r="BC87" s="354"/>
      <c r="BD87" s="354"/>
      <c r="BE87" s="354"/>
      <c r="BF87" s="354"/>
      <c r="BG87" s="354"/>
      <c r="BH87" s="354"/>
      <c r="BI87" s="354"/>
      <c r="BJ87" s="354"/>
      <c r="BK87" s="354"/>
      <c r="BL87" s="354"/>
      <c r="BM87" s="354"/>
      <c r="BN87" s="354"/>
      <c r="BO87" s="354"/>
      <c r="BP87" s="354"/>
      <c r="BQ87" s="354"/>
      <c r="BR87" s="354"/>
      <c r="BS87" s="354"/>
      <c r="BT87" s="486">
        <v>0</v>
      </c>
      <c r="BU87" s="486">
        <v>0</v>
      </c>
      <c r="BV87" s="486">
        <v>0</v>
      </c>
      <c r="BW87" s="486">
        <v>0</v>
      </c>
      <c r="BX87" s="486">
        <v>0</v>
      </c>
      <c r="BY87" s="486">
        <v>0</v>
      </c>
      <c r="BZ87" s="486">
        <v>0</v>
      </c>
      <c r="CA87" s="486">
        <v>0</v>
      </c>
      <c r="CB87" s="355"/>
      <c r="CC87" s="355"/>
      <c r="CD87" s="355"/>
      <c r="CE87" s="355"/>
      <c r="CF87" s="355"/>
      <c r="CG87" s="355"/>
      <c r="CH87" s="355"/>
      <c r="CI87" s="355"/>
      <c r="CJ87" s="355"/>
      <c r="CK87" s="355"/>
    </row>
    <row r="88" spans="2:89" s="313" customFormat="1" ht="25.5" hidden="1" x14ac:dyDescent="0.2">
      <c r="B88" s="483"/>
      <c r="C88" s="385">
        <v>85</v>
      </c>
      <c r="D88" s="812">
        <v>652</v>
      </c>
      <c r="E88" s="379" t="s">
        <v>1545</v>
      </c>
      <c r="F88" s="379" t="s">
        <v>4</v>
      </c>
      <c r="G88" s="379"/>
      <c r="H88" s="386" t="s">
        <v>1568</v>
      </c>
      <c r="I88" s="454" t="s">
        <v>1533</v>
      </c>
      <c r="J88" s="386" t="s">
        <v>1567</v>
      </c>
      <c r="K88" s="379"/>
      <c r="L88" s="387" t="s">
        <v>1546</v>
      </c>
      <c r="M88" s="449">
        <v>7.8</v>
      </c>
      <c r="N88" s="387">
        <v>2011</v>
      </c>
      <c r="O88" s="387">
        <v>6</v>
      </c>
      <c r="P88" s="378"/>
      <c r="Q88" s="378"/>
      <c r="R88" s="380"/>
      <c r="S88" s="370"/>
      <c r="T88" s="455"/>
      <c r="U88" s="405"/>
      <c r="V88" s="456" t="s">
        <v>1541</v>
      </c>
      <c r="W88" s="383"/>
      <c r="X88" s="361"/>
      <c r="Y88" s="360"/>
      <c r="Z88" s="361"/>
      <c r="AA88" s="361"/>
      <c r="AB88" s="359"/>
      <c r="AC88" s="362"/>
      <c r="AD88" s="363"/>
      <c r="AE88" s="359"/>
      <c r="AF88" s="361"/>
      <c r="AG88" s="361"/>
      <c r="AH88" s="361"/>
      <c r="AI88" s="361"/>
      <c r="AJ88" s="361"/>
      <c r="AK88" s="361"/>
      <c r="AL88" s="361"/>
      <c r="AM88" s="361"/>
      <c r="AN88" s="361"/>
      <c r="AO88" s="361"/>
      <c r="AP88" s="361"/>
      <c r="AQ88" s="361"/>
      <c r="AR88" s="361"/>
      <c r="AS88" s="361"/>
      <c r="AT88" s="384"/>
      <c r="AU88" s="357"/>
      <c r="AV88" s="347"/>
      <c r="AW88" s="347"/>
      <c r="AX88" s="347"/>
      <c r="AY88" s="347"/>
      <c r="AZ88" s="358"/>
      <c r="BA88" s="358"/>
      <c r="BB88" s="354"/>
      <c r="BC88" s="354"/>
      <c r="BD88" s="354"/>
      <c r="BE88" s="354"/>
      <c r="BF88" s="354"/>
      <c r="BG88" s="354"/>
      <c r="BH88" s="354"/>
      <c r="BI88" s="354"/>
      <c r="BJ88" s="354"/>
      <c r="BK88" s="354"/>
      <c r="BL88" s="354"/>
      <c r="BM88" s="354"/>
      <c r="BN88" s="354"/>
      <c r="BO88" s="354"/>
      <c r="BP88" s="354"/>
      <c r="BQ88" s="354"/>
      <c r="BR88" s="354"/>
      <c r="BS88" s="354"/>
      <c r="BT88" s="486">
        <v>0</v>
      </c>
      <c r="BU88" s="486">
        <v>0</v>
      </c>
      <c r="BV88" s="486">
        <v>0</v>
      </c>
      <c r="BW88" s="486">
        <v>0</v>
      </c>
      <c r="BX88" s="486">
        <v>0</v>
      </c>
      <c r="BY88" s="486">
        <v>0</v>
      </c>
      <c r="BZ88" s="486">
        <v>0</v>
      </c>
      <c r="CA88" s="486">
        <v>0</v>
      </c>
      <c r="CB88" s="355"/>
      <c r="CC88" s="355"/>
      <c r="CD88" s="355"/>
      <c r="CE88" s="355"/>
      <c r="CF88" s="355"/>
      <c r="CG88" s="355"/>
      <c r="CH88" s="355"/>
      <c r="CI88" s="355"/>
      <c r="CJ88" s="355"/>
      <c r="CK88" s="355"/>
    </row>
    <row r="89" spans="2:89" s="313" customFormat="1" ht="25.5" hidden="1" x14ac:dyDescent="0.2">
      <c r="B89" s="483"/>
      <c r="C89" s="377">
        <v>86</v>
      </c>
      <c r="D89" s="812">
        <v>653</v>
      </c>
      <c r="E89" s="379" t="s">
        <v>1510</v>
      </c>
      <c r="F89" s="379" t="s">
        <v>4</v>
      </c>
      <c r="G89" s="379"/>
      <c r="H89" s="386" t="s">
        <v>1566</v>
      </c>
      <c r="I89" s="454" t="s">
        <v>1533</v>
      </c>
      <c r="J89" s="386" t="s">
        <v>1565</v>
      </c>
      <c r="K89" s="379"/>
      <c r="L89" s="387" t="s">
        <v>1546</v>
      </c>
      <c r="M89" s="449">
        <v>13.43</v>
      </c>
      <c r="N89" s="387">
        <v>2011</v>
      </c>
      <c r="O89" s="387">
        <v>13.43</v>
      </c>
      <c r="P89" s="378">
        <v>2.9</v>
      </c>
      <c r="Q89" s="378">
        <v>8.1999999999999993</v>
      </c>
      <c r="R89" s="380"/>
      <c r="S89" s="370"/>
      <c r="T89" s="457" t="s">
        <v>1564</v>
      </c>
      <c r="U89" s="382"/>
      <c r="V89" s="454" t="s">
        <v>1541</v>
      </c>
      <c r="W89" s="383"/>
      <c r="X89" s="361"/>
      <c r="Y89" s="360"/>
      <c r="Z89" s="361"/>
      <c r="AA89" s="361"/>
      <c r="AB89" s="359"/>
      <c r="AC89" s="362"/>
      <c r="AD89" s="363"/>
      <c r="AE89" s="359"/>
      <c r="AF89" s="361"/>
      <c r="AG89" s="361"/>
      <c r="AH89" s="361"/>
      <c r="AI89" s="361"/>
      <c r="AJ89" s="361"/>
      <c r="AK89" s="361"/>
      <c r="AL89" s="361"/>
      <c r="AM89" s="361"/>
      <c r="AN89" s="361"/>
      <c r="AO89" s="361"/>
      <c r="AP89" s="361"/>
      <c r="AQ89" s="361"/>
      <c r="AR89" s="361"/>
      <c r="AS89" s="361"/>
      <c r="AT89" s="384"/>
      <c r="AU89" s="357"/>
      <c r="AV89" s="347"/>
      <c r="AW89" s="347"/>
      <c r="AX89" s="347"/>
      <c r="AY89" s="347"/>
      <c r="AZ89" s="358"/>
      <c r="BA89" s="358"/>
      <c r="BB89" s="354"/>
      <c r="BC89" s="354"/>
      <c r="BD89" s="354"/>
      <c r="BE89" s="354"/>
      <c r="BF89" s="354"/>
      <c r="BG89" s="354"/>
      <c r="BH89" s="354"/>
      <c r="BI89" s="354"/>
      <c r="BJ89" s="354"/>
      <c r="BK89" s="354"/>
      <c r="BL89" s="354"/>
      <c r="BM89" s="354"/>
      <c r="BN89" s="354"/>
      <c r="BO89" s="354"/>
      <c r="BP89" s="354"/>
      <c r="BQ89" s="354"/>
      <c r="BR89" s="354"/>
      <c r="BS89" s="354"/>
      <c r="BT89" s="486">
        <v>0</v>
      </c>
      <c r="BU89" s="486">
        <v>0</v>
      </c>
      <c r="BV89" s="486">
        <v>0</v>
      </c>
      <c r="BW89" s="486">
        <v>0</v>
      </c>
      <c r="BX89" s="486">
        <v>0</v>
      </c>
      <c r="BY89" s="486">
        <v>0</v>
      </c>
      <c r="BZ89" s="486">
        <v>0</v>
      </c>
      <c r="CA89" s="486">
        <v>0</v>
      </c>
      <c r="CB89" s="355"/>
      <c r="CC89" s="355"/>
      <c r="CD89" s="355"/>
      <c r="CE89" s="355"/>
      <c r="CF89" s="355"/>
      <c r="CG89" s="355"/>
      <c r="CH89" s="355"/>
      <c r="CI89" s="355"/>
      <c r="CJ89" s="355"/>
      <c r="CK89" s="355"/>
    </row>
    <row r="90" spans="2:89" s="313" customFormat="1" ht="25.5" hidden="1" x14ac:dyDescent="0.2">
      <c r="B90" s="483"/>
      <c r="C90" s="385">
        <v>87</v>
      </c>
      <c r="D90" s="812">
        <v>654</v>
      </c>
      <c r="E90" s="379" t="s">
        <v>1510</v>
      </c>
      <c r="F90" s="379" t="s">
        <v>4</v>
      </c>
      <c r="G90" s="379"/>
      <c r="H90" s="386" t="s">
        <v>1563</v>
      </c>
      <c r="I90" s="454" t="s">
        <v>1533</v>
      </c>
      <c r="J90" s="386" t="s">
        <v>1562</v>
      </c>
      <c r="K90" s="379"/>
      <c r="L90" s="387" t="s">
        <v>1546</v>
      </c>
      <c r="M90" s="391">
        <v>10.43</v>
      </c>
      <c r="N90" s="387">
        <v>2011</v>
      </c>
      <c r="O90" s="387">
        <v>10.43</v>
      </c>
      <c r="P90" s="378"/>
      <c r="Q90" s="378"/>
      <c r="R90" s="380"/>
      <c r="S90" s="370"/>
      <c r="T90" s="371"/>
      <c r="U90" s="382"/>
      <c r="V90" s="454" t="s">
        <v>1541</v>
      </c>
      <c r="W90" s="383"/>
      <c r="X90" s="361"/>
      <c r="Y90" s="360"/>
      <c r="Z90" s="361"/>
      <c r="AA90" s="361"/>
      <c r="AB90" s="359"/>
      <c r="AC90" s="362"/>
      <c r="AD90" s="363"/>
      <c r="AE90" s="359"/>
      <c r="AF90" s="361"/>
      <c r="AG90" s="361"/>
      <c r="AH90" s="361"/>
      <c r="AI90" s="361"/>
      <c r="AJ90" s="361"/>
      <c r="AK90" s="361"/>
      <c r="AL90" s="361"/>
      <c r="AM90" s="361"/>
      <c r="AN90" s="361"/>
      <c r="AO90" s="361"/>
      <c r="AP90" s="361"/>
      <c r="AQ90" s="361"/>
      <c r="AR90" s="361"/>
      <c r="AS90" s="361"/>
      <c r="AT90" s="384"/>
      <c r="AU90" s="357"/>
      <c r="AV90" s="347"/>
      <c r="AW90" s="347"/>
      <c r="AX90" s="347"/>
      <c r="AY90" s="347"/>
      <c r="AZ90" s="358"/>
      <c r="BA90" s="358"/>
      <c r="BB90" s="354"/>
      <c r="BC90" s="354"/>
      <c r="BD90" s="354"/>
      <c r="BE90" s="354"/>
      <c r="BF90" s="354"/>
      <c r="BG90" s="354"/>
      <c r="BH90" s="354"/>
      <c r="BI90" s="354"/>
      <c r="BJ90" s="354"/>
      <c r="BK90" s="354"/>
      <c r="BL90" s="354"/>
      <c r="BM90" s="354"/>
      <c r="BN90" s="354"/>
      <c r="BO90" s="354"/>
      <c r="BP90" s="354"/>
      <c r="BQ90" s="354"/>
      <c r="BR90" s="354"/>
      <c r="BS90" s="354"/>
      <c r="BT90" s="486">
        <v>0</v>
      </c>
      <c r="BU90" s="486">
        <v>0</v>
      </c>
      <c r="BV90" s="486">
        <v>0</v>
      </c>
      <c r="BW90" s="486">
        <v>0</v>
      </c>
      <c r="BX90" s="486">
        <v>0</v>
      </c>
      <c r="BY90" s="486">
        <v>0</v>
      </c>
      <c r="BZ90" s="486">
        <v>0</v>
      </c>
      <c r="CA90" s="486">
        <v>0</v>
      </c>
      <c r="CB90" s="355"/>
      <c r="CC90" s="355"/>
      <c r="CD90" s="355"/>
      <c r="CE90" s="355"/>
      <c r="CF90" s="355"/>
      <c r="CG90" s="355"/>
      <c r="CH90" s="355"/>
      <c r="CI90" s="355"/>
      <c r="CJ90" s="355"/>
      <c r="CK90" s="355"/>
    </row>
    <row r="91" spans="2:89" s="313" customFormat="1" ht="36" hidden="1" x14ac:dyDescent="0.2">
      <c r="B91" s="483"/>
      <c r="C91" s="377">
        <v>88</v>
      </c>
      <c r="D91" s="812">
        <v>655</v>
      </c>
      <c r="E91" s="379" t="s">
        <v>1545</v>
      </c>
      <c r="F91" s="379" t="s">
        <v>4</v>
      </c>
      <c r="G91" s="379"/>
      <c r="H91" s="386" t="s">
        <v>1561</v>
      </c>
      <c r="I91" s="454" t="s">
        <v>1533</v>
      </c>
      <c r="J91" s="386" t="s">
        <v>1560</v>
      </c>
      <c r="K91" s="379"/>
      <c r="L91" s="387" t="s">
        <v>1559</v>
      </c>
      <c r="M91" s="449">
        <v>42.9</v>
      </c>
      <c r="N91" s="387">
        <v>2011</v>
      </c>
      <c r="O91" s="387">
        <v>42.9</v>
      </c>
      <c r="P91" s="378">
        <v>10</v>
      </c>
      <c r="Q91" s="378"/>
      <c r="R91" s="380"/>
      <c r="S91" s="370"/>
      <c r="T91" s="458" t="s">
        <v>1558</v>
      </c>
      <c r="U91" s="405"/>
      <c r="V91" s="456" t="s">
        <v>1541</v>
      </c>
      <c r="W91" s="383"/>
      <c r="X91" s="361"/>
      <c r="Y91" s="360"/>
      <c r="Z91" s="361"/>
      <c r="AA91" s="361"/>
      <c r="AB91" s="359"/>
      <c r="AC91" s="362"/>
      <c r="AD91" s="363"/>
      <c r="AE91" s="359"/>
      <c r="AF91" s="361"/>
      <c r="AG91" s="361"/>
      <c r="AH91" s="361"/>
      <c r="AI91" s="361"/>
      <c r="AJ91" s="361"/>
      <c r="AK91" s="361"/>
      <c r="AL91" s="361"/>
      <c r="AM91" s="361"/>
      <c r="AN91" s="361"/>
      <c r="AO91" s="361"/>
      <c r="AP91" s="361"/>
      <c r="AQ91" s="361"/>
      <c r="AR91" s="361"/>
      <c r="AS91" s="361"/>
      <c r="AT91" s="384"/>
      <c r="AU91" s="357"/>
      <c r="AV91" s="347"/>
      <c r="AW91" s="347"/>
      <c r="AX91" s="347"/>
      <c r="AY91" s="347"/>
      <c r="AZ91" s="358"/>
      <c r="BA91" s="358"/>
      <c r="BB91" s="354"/>
      <c r="BC91" s="354"/>
      <c r="BD91" s="354"/>
      <c r="BE91" s="354"/>
      <c r="BF91" s="354"/>
      <c r="BG91" s="354"/>
      <c r="BH91" s="354"/>
      <c r="BI91" s="354"/>
      <c r="BJ91" s="354"/>
      <c r="BK91" s="354"/>
      <c r="BL91" s="354"/>
      <c r="BM91" s="354"/>
      <c r="BN91" s="354"/>
      <c r="BO91" s="354"/>
      <c r="BP91" s="354"/>
      <c r="BQ91" s="354"/>
      <c r="BR91" s="354"/>
      <c r="BS91" s="354"/>
      <c r="BT91" s="486">
        <v>0</v>
      </c>
      <c r="BU91" s="486">
        <v>0</v>
      </c>
      <c r="BV91" s="486">
        <v>0</v>
      </c>
      <c r="BW91" s="486">
        <v>0</v>
      </c>
      <c r="BX91" s="486">
        <v>0</v>
      </c>
      <c r="BY91" s="486">
        <v>0</v>
      </c>
      <c r="BZ91" s="486">
        <v>0</v>
      </c>
      <c r="CA91" s="486">
        <v>0</v>
      </c>
      <c r="CB91" s="355"/>
      <c r="CC91" s="355"/>
      <c r="CD91" s="355"/>
      <c r="CE91" s="355"/>
      <c r="CF91" s="355"/>
      <c r="CG91" s="355"/>
      <c r="CH91" s="355"/>
      <c r="CI91" s="355"/>
      <c r="CJ91" s="355"/>
      <c r="CK91" s="355"/>
    </row>
    <row r="92" spans="2:89" s="313" customFormat="1" ht="48" hidden="1" x14ac:dyDescent="0.2">
      <c r="B92" s="483"/>
      <c r="C92" s="385">
        <v>89</v>
      </c>
      <c r="D92" s="812">
        <v>656</v>
      </c>
      <c r="E92" s="379" t="s">
        <v>1524</v>
      </c>
      <c r="F92" s="379" t="s">
        <v>5</v>
      </c>
      <c r="G92" s="379"/>
      <c r="H92" s="386" t="s">
        <v>1557</v>
      </c>
      <c r="I92" s="454" t="s">
        <v>1533</v>
      </c>
      <c r="J92" s="386" t="s">
        <v>243</v>
      </c>
      <c r="K92" s="379"/>
      <c r="L92" s="387" t="s">
        <v>243</v>
      </c>
      <c r="M92" s="449">
        <v>18.899999999999999</v>
      </c>
      <c r="N92" s="387">
        <v>2011</v>
      </c>
      <c r="O92" s="387"/>
      <c r="P92" s="378"/>
      <c r="Q92" s="378"/>
      <c r="R92" s="380"/>
      <c r="S92" s="370"/>
      <c r="T92" s="371"/>
      <c r="U92" s="382"/>
      <c r="V92" s="454" t="s">
        <v>1537</v>
      </c>
      <c r="W92" s="383"/>
      <c r="X92" s="459" t="s">
        <v>1998</v>
      </c>
      <c r="Y92" s="360"/>
      <c r="Z92" s="361"/>
      <c r="AA92" s="361"/>
      <c r="AB92" s="359"/>
      <c r="AC92" s="362"/>
      <c r="AD92" s="363"/>
      <c r="AE92" s="359"/>
      <c r="AF92" s="361"/>
      <c r="AG92" s="361"/>
      <c r="AH92" s="361"/>
      <c r="AI92" s="361"/>
      <c r="AJ92" s="361"/>
      <c r="AK92" s="361"/>
      <c r="AL92" s="361"/>
      <c r="AM92" s="361"/>
      <c r="AN92" s="361"/>
      <c r="AO92" s="361"/>
      <c r="AP92" s="361"/>
      <c r="AQ92" s="361"/>
      <c r="AR92" s="361"/>
      <c r="AS92" s="361"/>
      <c r="AT92" s="384"/>
      <c r="AU92" s="357"/>
      <c r="AV92" s="347"/>
      <c r="AW92" s="347"/>
      <c r="AX92" s="347"/>
      <c r="AY92" s="347"/>
      <c r="AZ92" s="358"/>
      <c r="BA92" s="358"/>
      <c r="BB92" s="354"/>
      <c r="BC92" s="354"/>
      <c r="BD92" s="354"/>
      <c r="BE92" s="354"/>
      <c r="BF92" s="354"/>
      <c r="BG92" s="354"/>
      <c r="BH92" s="354"/>
      <c r="BI92" s="354"/>
      <c r="BJ92" s="354"/>
      <c r="BK92" s="354"/>
      <c r="BL92" s="354"/>
      <c r="BM92" s="354"/>
      <c r="BN92" s="354"/>
      <c r="BO92" s="354"/>
      <c r="BP92" s="354"/>
      <c r="BQ92" s="354"/>
      <c r="BR92" s="354"/>
      <c r="BS92" s="354"/>
      <c r="BT92" s="486">
        <v>0</v>
      </c>
      <c r="BU92" s="486">
        <v>0</v>
      </c>
      <c r="BV92" s="486">
        <v>0</v>
      </c>
      <c r="BW92" s="486">
        <v>0</v>
      </c>
      <c r="BX92" s="486">
        <v>0</v>
      </c>
      <c r="BY92" s="486">
        <v>0</v>
      </c>
      <c r="BZ92" s="486">
        <v>0</v>
      </c>
      <c r="CA92" s="486">
        <v>0</v>
      </c>
      <c r="CB92" s="355"/>
      <c r="CC92" s="355"/>
      <c r="CD92" s="355"/>
      <c r="CE92" s="355"/>
      <c r="CF92" s="355"/>
      <c r="CG92" s="355"/>
      <c r="CH92" s="355"/>
      <c r="CI92" s="355"/>
      <c r="CJ92" s="355"/>
      <c r="CK92" s="355"/>
    </row>
    <row r="93" spans="2:89" s="313" customFormat="1" ht="84" hidden="1" x14ac:dyDescent="0.2">
      <c r="B93" s="485"/>
      <c r="C93" s="377">
        <v>90</v>
      </c>
      <c r="D93" s="812">
        <v>657</v>
      </c>
      <c r="E93" s="379" t="s">
        <v>1524</v>
      </c>
      <c r="F93" s="379" t="s">
        <v>5</v>
      </c>
      <c r="G93" s="379"/>
      <c r="H93" s="386" t="s">
        <v>1556</v>
      </c>
      <c r="I93" s="454" t="s">
        <v>1533</v>
      </c>
      <c r="J93" s="386" t="s">
        <v>242</v>
      </c>
      <c r="K93" s="379"/>
      <c r="L93" s="387" t="s">
        <v>1546</v>
      </c>
      <c r="M93" s="449">
        <v>31.900000000000002</v>
      </c>
      <c r="N93" s="387">
        <v>2011</v>
      </c>
      <c r="O93" s="387">
        <v>26.9</v>
      </c>
      <c r="P93" s="378"/>
      <c r="Q93" s="378"/>
      <c r="R93" s="380"/>
      <c r="S93" s="370"/>
      <c r="T93" s="371"/>
      <c r="U93" s="382"/>
      <c r="V93" s="454" t="s">
        <v>1537</v>
      </c>
      <c r="W93" s="383"/>
      <c r="X93" s="384" t="s">
        <v>2004</v>
      </c>
      <c r="Y93" s="360"/>
      <c r="Z93" s="361"/>
      <c r="AA93" s="361"/>
      <c r="AB93" s="359"/>
      <c r="AC93" s="362"/>
      <c r="AD93" s="363"/>
      <c r="AE93" s="359"/>
      <c r="AF93" s="361"/>
      <c r="AG93" s="361"/>
      <c r="AH93" s="361"/>
      <c r="AI93" s="361"/>
      <c r="AJ93" s="361"/>
      <c r="AK93" s="361"/>
      <c r="AL93" s="361"/>
      <c r="AM93" s="361"/>
      <c r="AN93" s="361"/>
      <c r="AO93" s="361"/>
      <c r="AP93" s="361"/>
      <c r="AQ93" s="361"/>
      <c r="AR93" s="361"/>
      <c r="AS93" s="361"/>
      <c r="AT93" s="384"/>
      <c r="AU93" s="357"/>
      <c r="AV93" s="347"/>
      <c r="AW93" s="347"/>
      <c r="AX93" s="347"/>
      <c r="AY93" s="347"/>
      <c r="AZ93" s="358"/>
      <c r="BA93" s="358"/>
      <c r="BB93" s="354"/>
      <c r="BC93" s="354"/>
      <c r="BD93" s="354"/>
      <c r="BE93" s="354"/>
      <c r="BF93" s="354"/>
      <c r="BG93" s="354"/>
      <c r="BH93" s="354"/>
      <c r="BI93" s="354"/>
      <c r="BJ93" s="354"/>
      <c r="BK93" s="354"/>
      <c r="BL93" s="354"/>
      <c r="BM93" s="354"/>
      <c r="BN93" s="354"/>
      <c r="BO93" s="354"/>
      <c r="BP93" s="354"/>
      <c r="BQ93" s="354"/>
      <c r="BR93" s="354"/>
      <c r="BS93" s="354"/>
      <c r="BT93" s="486">
        <v>0</v>
      </c>
      <c r="BU93" s="486">
        <v>0</v>
      </c>
      <c r="BV93" s="486">
        <v>0</v>
      </c>
      <c r="BW93" s="486">
        <v>0</v>
      </c>
      <c r="BX93" s="486">
        <v>0</v>
      </c>
      <c r="BY93" s="486">
        <v>0</v>
      </c>
      <c r="BZ93" s="486">
        <v>0</v>
      </c>
      <c r="CA93" s="486">
        <v>0</v>
      </c>
      <c r="CB93" s="355"/>
      <c r="CC93" s="355"/>
      <c r="CD93" s="355"/>
      <c r="CE93" s="355"/>
      <c r="CF93" s="355"/>
      <c r="CG93" s="355"/>
      <c r="CH93" s="355"/>
      <c r="CI93" s="355"/>
      <c r="CJ93" s="355"/>
      <c r="CK93" s="355"/>
    </row>
    <row r="94" spans="2:89" s="313" customFormat="1" ht="48" hidden="1" x14ac:dyDescent="0.2">
      <c r="B94" s="485"/>
      <c r="C94" s="385">
        <v>91</v>
      </c>
      <c r="D94" s="812">
        <v>658</v>
      </c>
      <c r="E94" s="379" t="s">
        <v>1520</v>
      </c>
      <c r="F94" s="379" t="s">
        <v>5</v>
      </c>
      <c r="G94" s="379"/>
      <c r="H94" s="386" t="s">
        <v>1555</v>
      </c>
      <c r="I94" s="454" t="s">
        <v>1533</v>
      </c>
      <c r="J94" s="386" t="s">
        <v>242</v>
      </c>
      <c r="K94" s="379"/>
      <c r="L94" s="387" t="s">
        <v>243</v>
      </c>
      <c r="M94" s="361">
        <v>8</v>
      </c>
      <c r="N94" s="387">
        <v>2011</v>
      </c>
      <c r="O94" s="387">
        <v>8.8000000000000007</v>
      </c>
      <c r="P94" s="378"/>
      <c r="Q94" s="378"/>
      <c r="R94" s="380"/>
      <c r="S94" s="370"/>
      <c r="T94" s="371"/>
      <c r="U94" s="382"/>
      <c r="V94" s="454" t="s">
        <v>1537</v>
      </c>
      <c r="W94" s="383"/>
      <c r="X94" s="361"/>
      <c r="Y94" s="360"/>
      <c r="Z94" s="361"/>
      <c r="AA94" s="361"/>
      <c r="AB94" s="359"/>
      <c r="AC94" s="362"/>
      <c r="AD94" s="363"/>
      <c r="AE94" s="359"/>
      <c r="AF94" s="361"/>
      <c r="AG94" s="361"/>
      <c r="AH94" s="361"/>
      <c r="AI94" s="361"/>
      <c r="AJ94" s="361"/>
      <c r="AK94" s="361"/>
      <c r="AL94" s="361"/>
      <c r="AM94" s="361"/>
      <c r="AN94" s="361"/>
      <c r="AO94" s="361"/>
      <c r="AP94" s="361"/>
      <c r="AQ94" s="361"/>
      <c r="AR94" s="361"/>
      <c r="AS94" s="361"/>
      <c r="AT94" s="384"/>
      <c r="AU94" s="357"/>
      <c r="AV94" s="347"/>
      <c r="AW94" s="347"/>
      <c r="AX94" s="347"/>
      <c r="AY94" s="347"/>
      <c r="AZ94" s="358"/>
      <c r="BA94" s="358"/>
      <c r="BB94" s="354"/>
      <c r="BC94" s="354"/>
      <c r="BD94" s="354"/>
      <c r="BE94" s="354"/>
      <c r="BF94" s="354"/>
      <c r="BG94" s="354"/>
      <c r="BH94" s="354"/>
      <c r="BI94" s="354"/>
      <c r="BJ94" s="354"/>
      <c r="BK94" s="354"/>
      <c r="BL94" s="354"/>
      <c r="BM94" s="354"/>
      <c r="BN94" s="354"/>
      <c r="BO94" s="354"/>
      <c r="BP94" s="354"/>
      <c r="BQ94" s="354"/>
      <c r="BR94" s="354"/>
      <c r="BS94" s="354"/>
      <c r="BT94" s="486">
        <v>0</v>
      </c>
      <c r="BU94" s="486">
        <v>0</v>
      </c>
      <c r="BV94" s="486">
        <v>0</v>
      </c>
      <c r="BW94" s="486">
        <v>0</v>
      </c>
      <c r="BX94" s="486">
        <v>0</v>
      </c>
      <c r="BY94" s="486">
        <v>0</v>
      </c>
      <c r="BZ94" s="486">
        <v>0</v>
      </c>
      <c r="CA94" s="486">
        <v>0</v>
      </c>
      <c r="CB94" s="355"/>
      <c r="CC94" s="355"/>
      <c r="CD94" s="355"/>
      <c r="CE94" s="355"/>
      <c r="CF94" s="355"/>
      <c r="CG94" s="355"/>
      <c r="CH94" s="355"/>
      <c r="CI94" s="355"/>
      <c r="CJ94" s="355"/>
      <c r="CK94" s="355"/>
    </row>
    <row r="95" spans="2:89" s="313" customFormat="1" ht="126.75" hidden="1" customHeight="1" x14ac:dyDescent="0.2">
      <c r="B95" s="485"/>
      <c r="C95" s="377">
        <v>92</v>
      </c>
      <c r="D95" s="812">
        <v>659</v>
      </c>
      <c r="E95" s="379" t="s">
        <v>1523</v>
      </c>
      <c r="F95" s="379" t="s">
        <v>5</v>
      </c>
      <c r="G95" s="379"/>
      <c r="H95" s="386" t="s">
        <v>1554</v>
      </c>
      <c r="I95" s="454" t="s">
        <v>1533</v>
      </c>
      <c r="J95" s="386" t="s">
        <v>1932</v>
      </c>
      <c r="K95" s="379" t="s">
        <v>1933</v>
      </c>
      <c r="L95" s="387" t="s">
        <v>243</v>
      </c>
      <c r="M95" s="361">
        <v>0</v>
      </c>
      <c r="N95" s="387">
        <v>2011</v>
      </c>
      <c r="O95" s="387">
        <v>4</v>
      </c>
      <c r="P95" s="378">
        <v>1</v>
      </c>
      <c r="Q95" s="378">
        <v>2</v>
      </c>
      <c r="R95" s="380">
        <v>7</v>
      </c>
      <c r="S95" s="370"/>
      <c r="T95" s="371" t="s">
        <v>1934</v>
      </c>
      <c r="U95" s="382" t="s">
        <v>1529</v>
      </c>
      <c r="V95" s="454" t="s">
        <v>1537</v>
      </c>
      <c r="W95" s="383" t="s">
        <v>1912</v>
      </c>
      <c r="X95" s="361"/>
      <c r="Y95" s="360" t="s">
        <v>2005</v>
      </c>
      <c r="Z95" s="360"/>
      <c r="AA95" s="361"/>
      <c r="AB95" s="359"/>
      <c r="AC95" s="362"/>
      <c r="AD95" s="363"/>
      <c r="AE95" s="359"/>
      <c r="AF95" s="361"/>
      <c r="AG95" s="361"/>
      <c r="AH95" s="361"/>
      <c r="AI95" s="361"/>
      <c r="AJ95" s="361"/>
      <c r="AK95" s="361"/>
      <c r="AL95" s="361"/>
      <c r="AM95" s="361"/>
      <c r="AN95" s="361"/>
      <c r="AO95" s="361"/>
      <c r="AP95" s="361"/>
      <c r="AQ95" s="361"/>
      <c r="AR95" s="361"/>
      <c r="AS95" s="361"/>
      <c r="AT95" s="384"/>
      <c r="AU95" s="357"/>
      <c r="AV95" s="347"/>
      <c r="AW95" s="347"/>
      <c r="AX95" s="347"/>
      <c r="AY95" s="347"/>
      <c r="AZ95" s="358"/>
      <c r="BA95" s="358"/>
      <c r="BB95" s="354"/>
      <c r="BC95" s="354"/>
      <c r="BD95" s="354"/>
      <c r="BE95" s="354"/>
      <c r="BF95" s="354"/>
      <c r="BG95" s="354"/>
      <c r="BH95" s="354"/>
      <c r="BI95" s="354"/>
      <c r="BJ95" s="354"/>
      <c r="BK95" s="354"/>
      <c r="BL95" s="354"/>
      <c r="BM95" s="354"/>
      <c r="BN95" s="354"/>
      <c r="BO95" s="354"/>
      <c r="BP95" s="354"/>
      <c r="BQ95" s="354"/>
      <c r="BR95" s="354"/>
      <c r="BS95" s="354"/>
      <c r="BT95" s="486">
        <v>0</v>
      </c>
      <c r="BU95" s="486">
        <v>0</v>
      </c>
      <c r="BV95" s="486">
        <v>0</v>
      </c>
      <c r="BW95" s="486">
        <v>0</v>
      </c>
      <c r="BX95" s="486">
        <v>0</v>
      </c>
      <c r="BY95" s="486">
        <v>0</v>
      </c>
      <c r="BZ95" s="486">
        <v>0</v>
      </c>
      <c r="CA95" s="486">
        <v>0</v>
      </c>
      <c r="CB95" s="355"/>
      <c r="CC95" s="355"/>
      <c r="CD95" s="355"/>
      <c r="CE95" s="355"/>
      <c r="CF95" s="355"/>
      <c r="CG95" s="355"/>
      <c r="CH95" s="355"/>
      <c r="CI95" s="355"/>
      <c r="CJ95" s="355"/>
      <c r="CK95" s="355"/>
    </row>
    <row r="96" spans="2:89" s="313" customFormat="1" ht="75" hidden="1" customHeight="1" x14ac:dyDescent="0.2">
      <c r="B96" s="485"/>
      <c r="C96" s="385">
        <v>93</v>
      </c>
      <c r="D96" s="812">
        <v>660</v>
      </c>
      <c r="E96" s="379" t="s">
        <v>1520</v>
      </c>
      <c r="F96" s="379" t="s">
        <v>1553</v>
      </c>
      <c r="G96" s="379"/>
      <c r="H96" s="386" t="s">
        <v>1552</v>
      </c>
      <c r="I96" s="454" t="s">
        <v>1533</v>
      </c>
      <c r="J96" s="386" t="s">
        <v>242</v>
      </c>
      <c r="K96" s="379"/>
      <c r="L96" s="387" t="s">
        <v>243</v>
      </c>
      <c r="M96" s="361">
        <v>7</v>
      </c>
      <c r="N96" s="387">
        <v>2011</v>
      </c>
      <c r="O96" s="387">
        <v>6</v>
      </c>
      <c r="P96" s="378"/>
      <c r="Q96" s="378"/>
      <c r="R96" s="380"/>
      <c r="S96" s="370"/>
      <c r="T96" s="371"/>
      <c r="U96" s="382"/>
      <c r="V96" s="454" t="s">
        <v>1551</v>
      </c>
      <c r="W96" s="383"/>
      <c r="X96" s="361"/>
      <c r="Y96" s="360" t="s">
        <v>2006</v>
      </c>
      <c r="Z96" s="361"/>
      <c r="AA96" s="361"/>
      <c r="AB96" s="359"/>
      <c r="AC96" s="362"/>
      <c r="AD96" s="363"/>
      <c r="AE96" s="359"/>
      <c r="AF96" s="361"/>
      <c r="AG96" s="361"/>
      <c r="AH96" s="361"/>
      <c r="AI96" s="361"/>
      <c r="AJ96" s="361"/>
      <c r="AK96" s="361"/>
      <c r="AL96" s="361"/>
      <c r="AM96" s="361"/>
      <c r="AN96" s="361"/>
      <c r="AO96" s="361"/>
      <c r="AP96" s="361"/>
      <c r="AQ96" s="361"/>
      <c r="AR96" s="361"/>
      <c r="AS96" s="361"/>
      <c r="AT96" s="384"/>
      <c r="AU96" s="357"/>
      <c r="AV96" s="347"/>
      <c r="AW96" s="347"/>
      <c r="AX96" s="347"/>
      <c r="AY96" s="347"/>
      <c r="AZ96" s="358"/>
      <c r="BA96" s="358"/>
      <c r="BB96" s="354"/>
      <c r="BC96" s="354"/>
      <c r="BD96" s="354"/>
      <c r="BE96" s="354"/>
      <c r="BF96" s="354"/>
      <c r="BG96" s="354"/>
      <c r="BH96" s="354"/>
      <c r="BI96" s="354"/>
      <c r="BJ96" s="354"/>
      <c r="BK96" s="354"/>
      <c r="BL96" s="354"/>
      <c r="BM96" s="354"/>
      <c r="BN96" s="354"/>
      <c r="BO96" s="354"/>
      <c r="BP96" s="354"/>
      <c r="BQ96" s="354"/>
      <c r="BR96" s="354"/>
      <c r="BS96" s="354"/>
      <c r="BT96" s="486">
        <v>0</v>
      </c>
      <c r="BU96" s="486">
        <v>0</v>
      </c>
      <c r="BV96" s="486">
        <v>0</v>
      </c>
      <c r="BW96" s="486">
        <v>0</v>
      </c>
      <c r="BX96" s="486">
        <v>0</v>
      </c>
      <c r="BY96" s="486">
        <v>0</v>
      </c>
      <c r="BZ96" s="486">
        <v>0</v>
      </c>
      <c r="CA96" s="486">
        <v>0</v>
      </c>
      <c r="CB96" s="355"/>
      <c r="CC96" s="355"/>
      <c r="CD96" s="355"/>
      <c r="CE96" s="355"/>
      <c r="CF96" s="355"/>
      <c r="CG96" s="355"/>
      <c r="CH96" s="355"/>
      <c r="CI96" s="355"/>
      <c r="CJ96" s="355"/>
      <c r="CK96" s="355"/>
    </row>
    <row r="97" spans="1:89" s="313" customFormat="1" ht="48" hidden="1" x14ac:dyDescent="0.2">
      <c r="B97" s="485"/>
      <c r="C97" s="377">
        <v>94</v>
      </c>
      <c r="D97" s="812">
        <v>661</v>
      </c>
      <c r="E97" s="379" t="s">
        <v>1511</v>
      </c>
      <c r="F97" s="379" t="s">
        <v>1535</v>
      </c>
      <c r="G97" s="379"/>
      <c r="H97" s="386" t="s">
        <v>1550</v>
      </c>
      <c r="I97" s="454" t="s">
        <v>1533</v>
      </c>
      <c r="J97" s="386" t="s">
        <v>242</v>
      </c>
      <c r="K97" s="379"/>
      <c r="L97" s="387" t="s">
        <v>243</v>
      </c>
      <c r="M97" s="361">
        <v>2.8</v>
      </c>
      <c r="N97" s="387">
        <v>2011</v>
      </c>
      <c r="O97" s="387">
        <v>3.5</v>
      </c>
      <c r="P97" s="378"/>
      <c r="Q97" s="378"/>
      <c r="R97" s="380"/>
      <c r="S97" s="370"/>
      <c r="T97" s="371"/>
      <c r="U97" s="382"/>
      <c r="V97" s="454" t="s">
        <v>1532</v>
      </c>
      <c r="W97" s="383"/>
      <c r="X97" s="361"/>
      <c r="Y97" s="360"/>
      <c r="Z97" s="361"/>
      <c r="AA97" s="361"/>
      <c r="AB97" s="359"/>
      <c r="AC97" s="362"/>
      <c r="AD97" s="363"/>
      <c r="AE97" s="359"/>
      <c r="AF97" s="361"/>
      <c r="AG97" s="361"/>
      <c r="AH97" s="361"/>
      <c r="AI97" s="361"/>
      <c r="AJ97" s="361"/>
      <c r="AK97" s="361"/>
      <c r="AL97" s="361"/>
      <c r="AM97" s="361"/>
      <c r="AN97" s="361"/>
      <c r="AO97" s="361"/>
      <c r="AP97" s="361"/>
      <c r="AQ97" s="361"/>
      <c r="AR97" s="361"/>
      <c r="AS97" s="361"/>
      <c r="AT97" s="384"/>
      <c r="AU97" s="357"/>
      <c r="AV97" s="347"/>
      <c r="AW97" s="347"/>
      <c r="AX97" s="347"/>
      <c r="AY97" s="347"/>
      <c r="AZ97" s="358"/>
      <c r="BA97" s="358"/>
      <c r="BB97" s="354"/>
      <c r="BC97" s="354"/>
      <c r="BD97" s="354"/>
      <c r="BE97" s="354"/>
      <c r="BF97" s="354"/>
      <c r="BG97" s="354"/>
      <c r="BH97" s="354"/>
      <c r="BI97" s="354"/>
      <c r="BJ97" s="354"/>
      <c r="BK97" s="354"/>
      <c r="BL97" s="354"/>
      <c r="BM97" s="354"/>
      <c r="BN97" s="354"/>
      <c r="BO97" s="354"/>
      <c r="BP97" s="354"/>
      <c r="BQ97" s="354"/>
      <c r="BR97" s="354"/>
      <c r="BS97" s="354"/>
      <c r="BT97" s="486">
        <v>0</v>
      </c>
      <c r="BU97" s="486">
        <v>0</v>
      </c>
      <c r="BV97" s="486">
        <v>0</v>
      </c>
      <c r="BW97" s="486">
        <v>0</v>
      </c>
      <c r="BX97" s="486">
        <v>0</v>
      </c>
      <c r="BY97" s="486">
        <v>0</v>
      </c>
      <c r="BZ97" s="486">
        <v>0</v>
      </c>
      <c r="CA97" s="486">
        <v>0</v>
      </c>
      <c r="CB97" s="355"/>
      <c r="CC97" s="355"/>
      <c r="CD97" s="355"/>
      <c r="CE97" s="355"/>
      <c r="CF97" s="355"/>
      <c r="CG97" s="355"/>
      <c r="CH97" s="355"/>
      <c r="CI97" s="355"/>
      <c r="CJ97" s="355"/>
      <c r="CK97" s="355"/>
    </row>
    <row r="98" spans="1:89" s="313" customFormat="1" ht="36" hidden="1" x14ac:dyDescent="0.2">
      <c r="B98" s="485"/>
      <c r="C98" s="385">
        <v>95</v>
      </c>
      <c r="D98" s="812">
        <v>662</v>
      </c>
      <c r="E98" s="379" t="s">
        <v>1516</v>
      </c>
      <c r="F98" s="379" t="s">
        <v>1535</v>
      </c>
      <c r="G98" s="379"/>
      <c r="H98" s="386" t="s">
        <v>1549</v>
      </c>
      <c r="I98" s="454" t="s">
        <v>1533</v>
      </c>
      <c r="J98" s="386" t="s">
        <v>242</v>
      </c>
      <c r="K98" s="379"/>
      <c r="L98" s="387" t="s">
        <v>243</v>
      </c>
      <c r="M98" s="449">
        <v>67.69</v>
      </c>
      <c r="N98" s="387">
        <v>2011</v>
      </c>
      <c r="O98" s="387">
        <v>70.010000000000005</v>
      </c>
      <c r="P98" s="378"/>
      <c r="Q98" s="378"/>
      <c r="R98" s="380"/>
      <c r="S98" s="370"/>
      <c r="T98" s="371"/>
      <c r="U98" s="382"/>
      <c r="V98" s="454" t="s">
        <v>1532</v>
      </c>
      <c r="W98" s="383"/>
      <c r="X98" s="361"/>
      <c r="Y98" s="360"/>
      <c r="Z98" s="361"/>
      <c r="AA98" s="361"/>
      <c r="AB98" s="359"/>
      <c r="AC98" s="362"/>
      <c r="AD98" s="363"/>
      <c r="AE98" s="359"/>
      <c r="AF98" s="361"/>
      <c r="AG98" s="361"/>
      <c r="AH98" s="361"/>
      <c r="AI98" s="361"/>
      <c r="AJ98" s="361"/>
      <c r="AK98" s="361"/>
      <c r="AL98" s="361"/>
      <c r="AM98" s="361"/>
      <c r="AN98" s="361"/>
      <c r="AO98" s="361"/>
      <c r="AP98" s="361"/>
      <c r="AQ98" s="361"/>
      <c r="AR98" s="361"/>
      <c r="AS98" s="361"/>
      <c r="AT98" s="384"/>
      <c r="AU98" s="357"/>
      <c r="AV98" s="347"/>
      <c r="AW98" s="347"/>
      <c r="AX98" s="347"/>
      <c r="AY98" s="347"/>
      <c r="AZ98" s="358"/>
      <c r="BA98" s="358"/>
      <c r="BB98" s="354"/>
      <c r="BC98" s="354"/>
      <c r="BD98" s="354"/>
      <c r="BE98" s="354"/>
      <c r="BF98" s="354"/>
      <c r="BG98" s="354"/>
      <c r="BH98" s="354"/>
      <c r="BI98" s="354"/>
      <c r="BJ98" s="354"/>
      <c r="BK98" s="354"/>
      <c r="BL98" s="354"/>
      <c r="BM98" s="354"/>
      <c r="BN98" s="354"/>
      <c r="BO98" s="354"/>
      <c r="BP98" s="354"/>
      <c r="BQ98" s="354"/>
      <c r="BR98" s="354"/>
      <c r="BS98" s="354"/>
      <c r="BT98" s="486">
        <v>0</v>
      </c>
      <c r="BU98" s="486">
        <v>0</v>
      </c>
      <c r="BV98" s="486">
        <v>0</v>
      </c>
      <c r="BW98" s="486">
        <v>0</v>
      </c>
      <c r="BX98" s="486">
        <v>0</v>
      </c>
      <c r="BY98" s="486">
        <v>0</v>
      </c>
      <c r="BZ98" s="486">
        <v>0</v>
      </c>
      <c r="CA98" s="486">
        <v>0</v>
      </c>
      <c r="CB98" s="355"/>
      <c r="CC98" s="355"/>
      <c r="CD98" s="355"/>
      <c r="CE98" s="355"/>
      <c r="CF98" s="355"/>
      <c r="CG98" s="355"/>
      <c r="CH98" s="355"/>
      <c r="CI98" s="355"/>
      <c r="CJ98" s="355"/>
      <c r="CK98" s="355"/>
    </row>
    <row r="99" spans="1:89" s="313" customFormat="1" ht="48" hidden="1" x14ac:dyDescent="0.2">
      <c r="B99" s="485"/>
      <c r="C99" s="377">
        <v>96</v>
      </c>
      <c r="D99" s="812">
        <v>663</v>
      </c>
      <c r="E99" s="379" t="s">
        <v>1511</v>
      </c>
      <c r="F99" s="379" t="s">
        <v>1535</v>
      </c>
      <c r="G99" s="379"/>
      <c r="H99" s="386" t="s">
        <v>1548</v>
      </c>
      <c r="I99" s="454" t="s">
        <v>1533</v>
      </c>
      <c r="J99" s="386" t="s">
        <v>242</v>
      </c>
      <c r="K99" s="379"/>
      <c r="L99" s="387" t="s">
        <v>243</v>
      </c>
      <c r="M99" s="449">
        <v>71.58</v>
      </c>
      <c r="N99" s="387">
        <v>2011</v>
      </c>
      <c r="O99" s="387">
        <v>74.58</v>
      </c>
      <c r="P99" s="378"/>
      <c r="Q99" s="378"/>
      <c r="R99" s="380"/>
      <c r="S99" s="370"/>
      <c r="T99" s="371"/>
      <c r="U99" s="382"/>
      <c r="V99" s="454" t="s">
        <v>1532</v>
      </c>
      <c r="W99" s="383"/>
      <c r="X99" s="361"/>
      <c r="Y99" s="360"/>
      <c r="Z99" s="361"/>
      <c r="AA99" s="361"/>
      <c r="AB99" s="359"/>
      <c r="AC99" s="362"/>
      <c r="AD99" s="363"/>
      <c r="AE99" s="359"/>
      <c r="AF99" s="361"/>
      <c r="AG99" s="361"/>
      <c r="AH99" s="361"/>
      <c r="AI99" s="361"/>
      <c r="AJ99" s="361"/>
      <c r="AK99" s="361"/>
      <c r="AL99" s="361"/>
      <c r="AM99" s="361"/>
      <c r="AN99" s="361"/>
      <c r="AO99" s="361"/>
      <c r="AP99" s="361"/>
      <c r="AQ99" s="361"/>
      <c r="AR99" s="361"/>
      <c r="AS99" s="361"/>
      <c r="AT99" s="384"/>
      <c r="AU99" s="357"/>
      <c r="AV99" s="347"/>
      <c r="AW99" s="347"/>
      <c r="AX99" s="347"/>
      <c r="AY99" s="347"/>
      <c r="AZ99" s="358"/>
      <c r="BA99" s="358"/>
      <c r="BB99" s="354"/>
      <c r="BC99" s="354"/>
      <c r="BD99" s="354"/>
      <c r="BE99" s="354"/>
      <c r="BF99" s="354"/>
      <c r="BG99" s="354"/>
      <c r="BH99" s="354"/>
      <c r="BI99" s="354"/>
      <c r="BJ99" s="354"/>
      <c r="BK99" s="354"/>
      <c r="BL99" s="354"/>
      <c r="BM99" s="354"/>
      <c r="BN99" s="354"/>
      <c r="BO99" s="354"/>
      <c r="BP99" s="354"/>
      <c r="BQ99" s="354"/>
      <c r="BR99" s="354"/>
      <c r="BS99" s="354"/>
      <c r="BT99" s="486">
        <v>0</v>
      </c>
      <c r="BU99" s="486">
        <v>0</v>
      </c>
      <c r="BV99" s="486">
        <v>0</v>
      </c>
      <c r="BW99" s="486">
        <v>0</v>
      </c>
      <c r="BX99" s="486">
        <v>0</v>
      </c>
      <c r="BY99" s="486">
        <v>0</v>
      </c>
      <c r="BZ99" s="486">
        <v>0</v>
      </c>
      <c r="CA99" s="486">
        <v>0</v>
      </c>
      <c r="CB99" s="355"/>
      <c r="CC99" s="355"/>
      <c r="CD99" s="355"/>
      <c r="CE99" s="355"/>
      <c r="CF99" s="355"/>
      <c r="CG99" s="355"/>
      <c r="CH99" s="355"/>
      <c r="CI99" s="355"/>
      <c r="CJ99" s="355"/>
      <c r="CK99" s="355"/>
    </row>
    <row r="100" spans="1:89" s="313" customFormat="1" ht="36" hidden="1" x14ac:dyDescent="0.2">
      <c r="B100" s="485"/>
      <c r="C100" s="385">
        <v>97</v>
      </c>
      <c r="D100" s="812">
        <v>664</v>
      </c>
      <c r="E100" s="379" t="s">
        <v>1545</v>
      </c>
      <c r="F100" s="379" t="s">
        <v>1535</v>
      </c>
      <c r="G100" s="379"/>
      <c r="H100" s="386" t="s">
        <v>1547</v>
      </c>
      <c r="I100" s="454" t="s">
        <v>1533</v>
      </c>
      <c r="J100" s="386" t="s">
        <v>242</v>
      </c>
      <c r="K100" s="379"/>
      <c r="L100" s="387" t="s">
        <v>1546</v>
      </c>
      <c r="M100" s="361">
        <v>0</v>
      </c>
      <c r="N100" s="387">
        <v>2011</v>
      </c>
      <c r="O100" s="387"/>
      <c r="P100" s="378"/>
      <c r="Q100" s="378"/>
      <c r="R100" s="380"/>
      <c r="S100" s="370"/>
      <c r="T100" s="455"/>
      <c r="U100" s="405"/>
      <c r="V100" s="456" t="s">
        <v>1532</v>
      </c>
      <c r="W100" s="383"/>
      <c r="X100" s="361"/>
      <c r="Y100" s="360"/>
      <c r="Z100" s="361"/>
      <c r="AA100" s="361"/>
      <c r="AB100" s="359"/>
      <c r="AC100" s="362"/>
      <c r="AD100" s="363"/>
      <c r="AE100" s="359"/>
      <c r="AF100" s="361"/>
      <c r="AG100" s="361"/>
      <c r="AH100" s="361"/>
      <c r="AI100" s="361"/>
      <c r="AJ100" s="361"/>
      <c r="AK100" s="361"/>
      <c r="AL100" s="361"/>
      <c r="AM100" s="361"/>
      <c r="AN100" s="361"/>
      <c r="AO100" s="361"/>
      <c r="AP100" s="361"/>
      <c r="AQ100" s="361"/>
      <c r="AR100" s="361"/>
      <c r="AS100" s="361"/>
      <c r="AT100" s="384"/>
      <c r="AU100" s="357"/>
      <c r="AV100" s="347"/>
      <c r="AW100" s="347"/>
      <c r="AX100" s="347"/>
      <c r="AY100" s="347"/>
      <c r="AZ100" s="358"/>
      <c r="BA100" s="358"/>
      <c r="BB100" s="354"/>
      <c r="BC100" s="354"/>
      <c r="BD100" s="354"/>
      <c r="BE100" s="354"/>
      <c r="BF100" s="354"/>
      <c r="BG100" s="354"/>
      <c r="BH100" s="354"/>
      <c r="BI100" s="354"/>
      <c r="BJ100" s="354"/>
      <c r="BK100" s="354"/>
      <c r="BL100" s="354"/>
      <c r="BM100" s="354"/>
      <c r="BN100" s="354"/>
      <c r="BO100" s="354"/>
      <c r="BP100" s="354"/>
      <c r="BQ100" s="354"/>
      <c r="BR100" s="354"/>
      <c r="BS100" s="354"/>
      <c r="BT100" s="486">
        <v>0</v>
      </c>
      <c r="BU100" s="486">
        <v>0</v>
      </c>
      <c r="BV100" s="486">
        <v>0</v>
      </c>
      <c r="BW100" s="486">
        <v>0</v>
      </c>
      <c r="BX100" s="486">
        <v>0</v>
      </c>
      <c r="BY100" s="486">
        <v>0</v>
      </c>
      <c r="BZ100" s="486">
        <v>0</v>
      </c>
      <c r="CA100" s="486">
        <v>0</v>
      </c>
      <c r="CB100" s="355"/>
      <c r="CC100" s="355"/>
      <c r="CD100" s="355"/>
      <c r="CE100" s="355"/>
      <c r="CF100" s="355"/>
      <c r="CG100" s="355"/>
      <c r="CH100" s="355"/>
      <c r="CI100" s="355"/>
      <c r="CJ100" s="355"/>
      <c r="CK100" s="355"/>
    </row>
    <row r="101" spans="1:89" s="313" customFormat="1" ht="36" hidden="1" x14ac:dyDescent="0.2">
      <c r="B101" s="485"/>
      <c r="C101" s="377">
        <v>98</v>
      </c>
      <c r="D101" s="812">
        <v>665</v>
      </c>
      <c r="E101" s="379" t="s">
        <v>1545</v>
      </c>
      <c r="F101" s="379" t="s">
        <v>4</v>
      </c>
      <c r="G101" s="379"/>
      <c r="H101" s="386" t="s">
        <v>1544</v>
      </c>
      <c r="I101" s="454" t="s">
        <v>1533</v>
      </c>
      <c r="J101" s="386" t="s">
        <v>1543</v>
      </c>
      <c r="K101" s="379"/>
      <c r="L101" s="387" t="s">
        <v>243</v>
      </c>
      <c r="M101" s="361" t="s">
        <v>1542</v>
      </c>
      <c r="N101" s="387">
        <v>2011</v>
      </c>
      <c r="O101" s="387">
        <v>2000</v>
      </c>
      <c r="P101" s="378"/>
      <c r="Q101" s="378"/>
      <c r="R101" s="380"/>
      <c r="S101" s="370"/>
      <c r="T101" s="455"/>
      <c r="U101" s="405"/>
      <c r="V101" s="456" t="s">
        <v>1541</v>
      </c>
      <c r="W101" s="383"/>
      <c r="X101" s="361"/>
      <c r="Y101" s="360"/>
      <c r="Z101" s="361"/>
      <c r="AA101" s="361"/>
      <c r="AB101" s="359"/>
      <c r="AC101" s="362"/>
      <c r="AD101" s="363"/>
      <c r="AE101" s="359"/>
      <c r="AF101" s="361"/>
      <c r="AG101" s="361"/>
      <c r="AH101" s="361"/>
      <c r="AI101" s="361"/>
      <c r="AJ101" s="361"/>
      <c r="AK101" s="361"/>
      <c r="AL101" s="361"/>
      <c r="AM101" s="361"/>
      <c r="AN101" s="361"/>
      <c r="AO101" s="361"/>
      <c r="AP101" s="361"/>
      <c r="AQ101" s="361"/>
      <c r="AR101" s="361"/>
      <c r="AS101" s="361"/>
      <c r="AT101" s="384"/>
      <c r="AU101" s="357"/>
      <c r="AV101" s="347"/>
      <c r="AW101" s="347"/>
      <c r="AX101" s="347"/>
      <c r="AY101" s="347"/>
      <c r="AZ101" s="358"/>
      <c r="BA101" s="358"/>
      <c r="BB101" s="354"/>
      <c r="BC101" s="354"/>
      <c r="BD101" s="354"/>
      <c r="BE101" s="354"/>
      <c r="BF101" s="354"/>
      <c r="BG101" s="354"/>
      <c r="BH101" s="354"/>
      <c r="BI101" s="354"/>
      <c r="BJ101" s="354"/>
      <c r="BK101" s="354"/>
      <c r="BL101" s="354"/>
      <c r="BM101" s="354"/>
      <c r="BN101" s="354"/>
      <c r="BO101" s="354"/>
      <c r="BP101" s="354"/>
      <c r="BQ101" s="354"/>
      <c r="BR101" s="354"/>
      <c r="BS101" s="354"/>
      <c r="BT101" s="486">
        <v>0</v>
      </c>
      <c r="BU101" s="486">
        <v>0</v>
      </c>
      <c r="BV101" s="486">
        <v>0</v>
      </c>
      <c r="BW101" s="486">
        <v>0</v>
      </c>
      <c r="BX101" s="486">
        <v>0</v>
      </c>
      <c r="BY101" s="486">
        <v>0</v>
      </c>
      <c r="BZ101" s="486">
        <v>0</v>
      </c>
      <c r="CA101" s="486">
        <v>0</v>
      </c>
      <c r="CB101" s="355"/>
      <c r="CC101" s="355"/>
      <c r="CD101" s="355"/>
      <c r="CE101" s="355"/>
      <c r="CF101" s="355"/>
      <c r="CG101" s="355"/>
      <c r="CH101" s="355"/>
      <c r="CI101" s="355"/>
      <c r="CJ101" s="355"/>
      <c r="CK101" s="355"/>
    </row>
    <row r="102" spans="1:89" s="313" customFormat="1" ht="60" hidden="1" x14ac:dyDescent="0.2">
      <c r="B102" s="485"/>
      <c r="C102" s="385">
        <v>99</v>
      </c>
      <c r="D102" s="812">
        <v>666</v>
      </c>
      <c r="E102" s="379" t="s">
        <v>240</v>
      </c>
      <c r="F102" s="379" t="s">
        <v>5</v>
      </c>
      <c r="G102" s="379"/>
      <c r="H102" s="386" t="s">
        <v>1540</v>
      </c>
      <c r="I102" s="454" t="s">
        <v>1533</v>
      </c>
      <c r="J102" s="386" t="s">
        <v>242</v>
      </c>
      <c r="K102" s="379"/>
      <c r="L102" s="387" t="s">
        <v>243</v>
      </c>
      <c r="M102" s="361">
        <v>0</v>
      </c>
      <c r="N102" s="387">
        <v>2011</v>
      </c>
      <c r="O102" s="387"/>
      <c r="P102" s="378"/>
      <c r="Q102" s="378"/>
      <c r="R102" s="380"/>
      <c r="S102" s="370"/>
      <c r="T102" s="371"/>
      <c r="U102" s="382"/>
      <c r="V102" s="454" t="s">
        <v>1537</v>
      </c>
      <c r="W102" s="383"/>
      <c r="X102" s="361"/>
      <c r="Y102" s="360"/>
      <c r="Z102" s="361"/>
      <c r="AA102" s="361"/>
      <c r="AB102" s="359"/>
      <c r="AC102" s="362"/>
      <c r="AD102" s="363"/>
      <c r="AE102" s="359"/>
      <c r="AF102" s="361"/>
      <c r="AG102" s="361"/>
      <c r="AH102" s="361"/>
      <c r="AI102" s="361"/>
      <c r="AJ102" s="361"/>
      <c r="AK102" s="361"/>
      <c r="AL102" s="361"/>
      <c r="AM102" s="361"/>
      <c r="AN102" s="361"/>
      <c r="AO102" s="361"/>
      <c r="AP102" s="361"/>
      <c r="AQ102" s="361"/>
      <c r="AR102" s="361"/>
      <c r="AS102" s="361"/>
      <c r="AT102" s="384"/>
      <c r="AU102" s="357"/>
      <c r="AV102" s="347"/>
      <c r="AW102" s="347"/>
      <c r="AX102" s="347"/>
      <c r="AY102" s="347"/>
      <c r="AZ102" s="358"/>
      <c r="BA102" s="358"/>
      <c r="BB102" s="354"/>
      <c r="BC102" s="354"/>
      <c r="BD102" s="354"/>
      <c r="BE102" s="354"/>
      <c r="BF102" s="354"/>
      <c r="BG102" s="354"/>
      <c r="BH102" s="354"/>
      <c r="BI102" s="354"/>
      <c r="BJ102" s="354"/>
      <c r="BK102" s="354"/>
      <c r="BL102" s="354"/>
      <c r="BM102" s="354"/>
      <c r="BN102" s="354"/>
      <c r="BO102" s="354"/>
      <c r="BP102" s="354"/>
      <c r="BQ102" s="354"/>
      <c r="BR102" s="354"/>
      <c r="BS102" s="354"/>
      <c r="BT102" s="486">
        <v>0</v>
      </c>
      <c r="BU102" s="486">
        <v>0</v>
      </c>
      <c r="BV102" s="486">
        <v>0</v>
      </c>
      <c r="BW102" s="486">
        <v>0</v>
      </c>
      <c r="BX102" s="486">
        <v>0</v>
      </c>
      <c r="BY102" s="486">
        <v>0</v>
      </c>
      <c r="BZ102" s="486">
        <v>0</v>
      </c>
      <c r="CA102" s="486">
        <v>0</v>
      </c>
      <c r="CB102" s="355"/>
      <c r="CC102" s="355"/>
      <c r="CD102" s="355"/>
      <c r="CE102" s="355"/>
      <c r="CF102" s="355"/>
      <c r="CG102" s="355"/>
      <c r="CH102" s="355"/>
      <c r="CI102" s="355"/>
      <c r="CJ102" s="355"/>
      <c r="CK102" s="355"/>
    </row>
    <row r="103" spans="1:89" s="313" customFormat="1" ht="168" hidden="1" x14ac:dyDescent="0.2">
      <c r="B103" s="485"/>
      <c r="C103" s="377">
        <v>100</v>
      </c>
      <c r="D103" s="812">
        <v>667</v>
      </c>
      <c r="E103" s="379" t="s">
        <v>1523</v>
      </c>
      <c r="F103" s="379" t="s">
        <v>5</v>
      </c>
      <c r="G103" s="379"/>
      <c r="H103" s="386" t="s">
        <v>1539</v>
      </c>
      <c r="I103" s="454" t="s">
        <v>1533</v>
      </c>
      <c r="J103" s="386" t="s">
        <v>1935</v>
      </c>
      <c r="K103" s="379" t="s">
        <v>1936</v>
      </c>
      <c r="L103" s="387" t="s">
        <v>243</v>
      </c>
      <c r="M103" s="361">
        <v>0</v>
      </c>
      <c r="N103" s="387">
        <v>2011</v>
      </c>
      <c r="O103" s="387">
        <v>1000000</v>
      </c>
      <c r="P103" s="387"/>
      <c r="Q103" s="387"/>
      <c r="R103" s="387">
        <v>1254360</v>
      </c>
      <c r="S103" s="387"/>
      <c r="T103" s="380" t="s">
        <v>105</v>
      </c>
      <c r="U103" s="382" t="s">
        <v>1529</v>
      </c>
      <c r="V103" s="454" t="s">
        <v>1537</v>
      </c>
      <c r="W103" s="383" t="s">
        <v>1912</v>
      </c>
      <c r="X103" s="429"/>
      <c r="Y103" s="360" t="s">
        <v>2006</v>
      </c>
      <c r="Z103" s="360"/>
      <c r="AA103" s="364"/>
      <c r="AB103" s="365"/>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6"/>
      <c r="BC103" s="355"/>
      <c r="BD103" s="355"/>
      <c r="BE103" s="355"/>
      <c r="BF103" s="355"/>
      <c r="BG103" s="355"/>
      <c r="BH103" s="355"/>
      <c r="BI103" s="355"/>
      <c r="BJ103" s="355"/>
      <c r="BK103" s="355"/>
      <c r="BL103" s="355"/>
      <c r="BM103" s="355"/>
      <c r="BN103" s="355"/>
      <c r="BO103" s="355"/>
      <c r="BP103" s="355"/>
      <c r="BQ103" s="355"/>
      <c r="BR103" s="355"/>
      <c r="BS103" s="355"/>
      <c r="BT103" s="486">
        <v>0</v>
      </c>
      <c r="BU103" s="486">
        <v>0</v>
      </c>
      <c r="BV103" s="486">
        <v>0</v>
      </c>
      <c r="BW103" s="486">
        <v>0</v>
      </c>
      <c r="BX103" s="486">
        <v>0</v>
      </c>
      <c r="BY103" s="486">
        <v>0</v>
      </c>
      <c r="BZ103" s="486">
        <v>0</v>
      </c>
      <c r="CA103" s="486">
        <v>0</v>
      </c>
      <c r="CB103" s="355"/>
      <c r="CC103" s="355"/>
      <c r="CD103" s="355"/>
      <c r="CE103" s="355"/>
      <c r="CF103" s="355"/>
      <c r="CG103" s="355"/>
      <c r="CH103" s="355"/>
      <c r="CI103" s="355"/>
      <c r="CJ103" s="355"/>
      <c r="CK103" s="355"/>
    </row>
    <row r="104" spans="1:89" s="313" customFormat="1" ht="48" hidden="1" x14ac:dyDescent="0.2">
      <c r="B104" s="485"/>
      <c r="C104" s="385">
        <v>101</v>
      </c>
      <c r="D104" s="812">
        <v>668</v>
      </c>
      <c r="E104" s="367" t="s">
        <v>1524</v>
      </c>
      <c r="F104" s="379" t="s">
        <v>5</v>
      </c>
      <c r="G104" s="379"/>
      <c r="H104" s="386" t="s">
        <v>1538</v>
      </c>
      <c r="I104" s="454" t="s">
        <v>1533</v>
      </c>
      <c r="J104" s="386" t="s">
        <v>242</v>
      </c>
      <c r="K104" s="379"/>
      <c r="L104" s="387" t="s">
        <v>243</v>
      </c>
      <c r="M104" s="361">
        <v>0</v>
      </c>
      <c r="N104" s="387">
        <v>2011</v>
      </c>
      <c r="O104" s="387"/>
      <c r="P104" s="378"/>
      <c r="Q104" s="378"/>
      <c r="R104" s="366"/>
      <c r="S104" s="366"/>
      <c r="T104" s="371"/>
      <c r="U104" s="382"/>
      <c r="V104" s="454" t="s">
        <v>1537</v>
      </c>
      <c r="W104" s="366"/>
      <c r="X104" s="459" t="s">
        <v>1998</v>
      </c>
      <c r="Y104" s="368"/>
      <c r="Z104" s="364"/>
      <c r="AA104" s="364"/>
      <c r="AB104" s="365"/>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6"/>
      <c r="BC104" s="355"/>
      <c r="BD104" s="355"/>
      <c r="BE104" s="355"/>
      <c r="BF104" s="355"/>
      <c r="BG104" s="355"/>
      <c r="BH104" s="355"/>
      <c r="BI104" s="355"/>
      <c r="BJ104" s="355"/>
      <c r="BK104" s="355"/>
      <c r="BL104" s="355"/>
      <c r="BM104" s="355"/>
      <c r="BN104" s="355"/>
      <c r="BO104" s="355"/>
      <c r="BP104" s="355"/>
      <c r="BQ104" s="355"/>
      <c r="BR104" s="355"/>
      <c r="BS104" s="355"/>
      <c r="BT104" s="486">
        <v>0</v>
      </c>
      <c r="BU104" s="486">
        <v>0</v>
      </c>
      <c r="BV104" s="486">
        <v>0</v>
      </c>
      <c r="BW104" s="486">
        <v>0</v>
      </c>
      <c r="BX104" s="486">
        <v>0</v>
      </c>
      <c r="BY104" s="486">
        <v>0</v>
      </c>
      <c r="BZ104" s="486">
        <v>0</v>
      </c>
      <c r="CA104" s="486">
        <v>0</v>
      </c>
      <c r="CB104" s="355"/>
      <c r="CC104" s="355"/>
      <c r="CD104" s="355"/>
      <c r="CE104" s="355"/>
      <c r="CF104" s="355"/>
      <c r="CG104" s="355"/>
      <c r="CH104" s="355"/>
      <c r="CI104" s="355"/>
      <c r="CJ104" s="355"/>
      <c r="CK104" s="355"/>
    </row>
    <row r="105" spans="1:89" s="313" customFormat="1" ht="36" hidden="1" x14ac:dyDescent="0.2">
      <c r="B105" s="485"/>
      <c r="C105" s="377">
        <v>102</v>
      </c>
      <c r="D105" s="813">
        <v>669</v>
      </c>
      <c r="E105" s="367" t="s">
        <v>1511</v>
      </c>
      <c r="F105" s="461" t="s">
        <v>1535</v>
      </c>
      <c r="G105" s="461"/>
      <c r="H105" s="462" t="s">
        <v>1536</v>
      </c>
      <c r="I105" s="463" t="s">
        <v>1533</v>
      </c>
      <c r="J105" s="462" t="s">
        <v>242</v>
      </c>
      <c r="K105" s="461"/>
      <c r="L105" s="464" t="s">
        <v>243</v>
      </c>
      <c r="M105" s="465">
        <v>77.63</v>
      </c>
      <c r="N105" s="464">
        <v>2011</v>
      </c>
      <c r="O105" s="464">
        <v>78.63</v>
      </c>
      <c r="P105" s="460"/>
      <c r="Q105" s="460"/>
      <c r="R105" s="366"/>
      <c r="S105" s="366"/>
      <c r="T105" s="371"/>
      <c r="U105" s="382"/>
      <c r="V105" s="454" t="s">
        <v>1532</v>
      </c>
      <c r="W105" s="366"/>
      <c r="X105" s="366"/>
      <c r="Y105" s="368"/>
      <c r="Z105" s="364"/>
      <c r="AA105" s="364"/>
      <c r="AB105" s="365"/>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6"/>
      <c r="BC105" s="355"/>
      <c r="BD105" s="355"/>
      <c r="BE105" s="355"/>
      <c r="BF105" s="355"/>
      <c r="BG105" s="355"/>
      <c r="BH105" s="355"/>
      <c r="BI105" s="355"/>
      <c r="BJ105" s="355"/>
      <c r="BK105" s="355"/>
      <c r="BL105" s="355"/>
      <c r="BM105" s="355"/>
      <c r="BN105" s="355"/>
      <c r="BO105" s="355"/>
      <c r="BP105" s="355"/>
      <c r="BQ105" s="355"/>
      <c r="BR105" s="355"/>
      <c r="BS105" s="355"/>
      <c r="BT105" s="486">
        <v>0</v>
      </c>
      <c r="BU105" s="486">
        <v>0</v>
      </c>
      <c r="BV105" s="486">
        <v>0</v>
      </c>
      <c r="BW105" s="486">
        <v>0</v>
      </c>
      <c r="BX105" s="486">
        <v>0</v>
      </c>
      <c r="BY105" s="486">
        <v>0</v>
      </c>
      <c r="BZ105" s="486">
        <v>0</v>
      </c>
      <c r="CA105" s="486">
        <v>0</v>
      </c>
      <c r="CB105" s="355"/>
      <c r="CC105" s="355"/>
      <c r="CD105" s="355"/>
      <c r="CE105" s="355"/>
      <c r="CF105" s="355"/>
      <c r="CG105" s="355"/>
      <c r="CH105" s="355"/>
      <c r="CI105" s="355"/>
      <c r="CJ105" s="355"/>
      <c r="CK105" s="355"/>
    </row>
    <row r="106" spans="1:89" s="313" customFormat="1" ht="36" hidden="1" x14ac:dyDescent="0.2">
      <c r="B106" s="485"/>
      <c r="C106" s="385">
        <v>103</v>
      </c>
      <c r="D106" s="812">
        <v>670</v>
      </c>
      <c r="E106" s="369" t="s">
        <v>1511</v>
      </c>
      <c r="F106" s="379" t="s">
        <v>1535</v>
      </c>
      <c r="G106" s="379"/>
      <c r="H106" s="386" t="s">
        <v>1534</v>
      </c>
      <c r="I106" s="454" t="s">
        <v>1533</v>
      </c>
      <c r="J106" s="386" t="s">
        <v>242</v>
      </c>
      <c r="K106" s="379"/>
      <c r="L106" s="387" t="s">
        <v>243</v>
      </c>
      <c r="M106" s="449">
        <v>32.550000000000004</v>
      </c>
      <c r="N106" s="387">
        <v>2011</v>
      </c>
      <c r="O106" s="387">
        <v>60</v>
      </c>
      <c r="P106" s="378"/>
      <c r="Q106" s="378"/>
      <c r="R106" s="366"/>
      <c r="S106" s="366"/>
      <c r="T106" s="371"/>
      <c r="U106" s="382"/>
      <c r="V106" s="454" t="s">
        <v>1532</v>
      </c>
      <c r="W106" s="366"/>
      <c r="X106" s="366"/>
      <c r="Y106" s="368"/>
      <c r="Z106" s="364"/>
      <c r="AA106" s="364"/>
      <c r="AB106" s="365"/>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6"/>
      <c r="BC106" s="355"/>
      <c r="BD106" s="355"/>
      <c r="BE106" s="355"/>
      <c r="BF106" s="355"/>
      <c r="BG106" s="355"/>
      <c r="BH106" s="355"/>
      <c r="BI106" s="355"/>
      <c r="BJ106" s="355"/>
      <c r="BK106" s="355"/>
      <c r="BL106" s="355"/>
      <c r="BM106" s="355"/>
      <c r="BN106" s="355"/>
      <c r="BO106" s="355"/>
      <c r="BP106" s="355"/>
      <c r="BQ106" s="355"/>
      <c r="BR106" s="355"/>
      <c r="BS106" s="355"/>
      <c r="BT106" s="486">
        <v>0</v>
      </c>
      <c r="BU106" s="486">
        <v>0</v>
      </c>
      <c r="BV106" s="486">
        <v>0</v>
      </c>
      <c r="BW106" s="486">
        <v>0</v>
      </c>
      <c r="BX106" s="486">
        <v>0</v>
      </c>
      <c r="BY106" s="486">
        <v>0</v>
      </c>
      <c r="BZ106" s="486">
        <v>0</v>
      </c>
      <c r="CA106" s="486">
        <v>0</v>
      </c>
      <c r="CB106" s="355"/>
      <c r="CC106" s="355"/>
      <c r="CD106" s="355"/>
      <c r="CE106" s="355"/>
      <c r="CF106" s="355"/>
      <c r="CG106" s="355"/>
      <c r="CH106" s="355"/>
      <c r="CI106" s="355"/>
      <c r="CJ106" s="355"/>
      <c r="CK106" s="355"/>
    </row>
    <row r="107" spans="1:89" s="313" customFormat="1" ht="12" x14ac:dyDescent="0.2">
      <c r="C107" s="377"/>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6"/>
      <c r="BC107" s="366"/>
      <c r="BD107" s="366"/>
      <c r="BE107" s="366"/>
      <c r="BF107" s="366"/>
      <c r="BG107" s="366"/>
      <c r="BH107" s="366"/>
      <c r="BI107" s="366"/>
      <c r="BJ107" s="366"/>
      <c r="BK107" s="366"/>
      <c r="BL107" s="366"/>
      <c r="BM107" s="366"/>
      <c r="BN107" s="366"/>
      <c r="BO107" s="366"/>
      <c r="BP107" s="366"/>
      <c r="BQ107" s="366"/>
      <c r="BR107" s="366"/>
      <c r="BS107" s="366"/>
      <c r="BT107" s="366"/>
      <c r="BU107" s="366"/>
      <c r="BV107" s="366"/>
      <c r="BW107" s="366"/>
      <c r="BX107" s="366"/>
      <c r="BY107" s="366"/>
      <c r="BZ107" s="366"/>
      <c r="CA107" s="366"/>
      <c r="CB107" s="366"/>
      <c r="CC107" s="366"/>
      <c r="CD107" s="366"/>
      <c r="CE107" s="366"/>
      <c r="CF107" s="366"/>
      <c r="CG107" s="366"/>
      <c r="CH107" s="366"/>
      <c r="CI107" s="366"/>
      <c r="CJ107" s="366"/>
      <c r="CK107" s="366"/>
    </row>
    <row r="108" spans="1:89" s="313" customFormat="1" ht="12" x14ac:dyDescent="0.2">
      <c r="C108" s="366"/>
      <c r="D108" s="366"/>
      <c r="E108" s="367"/>
      <c r="F108" s="366"/>
      <c r="G108" s="466"/>
      <c r="H108" s="366" t="s">
        <v>242</v>
      </c>
      <c r="I108" s="366"/>
      <c r="J108" s="366"/>
      <c r="K108" s="366"/>
      <c r="L108" s="366"/>
      <c r="M108" s="366"/>
      <c r="N108" s="366"/>
      <c r="O108" s="366"/>
      <c r="P108" s="366"/>
      <c r="Q108" s="366"/>
      <c r="R108" s="366"/>
      <c r="S108" s="366"/>
      <c r="T108" s="366"/>
      <c r="U108" s="366"/>
      <c r="V108" s="366"/>
      <c r="W108" s="366"/>
      <c r="X108" s="366"/>
      <c r="Y108" s="368"/>
      <c r="Z108" s="364"/>
      <c r="AA108" s="364"/>
      <c r="AB108" s="365"/>
      <c r="AC108" s="364"/>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c r="AY108" s="364"/>
      <c r="AZ108" s="364"/>
      <c r="BA108" s="364"/>
      <c r="BB108" s="366"/>
      <c r="BC108" s="355"/>
      <c r="BD108" s="355"/>
      <c r="BE108" s="355"/>
      <c r="BF108" s="355"/>
      <c r="BG108" s="355"/>
      <c r="BH108" s="355"/>
      <c r="BI108" s="355"/>
      <c r="BJ108" s="355"/>
      <c r="BK108" s="355"/>
      <c r="BL108" s="355"/>
      <c r="BM108" s="355"/>
      <c r="BN108" s="355"/>
      <c r="BO108" s="355"/>
      <c r="BP108" s="355"/>
      <c r="BQ108" s="355"/>
      <c r="BR108" s="355"/>
      <c r="BS108" s="355"/>
      <c r="BT108" s="355"/>
      <c r="BU108" s="355"/>
      <c r="BV108" s="355"/>
      <c r="BW108" s="355"/>
      <c r="BX108" s="355"/>
      <c r="BY108" s="355"/>
      <c r="BZ108" s="355"/>
      <c r="CA108" s="355"/>
      <c r="CB108" s="355"/>
      <c r="CC108" s="355"/>
      <c r="CD108" s="355"/>
      <c r="CE108" s="355"/>
      <c r="CF108" s="355"/>
      <c r="CG108" s="355"/>
      <c r="CH108" s="355"/>
      <c r="CI108" s="355"/>
      <c r="CJ108" s="355"/>
      <c r="CK108" s="355"/>
    </row>
    <row r="109" spans="1:89" x14ac:dyDescent="0.2">
      <c r="A109" s="313"/>
      <c r="C109" s="334"/>
      <c r="D109" s="334"/>
      <c r="E109" s="333"/>
      <c r="F109" s="331"/>
      <c r="G109" s="466"/>
      <c r="H109" s="331" t="s">
        <v>242</v>
      </c>
      <c r="I109" s="331"/>
      <c r="J109" s="331"/>
      <c r="K109" s="331"/>
      <c r="L109" s="331"/>
      <c r="M109" s="331"/>
      <c r="N109" s="331"/>
      <c r="O109" s="331"/>
      <c r="P109" s="331"/>
      <c r="Q109" s="331"/>
      <c r="R109" s="331"/>
      <c r="S109" s="331"/>
      <c r="T109" s="331"/>
      <c r="U109" s="119"/>
      <c r="V109" s="331"/>
      <c r="W109" s="331"/>
      <c r="X109" s="331"/>
      <c r="Y109" s="119"/>
      <c r="Z109" s="343"/>
      <c r="AA109" s="343"/>
      <c r="AB109" s="345"/>
      <c r="AC109" s="343"/>
      <c r="AD109" s="343"/>
      <c r="AE109" s="343"/>
      <c r="AF109" s="343"/>
      <c r="AG109" s="343"/>
      <c r="AH109" s="343"/>
      <c r="AI109" s="343"/>
      <c r="AJ109" s="343"/>
      <c r="AK109" s="343"/>
      <c r="AL109" s="343"/>
      <c r="AM109" s="343"/>
      <c r="AN109" s="343"/>
      <c r="AO109" s="343"/>
      <c r="AP109" s="343"/>
      <c r="AQ109" s="343"/>
      <c r="AR109" s="343"/>
      <c r="AS109" s="343"/>
      <c r="AT109" s="343"/>
      <c r="AU109" s="341"/>
      <c r="AV109" s="341"/>
      <c r="AW109" s="341"/>
      <c r="AX109" s="341"/>
      <c r="AY109" s="341"/>
      <c r="AZ109" s="341"/>
      <c r="BA109" s="341"/>
      <c r="BB109" s="119"/>
      <c r="BC109" s="340"/>
      <c r="BD109" s="340"/>
      <c r="BE109" s="340"/>
      <c r="BF109" s="340"/>
      <c r="BG109" s="340"/>
      <c r="BH109" s="340"/>
      <c r="BI109" s="340"/>
      <c r="BJ109" s="340"/>
      <c r="BK109" s="340"/>
      <c r="BL109" s="340"/>
      <c r="BM109" s="340"/>
      <c r="BN109" s="340"/>
      <c r="BO109" s="340"/>
      <c r="BP109" s="340"/>
      <c r="BQ109" s="340"/>
      <c r="BR109" s="340"/>
      <c r="BS109" s="340"/>
      <c r="BT109" s="340"/>
      <c r="BU109" s="340"/>
      <c r="BV109" s="340"/>
      <c r="BW109" s="340"/>
      <c r="BX109" s="340"/>
      <c r="BY109" s="340"/>
      <c r="BZ109" s="340"/>
      <c r="CA109" s="340"/>
      <c r="CB109" s="340"/>
      <c r="CC109" s="340"/>
      <c r="CD109" s="340"/>
      <c r="CE109" s="340"/>
      <c r="CF109" s="340"/>
      <c r="CG109" s="340"/>
      <c r="CH109" s="340"/>
      <c r="CI109" s="340"/>
      <c r="CJ109" s="340"/>
      <c r="CK109" s="340"/>
    </row>
    <row r="110" spans="1:89" x14ac:dyDescent="0.2">
      <c r="C110" s="334"/>
      <c r="D110" s="334"/>
      <c r="E110" s="333"/>
      <c r="F110" s="331"/>
      <c r="G110" s="331"/>
      <c r="H110" s="331"/>
      <c r="I110" s="331"/>
      <c r="J110" s="331"/>
      <c r="K110" s="331"/>
      <c r="L110" s="331"/>
      <c r="M110" s="331"/>
      <c r="N110" s="331"/>
      <c r="O110" s="816"/>
      <c r="P110" s="331"/>
      <c r="Q110" s="331"/>
      <c r="R110" s="331"/>
      <c r="S110" s="331"/>
      <c r="T110" s="331"/>
      <c r="U110" s="119"/>
      <c r="V110" s="331"/>
      <c r="W110" s="331"/>
      <c r="X110" s="331"/>
      <c r="Y110" s="119"/>
      <c r="Z110" s="343"/>
      <c r="AA110" s="343"/>
      <c r="AB110" s="345"/>
      <c r="AC110" s="343"/>
      <c r="AD110" s="343"/>
      <c r="AE110" s="343"/>
      <c r="AF110" s="343"/>
      <c r="AG110" s="343"/>
      <c r="AH110" s="343"/>
      <c r="AI110" s="343"/>
      <c r="AJ110" s="343"/>
      <c r="AK110" s="343"/>
      <c r="AL110" s="343"/>
      <c r="AM110" s="343"/>
      <c r="AN110" s="343"/>
      <c r="AO110" s="343"/>
      <c r="AP110" s="343"/>
      <c r="AQ110" s="343"/>
      <c r="AR110" s="343"/>
      <c r="AS110" s="343"/>
      <c r="AT110" s="343"/>
      <c r="AU110" s="341"/>
      <c r="AV110" s="341"/>
      <c r="AW110" s="341"/>
      <c r="AX110" s="341"/>
      <c r="AY110" s="341"/>
      <c r="AZ110" s="341"/>
      <c r="BA110" s="341"/>
      <c r="BB110" s="119"/>
      <c r="BC110" s="340"/>
      <c r="BD110" s="340"/>
      <c r="BE110" s="340"/>
      <c r="BF110" s="340"/>
      <c r="BG110" s="340"/>
      <c r="BH110" s="340"/>
      <c r="BI110" s="340"/>
      <c r="BJ110" s="340"/>
      <c r="BK110" s="340"/>
      <c r="BL110" s="340"/>
      <c r="BM110" s="340"/>
      <c r="BN110" s="340"/>
      <c r="BO110" s="340"/>
      <c r="BP110" s="340"/>
      <c r="BQ110" s="340"/>
      <c r="BR110" s="340"/>
      <c r="BS110" s="340"/>
      <c r="BT110" s="340"/>
      <c r="BU110" s="340"/>
      <c r="BV110" s="340"/>
      <c r="BW110" s="340"/>
      <c r="BX110" s="340"/>
      <c r="BY110" s="340"/>
      <c r="BZ110" s="340"/>
      <c r="CA110" s="340"/>
      <c r="CB110" s="340"/>
      <c r="CC110" s="340"/>
      <c r="CD110" s="340"/>
      <c r="CE110" s="340"/>
      <c r="CF110" s="340"/>
      <c r="CG110" s="340"/>
      <c r="CH110" s="340"/>
      <c r="CI110" s="340"/>
      <c r="CJ110" s="340"/>
      <c r="CK110" s="340"/>
    </row>
    <row r="111" spans="1:89" x14ac:dyDescent="0.2">
      <c r="C111" s="334"/>
      <c r="D111" s="334"/>
      <c r="E111" s="333"/>
      <c r="F111" s="331"/>
      <c r="G111" s="331"/>
      <c r="H111" s="331"/>
      <c r="I111" s="331"/>
      <c r="J111" s="331"/>
      <c r="K111" s="331"/>
      <c r="L111" s="331"/>
      <c r="M111" s="331"/>
      <c r="N111" s="331"/>
      <c r="O111" s="331"/>
      <c r="P111" s="467"/>
      <c r="Q111" s="468"/>
      <c r="R111" s="531"/>
      <c r="S111" s="352"/>
      <c r="T111" s="469"/>
      <c r="U111" s="470"/>
      <c r="V111" s="470"/>
      <c r="W111" s="471"/>
      <c r="X111" s="342"/>
      <c r="Y111" s="353"/>
      <c r="Z111" s="343"/>
      <c r="AA111" s="343"/>
      <c r="AB111" s="345"/>
      <c r="AC111" s="343"/>
      <c r="AD111" s="343"/>
      <c r="AE111" s="343"/>
      <c r="AF111" s="343"/>
      <c r="AG111" s="343"/>
      <c r="AH111" s="343"/>
      <c r="AI111" s="343"/>
      <c r="AJ111" s="343"/>
      <c r="AK111" s="343"/>
      <c r="AL111" s="343"/>
      <c r="AM111" s="343"/>
      <c r="AN111" s="343"/>
      <c r="AO111" s="343"/>
      <c r="AP111" s="343"/>
      <c r="AQ111" s="343"/>
      <c r="AR111" s="343"/>
      <c r="AS111" s="343"/>
      <c r="AT111" s="343"/>
      <c r="AU111" s="341"/>
      <c r="AV111" s="341"/>
      <c r="AW111" s="341"/>
      <c r="AX111" s="341"/>
      <c r="AY111" s="341"/>
      <c r="AZ111" s="341"/>
      <c r="BA111" s="341"/>
      <c r="BB111" s="119"/>
      <c r="BC111" s="340"/>
      <c r="BD111" s="340"/>
      <c r="BE111" s="340"/>
      <c r="BF111" s="340"/>
      <c r="BG111" s="340"/>
      <c r="BH111" s="340"/>
      <c r="BI111" s="340"/>
      <c r="BJ111" s="340"/>
      <c r="BK111" s="340"/>
      <c r="BL111" s="340"/>
      <c r="BM111" s="340"/>
      <c r="BN111" s="340"/>
      <c r="BO111" s="340"/>
      <c r="BP111" s="340"/>
      <c r="BQ111" s="340"/>
      <c r="BR111" s="340"/>
      <c r="BS111" s="340"/>
      <c r="BT111" s="340"/>
      <c r="BU111" s="340"/>
      <c r="BV111" s="340"/>
      <c r="BW111" s="340"/>
      <c r="BX111" s="340"/>
      <c r="BY111" s="340"/>
      <c r="BZ111" s="340"/>
      <c r="CA111" s="340"/>
      <c r="CB111" s="340"/>
      <c r="CC111" s="340"/>
      <c r="CD111" s="340"/>
      <c r="CE111" s="340"/>
      <c r="CF111" s="340"/>
      <c r="CG111" s="340"/>
      <c r="CH111" s="340"/>
      <c r="CI111" s="340"/>
      <c r="CJ111" s="340"/>
      <c r="CK111" s="340"/>
    </row>
    <row r="112" spans="1:89" x14ac:dyDescent="0.2">
      <c r="C112" s="334"/>
      <c r="D112" s="334"/>
      <c r="E112" s="333"/>
      <c r="F112" s="331"/>
      <c r="G112" s="331"/>
      <c r="H112" s="331"/>
      <c r="I112" s="331"/>
      <c r="J112" s="331"/>
      <c r="K112" s="331"/>
      <c r="L112" s="331"/>
      <c r="M112" s="331"/>
      <c r="N112" s="331"/>
      <c r="O112" s="331"/>
      <c r="P112" s="468"/>
      <c r="Q112" s="472"/>
      <c r="R112" s="472"/>
      <c r="S112" s="473"/>
      <c r="T112" s="469"/>
      <c r="U112" s="470"/>
      <c r="V112" s="470"/>
      <c r="W112" s="471"/>
      <c r="X112" s="342"/>
      <c r="Y112" s="353"/>
      <c r="Z112" s="343"/>
      <c r="AA112" s="343"/>
      <c r="AB112" s="345"/>
      <c r="AC112" s="343"/>
      <c r="AD112" s="343"/>
      <c r="AE112" s="343"/>
      <c r="AF112" s="343"/>
      <c r="AG112" s="343"/>
      <c r="AH112" s="343"/>
      <c r="AI112" s="343"/>
      <c r="AJ112" s="343"/>
      <c r="AK112" s="343"/>
      <c r="AL112" s="343"/>
      <c r="AM112" s="343"/>
      <c r="AN112" s="343"/>
      <c r="AO112" s="343"/>
      <c r="AP112" s="343"/>
      <c r="AQ112" s="343"/>
      <c r="AR112" s="343"/>
      <c r="AS112" s="343"/>
      <c r="AT112" s="343"/>
      <c r="AU112" s="341"/>
      <c r="AV112" s="341"/>
      <c r="AW112" s="341"/>
      <c r="AX112" s="341"/>
      <c r="AY112" s="341"/>
      <c r="AZ112" s="341"/>
      <c r="BA112" s="341"/>
      <c r="BB112" s="119"/>
      <c r="BC112" s="340"/>
      <c r="BD112" s="340"/>
      <c r="BE112" s="340"/>
      <c r="BF112" s="340"/>
      <c r="BG112" s="340"/>
      <c r="BH112" s="340"/>
      <c r="BI112" s="340"/>
      <c r="BJ112" s="340"/>
      <c r="BK112" s="340"/>
      <c r="BL112" s="340"/>
      <c r="BM112" s="340"/>
      <c r="BN112" s="340"/>
      <c r="BO112" s="340"/>
      <c r="BP112" s="340"/>
      <c r="BQ112" s="340"/>
      <c r="BR112" s="340"/>
      <c r="BS112" s="340"/>
      <c r="BT112" s="340"/>
      <c r="BU112" s="340"/>
      <c r="BV112" s="340"/>
      <c r="BW112" s="340"/>
      <c r="BX112" s="340"/>
      <c r="BY112" s="340"/>
      <c r="BZ112" s="340"/>
      <c r="CA112" s="340"/>
      <c r="CB112" s="340"/>
      <c r="CC112" s="340"/>
      <c r="CD112" s="340"/>
      <c r="CE112" s="340"/>
      <c r="CF112" s="340"/>
      <c r="CG112" s="340"/>
      <c r="CH112" s="340"/>
      <c r="CI112" s="340"/>
      <c r="CJ112" s="340"/>
      <c r="CK112" s="340"/>
    </row>
    <row r="113" spans="3:89" x14ac:dyDescent="0.2">
      <c r="C113" s="334"/>
      <c r="D113" s="334"/>
      <c r="E113" s="333"/>
      <c r="F113" s="331"/>
      <c r="G113" s="331"/>
      <c r="H113" s="331"/>
      <c r="I113" s="331"/>
      <c r="J113" s="331"/>
      <c r="K113" s="331"/>
      <c r="L113" s="331"/>
      <c r="M113" s="331"/>
      <c r="N113" s="331"/>
      <c r="O113" s="331"/>
      <c r="P113" s="331"/>
      <c r="Q113" s="331"/>
      <c r="R113" s="331"/>
      <c r="S113" s="331"/>
      <c r="T113" s="331"/>
      <c r="U113" s="331"/>
      <c r="V113" s="331"/>
      <c r="W113" s="331"/>
      <c r="X113" s="474"/>
      <c r="Y113" s="119"/>
      <c r="Z113" s="343"/>
      <c r="AA113" s="343"/>
      <c r="AB113" s="345"/>
      <c r="AC113" s="343"/>
      <c r="AD113" s="343"/>
      <c r="AE113" s="343"/>
      <c r="AF113" s="343"/>
      <c r="AG113" s="343"/>
      <c r="AH113" s="343"/>
      <c r="AI113" s="343"/>
      <c r="AJ113" s="343"/>
      <c r="AK113" s="343"/>
      <c r="AL113" s="343"/>
      <c r="AM113" s="343"/>
      <c r="AN113" s="343"/>
      <c r="AO113" s="343"/>
      <c r="AP113" s="343"/>
      <c r="AQ113" s="343"/>
      <c r="AR113" s="343"/>
      <c r="AS113" s="343"/>
      <c r="AT113" s="343"/>
      <c r="AU113" s="341"/>
      <c r="AV113" s="341"/>
      <c r="AW113" s="341"/>
      <c r="AX113" s="341"/>
      <c r="AY113" s="341"/>
      <c r="AZ113" s="341"/>
      <c r="BA113" s="341"/>
      <c r="BB113" s="119"/>
      <c r="BC113" s="340"/>
      <c r="BD113" s="340"/>
      <c r="BE113" s="340"/>
      <c r="BF113" s="340"/>
      <c r="BG113" s="340"/>
      <c r="BH113" s="340"/>
      <c r="BI113" s="340"/>
      <c r="BJ113" s="340"/>
      <c r="BK113" s="340"/>
      <c r="BL113" s="340"/>
      <c r="BM113" s="340"/>
      <c r="BN113" s="340"/>
      <c r="BO113" s="340"/>
      <c r="BP113" s="340"/>
      <c r="BQ113" s="340"/>
      <c r="BR113" s="340"/>
      <c r="BS113" s="340"/>
      <c r="BT113" s="340"/>
      <c r="BU113" s="340"/>
      <c r="BV113" s="340"/>
      <c r="BW113" s="340"/>
      <c r="BX113" s="340"/>
      <c r="BY113" s="340"/>
      <c r="BZ113" s="340"/>
      <c r="CA113" s="340"/>
      <c r="CB113" s="340"/>
      <c r="CC113" s="340"/>
      <c r="CD113" s="340"/>
      <c r="CE113" s="340"/>
      <c r="CF113" s="340"/>
      <c r="CG113" s="340"/>
      <c r="CH113" s="340"/>
      <c r="CI113" s="340"/>
      <c r="CJ113" s="340"/>
      <c r="CK113" s="340"/>
    </row>
    <row r="114" spans="3:89" x14ac:dyDescent="0.2">
      <c r="C114" s="334"/>
      <c r="D114" s="334"/>
      <c r="E114" s="333"/>
      <c r="F114" s="331"/>
      <c r="G114" s="331"/>
      <c r="H114" s="331"/>
      <c r="I114" s="331"/>
      <c r="J114" s="331"/>
      <c r="K114" s="331"/>
      <c r="L114" s="331"/>
      <c r="M114" s="331"/>
      <c r="N114" s="331"/>
      <c r="O114" s="331"/>
      <c r="P114" s="331"/>
      <c r="Q114" s="331"/>
      <c r="R114" s="331"/>
      <c r="S114" s="331"/>
      <c r="T114" s="331"/>
      <c r="U114" s="331"/>
      <c r="V114" s="331"/>
      <c r="W114" s="331"/>
      <c r="X114" s="474"/>
      <c r="Y114" s="119"/>
      <c r="Z114" s="343"/>
      <c r="AA114" s="343"/>
      <c r="AB114" s="345"/>
      <c r="AC114" s="343"/>
      <c r="AD114" s="343"/>
      <c r="AE114" s="343"/>
      <c r="AF114" s="343"/>
      <c r="AG114" s="343"/>
      <c r="AH114" s="343"/>
      <c r="AI114" s="343"/>
      <c r="AJ114" s="343"/>
      <c r="AK114" s="343"/>
      <c r="AL114" s="343"/>
      <c r="AM114" s="343"/>
      <c r="AN114" s="343"/>
      <c r="AO114" s="343"/>
      <c r="AP114" s="343"/>
      <c r="AQ114" s="343"/>
      <c r="AR114" s="343"/>
      <c r="AS114" s="343"/>
      <c r="AT114" s="343"/>
      <c r="AU114" s="341"/>
      <c r="AV114" s="341"/>
      <c r="AW114" s="341"/>
      <c r="AX114" s="341"/>
      <c r="AY114" s="341"/>
      <c r="AZ114" s="341"/>
      <c r="BA114" s="341"/>
      <c r="BB114" s="119"/>
      <c r="BC114" s="340"/>
      <c r="BD114" s="340"/>
      <c r="BE114" s="340"/>
      <c r="BF114" s="340"/>
      <c r="BG114" s="340"/>
      <c r="BH114" s="340"/>
      <c r="BI114" s="340"/>
      <c r="BJ114" s="340"/>
      <c r="BK114" s="340"/>
      <c r="BL114" s="340"/>
      <c r="BM114" s="340"/>
      <c r="BN114" s="340"/>
      <c r="BO114" s="340"/>
      <c r="BP114" s="340"/>
      <c r="BQ114" s="340"/>
      <c r="BR114" s="340"/>
      <c r="BS114" s="340"/>
      <c r="BT114" s="340"/>
      <c r="BU114" s="340"/>
      <c r="BV114" s="340"/>
      <c r="BW114" s="340"/>
      <c r="BX114" s="340"/>
      <c r="BY114" s="340"/>
      <c r="BZ114" s="340"/>
      <c r="CA114" s="340"/>
      <c r="CB114" s="340"/>
      <c r="CC114" s="340"/>
      <c r="CD114" s="340"/>
      <c r="CE114" s="340"/>
      <c r="CF114" s="340"/>
      <c r="CG114" s="340"/>
      <c r="CH114" s="340"/>
      <c r="CI114" s="340"/>
      <c r="CJ114" s="340"/>
      <c r="CK114" s="340"/>
    </row>
    <row r="115" spans="3:89" x14ac:dyDescent="0.2">
      <c r="C115" s="334"/>
      <c r="D115" s="334"/>
      <c r="E115" s="333"/>
      <c r="F115" s="331"/>
      <c r="G115" s="331"/>
      <c r="H115" s="331"/>
      <c r="I115" s="331"/>
      <c r="J115" s="331"/>
      <c r="K115" s="331"/>
      <c r="L115" s="331"/>
      <c r="M115" s="331"/>
      <c r="N115" s="331"/>
      <c r="O115" s="331"/>
      <c r="P115" s="331"/>
      <c r="Q115" s="331"/>
      <c r="R115" s="331"/>
      <c r="S115" s="331"/>
      <c r="T115" s="331"/>
      <c r="U115" s="331"/>
      <c r="V115" s="331"/>
      <c r="W115" s="331"/>
      <c r="X115" s="474"/>
      <c r="Y115" s="119"/>
      <c r="Z115" s="343"/>
      <c r="AA115" s="343"/>
      <c r="AB115" s="345"/>
      <c r="AC115" s="343"/>
      <c r="AD115" s="343"/>
      <c r="AE115" s="343"/>
      <c r="AF115" s="343"/>
      <c r="AG115" s="343"/>
      <c r="AH115" s="343"/>
      <c r="AI115" s="343"/>
      <c r="AJ115" s="343"/>
      <c r="AK115" s="343"/>
      <c r="AL115" s="343"/>
      <c r="AM115" s="343"/>
      <c r="AN115" s="343"/>
      <c r="AO115" s="343"/>
      <c r="AP115" s="343"/>
      <c r="AQ115" s="343"/>
      <c r="AR115" s="343"/>
      <c r="AS115" s="343"/>
      <c r="AT115" s="343"/>
      <c r="AU115" s="341"/>
      <c r="AV115" s="341"/>
      <c r="AW115" s="341"/>
      <c r="AX115" s="341"/>
      <c r="AY115" s="341"/>
      <c r="AZ115" s="341"/>
      <c r="BA115" s="341"/>
      <c r="BB115" s="119"/>
      <c r="BC115" s="340"/>
      <c r="BD115" s="340"/>
      <c r="BE115" s="340"/>
      <c r="BF115" s="340"/>
      <c r="BG115" s="340"/>
      <c r="BH115" s="340"/>
      <c r="BI115" s="340"/>
      <c r="BJ115" s="340"/>
      <c r="BK115" s="340"/>
      <c r="BL115" s="340"/>
      <c r="BM115" s="340"/>
      <c r="BN115" s="340"/>
      <c r="BO115" s="340"/>
      <c r="BP115" s="340"/>
      <c r="BQ115" s="340"/>
      <c r="BR115" s="340"/>
      <c r="BS115" s="340"/>
      <c r="BT115" s="340"/>
      <c r="BU115" s="340"/>
      <c r="BV115" s="340"/>
      <c r="BW115" s="340"/>
      <c r="BX115" s="340"/>
      <c r="BY115" s="340"/>
      <c r="BZ115" s="340"/>
      <c r="CA115" s="340"/>
      <c r="CB115" s="340"/>
      <c r="CC115" s="340"/>
      <c r="CD115" s="340"/>
      <c r="CE115" s="340"/>
      <c r="CF115" s="340"/>
      <c r="CG115" s="340"/>
      <c r="CH115" s="340"/>
      <c r="CI115" s="340"/>
      <c r="CJ115" s="340"/>
      <c r="CK115" s="340"/>
    </row>
    <row r="116" spans="3:89" x14ac:dyDescent="0.2">
      <c r="C116" s="334"/>
      <c r="D116" s="334"/>
      <c r="E116" s="333"/>
      <c r="F116" s="331"/>
      <c r="G116" s="331"/>
      <c r="H116" s="331"/>
      <c r="I116" s="331"/>
      <c r="J116" s="331"/>
      <c r="K116" s="331"/>
      <c r="L116" s="331"/>
      <c r="M116" s="331"/>
      <c r="N116" s="331"/>
      <c r="O116" s="331"/>
      <c r="P116" s="331"/>
      <c r="Q116" s="331"/>
      <c r="R116" s="331"/>
      <c r="S116" s="331"/>
      <c r="T116" s="331"/>
      <c r="U116" s="331"/>
      <c r="V116" s="331"/>
      <c r="W116" s="331"/>
      <c r="X116" s="331"/>
      <c r="Y116" s="119"/>
      <c r="Z116" s="343"/>
      <c r="AA116" s="343"/>
      <c r="AB116" s="345"/>
      <c r="AC116" s="343"/>
      <c r="AD116" s="343"/>
      <c r="AE116" s="343"/>
      <c r="AF116" s="343"/>
      <c r="AG116" s="343"/>
      <c r="AH116" s="343"/>
      <c r="AI116" s="343"/>
      <c r="AJ116" s="343"/>
      <c r="AK116" s="343"/>
      <c r="AL116" s="343"/>
      <c r="AM116" s="343"/>
      <c r="AN116" s="343"/>
      <c r="AO116" s="343"/>
      <c r="AP116" s="343"/>
      <c r="AQ116" s="343"/>
      <c r="AR116" s="343"/>
      <c r="AS116" s="343"/>
      <c r="AT116" s="343"/>
      <c r="AU116" s="341"/>
      <c r="AV116" s="341"/>
      <c r="AW116" s="341"/>
      <c r="AX116" s="341"/>
      <c r="AY116" s="341"/>
      <c r="AZ116" s="341"/>
      <c r="BA116" s="341"/>
      <c r="BB116" s="119"/>
      <c r="BC116" s="340"/>
      <c r="BD116" s="340"/>
      <c r="BE116" s="340"/>
      <c r="BF116" s="340"/>
      <c r="BG116" s="340"/>
      <c r="BH116" s="340"/>
      <c r="BI116" s="340"/>
      <c r="BJ116" s="340"/>
      <c r="BK116" s="340"/>
      <c r="BL116" s="340"/>
      <c r="BM116" s="340"/>
      <c r="BN116" s="340"/>
      <c r="BO116" s="340"/>
      <c r="BP116" s="340"/>
      <c r="BQ116" s="340"/>
      <c r="BR116" s="340"/>
      <c r="BS116" s="340"/>
      <c r="BT116" s="340"/>
      <c r="BU116" s="340"/>
      <c r="BV116" s="340"/>
      <c r="BW116" s="340"/>
      <c r="BX116" s="340"/>
      <c r="BY116" s="340"/>
      <c r="BZ116" s="340"/>
      <c r="CA116" s="340"/>
      <c r="CB116" s="340"/>
      <c r="CC116" s="340"/>
      <c r="CD116" s="340"/>
      <c r="CE116" s="340"/>
      <c r="CF116" s="340"/>
      <c r="CG116" s="340"/>
      <c r="CH116" s="340"/>
      <c r="CI116" s="340"/>
      <c r="CJ116" s="340"/>
      <c r="CK116" s="340"/>
    </row>
    <row r="117" spans="3:89" x14ac:dyDescent="0.2">
      <c r="C117" s="334"/>
      <c r="D117" s="334"/>
      <c r="E117" s="333"/>
      <c r="F117" s="331"/>
      <c r="G117" s="331"/>
      <c r="H117" s="331"/>
      <c r="I117" s="331"/>
      <c r="J117" s="331"/>
      <c r="K117" s="331"/>
      <c r="L117" s="331"/>
      <c r="M117" s="331"/>
      <c r="N117" s="331"/>
      <c r="O117" s="331"/>
      <c r="P117" s="331"/>
      <c r="Q117" s="331"/>
      <c r="R117" s="331"/>
      <c r="S117" s="331"/>
      <c r="T117" s="331"/>
      <c r="U117" s="331"/>
      <c r="V117" s="331"/>
      <c r="W117" s="331"/>
      <c r="X117" s="331"/>
      <c r="Y117" s="119"/>
      <c r="Z117" s="343"/>
      <c r="AA117" s="343"/>
      <c r="AB117" s="345"/>
      <c r="AC117" s="343"/>
      <c r="AD117" s="343"/>
      <c r="AE117" s="343"/>
      <c r="AF117" s="343"/>
      <c r="AG117" s="343"/>
      <c r="AH117" s="343"/>
      <c r="AI117" s="343"/>
      <c r="AJ117" s="343"/>
      <c r="AK117" s="343"/>
      <c r="AL117" s="343"/>
      <c r="AM117" s="343"/>
      <c r="AN117" s="343"/>
      <c r="AO117" s="343"/>
      <c r="AP117" s="343"/>
      <c r="AQ117" s="343"/>
      <c r="AR117" s="343"/>
      <c r="AS117" s="343"/>
      <c r="AT117" s="343"/>
      <c r="AU117" s="341"/>
      <c r="AV117" s="341"/>
      <c r="AW117" s="341"/>
      <c r="AX117" s="341"/>
      <c r="AY117" s="341"/>
      <c r="AZ117" s="341"/>
      <c r="BA117" s="341"/>
      <c r="BB117" s="119"/>
      <c r="BC117" s="340"/>
      <c r="BD117" s="340"/>
      <c r="BE117" s="340"/>
      <c r="BF117" s="340"/>
      <c r="BG117" s="340"/>
      <c r="BH117" s="340"/>
      <c r="BI117" s="340"/>
      <c r="BJ117" s="340"/>
      <c r="BK117" s="340"/>
      <c r="BL117" s="340"/>
      <c r="BM117" s="340"/>
      <c r="BN117" s="340"/>
      <c r="BO117" s="340"/>
      <c r="BP117" s="340"/>
      <c r="BQ117" s="340"/>
      <c r="BR117" s="340"/>
      <c r="BS117" s="340"/>
      <c r="BT117" s="340"/>
      <c r="BU117" s="340"/>
      <c r="BV117" s="340"/>
      <c r="BW117" s="340"/>
      <c r="BX117" s="340"/>
      <c r="BY117" s="340"/>
      <c r="BZ117" s="340"/>
      <c r="CA117" s="340"/>
      <c r="CB117" s="340"/>
      <c r="CC117" s="340"/>
      <c r="CD117" s="340"/>
      <c r="CE117" s="340"/>
      <c r="CF117" s="340"/>
      <c r="CG117" s="340"/>
      <c r="CH117" s="340"/>
      <c r="CI117" s="340"/>
      <c r="CJ117" s="340"/>
      <c r="CK117" s="340"/>
    </row>
    <row r="118" spans="3:89" x14ac:dyDescent="0.2">
      <c r="C118" s="334"/>
      <c r="D118" s="334"/>
      <c r="E118" s="333"/>
      <c r="F118" s="331"/>
      <c r="G118" s="331"/>
      <c r="H118" s="331"/>
      <c r="I118" s="331"/>
      <c r="J118" s="331"/>
      <c r="K118" s="331"/>
      <c r="L118" s="331"/>
      <c r="M118" s="331"/>
      <c r="N118" s="331"/>
      <c r="O118" s="331"/>
      <c r="P118" s="331"/>
      <c r="Q118" s="331"/>
      <c r="R118" s="331"/>
      <c r="S118" s="331"/>
      <c r="T118" s="331"/>
      <c r="U118" s="331"/>
      <c r="V118" s="331"/>
      <c r="W118" s="331"/>
      <c r="X118" s="331"/>
      <c r="Y118" s="119"/>
      <c r="Z118" s="343"/>
      <c r="AA118" s="343"/>
      <c r="AB118" s="345"/>
      <c r="AC118" s="343"/>
      <c r="AD118" s="343"/>
      <c r="AE118" s="343"/>
      <c r="AF118" s="343"/>
      <c r="AG118" s="343"/>
      <c r="AH118" s="343"/>
      <c r="AI118" s="343"/>
      <c r="AJ118" s="343"/>
      <c r="AK118" s="343"/>
      <c r="AL118" s="343"/>
      <c r="AM118" s="343"/>
      <c r="AN118" s="343"/>
      <c r="AO118" s="343"/>
      <c r="AP118" s="343"/>
      <c r="AQ118" s="343"/>
      <c r="AR118" s="343"/>
      <c r="AS118" s="343"/>
      <c r="AT118" s="343"/>
      <c r="AU118" s="341"/>
      <c r="AV118" s="341"/>
      <c r="AW118" s="341"/>
      <c r="AX118" s="341"/>
      <c r="AY118" s="341"/>
      <c r="AZ118" s="341"/>
      <c r="BA118" s="341"/>
      <c r="BB118" s="119"/>
      <c r="BC118" s="340"/>
      <c r="BD118" s="340"/>
      <c r="BE118" s="340"/>
      <c r="BF118" s="340"/>
      <c r="BG118" s="340"/>
      <c r="BH118" s="340"/>
      <c r="BI118" s="340"/>
      <c r="BJ118" s="340"/>
      <c r="BK118" s="340"/>
      <c r="BL118" s="340"/>
      <c r="BM118" s="340"/>
      <c r="BN118" s="340"/>
      <c r="BO118" s="340"/>
      <c r="BP118" s="340"/>
      <c r="BQ118" s="340"/>
      <c r="BR118" s="340"/>
      <c r="BS118" s="340"/>
      <c r="BT118" s="340"/>
      <c r="BU118" s="340"/>
      <c r="BV118" s="340"/>
      <c r="BW118" s="340"/>
      <c r="BX118" s="340"/>
      <c r="BY118" s="340"/>
      <c r="BZ118" s="340"/>
      <c r="CA118" s="340"/>
      <c r="CB118" s="340"/>
      <c r="CC118" s="340"/>
      <c r="CD118" s="340"/>
      <c r="CE118" s="340"/>
      <c r="CF118" s="340"/>
      <c r="CG118" s="340"/>
      <c r="CH118" s="340"/>
      <c r="CI118" s="340"/>
      <c r="CJ118" s="340"/>
      <c r="CK118" s="340"/>
    </row>
    <row r="119" spans="3:89" x14ac:dyDescent="0.2">
      <c r="C119" s="334"/>
      <c r="D119" s="334"/>
      <c r="E119" s="333"/>
      <c r="F119" s="331"/>
      <c r="G119" s="331"/>
      <c r="H119" s="331"/>
      <c r="I119" s="331"/>
      <c r="J119" s="331"/>
      <c r="K119" s="331"/>
      <c r="L119" s="331"/>
      <c r="M119" s="331"/>
      <c r="N119" s="331"/>
      <c r="O119" s="331"/>
      <c r="P119" s="331"/>
      <c r="Q119" s="331"/>
      <c r="R119" s="331"/>
      <c r="S119" s="331"/>
      <c r="T119" s="331"/>
      <c r="U119" s="119" t="s">
        <v>1531</v>
      </c>
      <c r="V119" s="331"/>
      <c r="W119" s="331"/>
      <c r="X119" s="331"/>
      <c r="Y119" s="119"/>
      <c r="Z119" s="343"/>
      <c r="AA119" s="343"/>
      <c r="AB119" s="345"/>
      <c r="AC119" s="343"/>
      <c r="AD119" s="343"/>
      <c r="AE119" s="343"/>
      <c r="AF119" s="343"/>
      <c r="AG119" s="343"/>
      <c r="AH119" s="343"/>
      <c r="AI119" s="343"/>
      <c r="AJ119" s="343"/>
      <c r="AK119" s="343"/>
      <c r="AL119" s="343"/>
      <c r="AM119" s="343"/>
      <c r="AN119" s="343"/>
      <c r="AO119" s="343"/>
      <c r="AP119" s="343"/>
      <c r="AQ119" s="343"/>
      <c r="AR119" s="343"/>
      <c r="AS119" s="343"/>
      <c r="AT119" s="343"/>
      <c r="AU119" s="341"/>
      <c r="AV119" s="341"/>
      <c r="AW119" s="341"/>
      <c r="AX119" s="341"/>
      <c r="AY119" s="341"/>
      <c r="AZ119" s="341"/>
      <c r="BA119" s="341"/>
      <c r="BB119" s="119"/>
      <c r="BC119" s="340"/>
      <c r="BD119" s="340"/>
      <c r="BE119" s="340"/>
      <c r="BF119" s="340"/>
      <c r="BG119" s="340"/>
      <c r="BH119" s="340"/>
      <c r="BI119" s="340"/>
      <c r="BJ119" s="340"/>
      <c r="BK119" s="340"/>
      <c r="BL119" s="340"/>
      <c r="BM119" s="340"/>
      <c r="BN119" s="340"/>
      <c r="BO119" s="340"/>
      <c r="BP119" s="340"/>
      <c r="BQ119" s="340"/>
      <c r="BR119" s="340"/>
      <c r="BS119" s="340"/>
      <c r="BT119" s="340"/>
      <c r="BU119" s="340"/>
      <c r="BV119" s="340"/>
      <c r="BW119" s="340"/>
      <c r="BX119" s="340"/>
      <c r="BY119" s="340"/>
      <c r="BZ119" s="340"/>
      <c r="CA119" s="340"/>
      <c r="CB119" s="340"/>
      <c r="CC119" s="340"/>
      <c r="CD119" s="340"/>
      <c r="CE119" s="340"/>
      <c r="CF119" s="340"/>
      <c r="CG119" s="340"/>
      <c r="CH119" s="340"/>
      <c r="CI119" s="340"/>
      <c r="CJ119" s="340"/>
      <c r="CK119" s="340"/>
    </row>
    <row r="120" spans="3:89" x14ac:dyDescent="0.2">
      <c r="C120" s="334"/>
      <c r="D120" s="334"/>
      <c r="E120" s="333"/>
      <c r="F120" s="331"/>
      <c r="G120" s="331"/>
      <c r="H120" s="331"/>
      <c r="I120" s="331"/>
      <c r="J120" s="331"/>
      <c r="K120" s="331"/>
      <c r="L120" s="331"/>
      <c r="M120" s="331"/>
      <c r="N120" s="331"/>
      <c r="O120" s="331"/>
      <c r="P120" s="331"/>
      <c r="Q120" s="331"/>
      <c r="R120" s="331"/>
      <c r="S120" s="331"/>
      <c r="T120" s="331"/>
      <c r="U120" s="346" t="s">
        <v>1530</v>
      </c>
      <c r="V120" s="331"/>
      <c r="W120" s="331"/>
      <c r="X120" s="331"/>
      <c r="Y120" s="119"/>
      <c r="Z120" s="343"/>
      <c r="AA120" s="343"/>
      <c r="AB120" s="345"/>
      <c r="AC120" s="343"/>
      <c r="AD120" s="343"/>
      <c r="AE120" s="343"/>
      <c r="AF120" s="343"/>
      <c r="AG120" s="343"/>
      <c r="AH120" s="343"/>
      <c r="AI120" s="343"/>
      <c r="AJ120" s="343"/>
      <c r="AK120" s="343"/>
      <c r="AL120" s="343"/>
      <c r="AM120" s="343"/>
      <c r="AN120" s="343"/>
      <c r="AO120" s="343"/>
      <c r="AP120" s="343"/>
      <c r="AQ120" s="343"/>
      <c r="AR120" s="343"/>
      <c r="AS120" s="343"/>
      <c r="AT120" s="343"/>
      <c r="AU120" s="341"/>
      <c r="AV120" s="341"/>
      <c r="AW120" s="341"/>
      <c r="AX120" s="341"/>
      <c r="AY120" s="341"/>
      <c r="AZ120" s="341"/>
      <c r="BA120" s="341"/>
      <c r="BB120" s="119"/>
      <c r="BC120" s="340"/>
      <c r="BD120" s="340"/>
      <c r="BE120" s="340"/>
      <c r="BF120" s="340"/>
      <c r="BG120" s="340"/>
      <c r="BH120" s="340"/>
      <c r="BI120" s="340"/>
      <c r="BJ120" s="340"/>
      <c r="BK120" s="340"/>
      <c r="BL120" s="340"/>
      <c r="BM120" s="340"/>
      <c r="BN120" s="340"/>
      <c r="BO120" s="340"/>
      <c r="BP120" s="340"/>
      <c r="BQ120" s="340"/>
      <c r="BR120" s="340"/>
      <c r="BS120" s="340"/>
      <c r="BT120" s="340"/>
      <c r="BU120" s="340"/>
      <c r="BV120" s="340"/>
      <c r="BW120" s="340"/>
      <c r="BX120" s="340"/>
      <c r="BY120" s="340"/>
      <c r="BZ120" s="340"/>
      <c r="CA120" s="340"/>
      <c r="CB120" s="340"/>
      <c r="CC120" s="340"/>
      <c r="CD120" s="340"/>
      <c r="CE120" s="340"/>
      <c r="CF120" s="340"/>
      <c r="CG120" s="340"/>
      <c r="CH120" s="340"/>
      <c r="CI120" s="340"/>
      <c r="CJ120" s="340"/>
      <c r="CK120" s="340"/>
    </row>
    <row r="121" spans="3:89" x14ac:dyDescent="0.2">
      <c r="C121" s="334"/>
      <c r="D121" s="334"/>
      <c r="E121" s="333"/>
      <c r="F121" s="331"/>
      <c r="G121" s="331"/>
      <c r="H121" s="331"/>
      <c r="I121" s="331"/>
      <c r="J121" s="331"/>
      <c r="K121" s="331"/>
      <c r="L121" s="331"/>
      <c r="M121" s="331"/>
      <c r="N121" s="331"/>
      <c r="O121" s="331"/>
      <c r="P121" s="331"/>
      <c r="Q121" s="331"/>
      <c r="R121" s="331"/>
      <c r="S121" s="331"/>
      <c r="T121" s="331"/>
      <c r="U121" s="346" t="s">
        <v>1529</v>
      </c>
      <c r="V121" s="331"/>
      <c r="W121" s="331"/>
      <c r="X121" s="331"/>
      <c r="Y121" s="119"/>
      <c r="Z121" s="343"/>
      <c r="AA121" s="343"/>
      <c r="AB121" s="345"/>
      <c r="AC121" s="343"/>
      <c r="AD121" s="343"/>
      <c r="AE121" s="343"/>
      <c r="AF121" s="343"/>
      <c r="AG121" s="343"/>
      <c r="AH121" s="343"/>
      <c r="AI121" s="343"/>
      <c r="AJ121" s="343"/>
      <c r="AK121" s="343"/>
      <c r="AL121" s="343"/>
      <c r="AM121" s="343"/>
      <c r="AN121" s="343"/>
      <c r="AO121" s="343"/>
      <c r="AP121" s="343"/>
      <c r="AQ121" s="343"/>
      <c r="AR121" s="343"/>
      <c r="AS121" s="343"/>
      <c r="AT121" s="343"/>
      <c r="AU121" s="341"/>
      <c r="AV121" s="341"/>
      <c r="AW121" s="341"/>
      <c r="AX121" s="341"/>
      <c r="AY121" s="341"/>
      <c r="AZ121" s="341"/>
      <c r="BA121" s="341"/>
      <c r="BB121" s="119"/>
      <c r="BC121" s="340"/>
      <c r="BD121" s="340"/>
      <c r="BE121" s="340"/>
      <c r="BF121" s="340"/>
      <c r="BG121" s="340"/>
      <c r="BH121" s="340"/>
      <c r="BI121" s="340"/>
      <c r="BJ121" s="340"/>
      <c r="BK121" s="340"/>
      <c r="BL121" s="340"/>
      <c r="BM121" s="340"/>
      <c r="BN121" s="340"/>
      <c r="BO121" s="340"/>
      <c r="BP121" s="340"/>
      <c r="BQ121" s="340"/>
      <c r="BR121" s="340"/>
      <c r="BS121" s="340"/>
      <c r="BT121" s="340"/>
      <c r="BU121" s="340"/>
      <c r="BV121" s="340"/>
      <c r="BW121" s="340"/>
      <c r="BX121" s="340"/>
      <c r="BY121" s="340"/>
      <c r="BZ121" s="340"/>
      <c r="CA121" s="340"/>
      <c r="CB121" s="340"/>
      <c r="CC121" s="340"/>
      <c r="CD121" s="340"/>
      <c r="CE121" s="340"/>
      <c r="CF121" s="340"/>
      <c r="CG121" s="340"/>
      <c r="CH121" s="340"/>
      <c r="CI121" s="340"/>
      <c r="CJ121" s="340"/>
      <c r="CK121" s="340"/>
    </row>
    <row r="122" spans="3:89" x14ac:dyDescent="0.2">
      <c r="C122" s="334"/>
      <c r="D122" s="334"/>
      <c r="E122" s="333"/>
      <c r="F122" s="331"/>
      <c r="G122" s="331"/>
      <c r="H122" s="331"/>
      <c r="I122" s="331"/>
      <c r="J122" s="331"/>
      <c r="K122" s="331"/>
      <c r="L122" s="331"/>
      <c r="M122" s="331"/>
      <c r="N122" s="331"/>
      <c r="O122" s="331"/>
      <c r="P122" s="331"/>
      <c r="Q122" s="331"/>
      <c r="R122" s="331"/>
      <c r="S122" s="331"/>
      <c r="T122" s="331"/>
      <c r="U122" s="346" t="s">
        <v>1528</v>
      </c>
      <c r="V122" s="331"/>
      <c r="W122" s="331"/>
      <c r="X122" s="331"/>
      <c r="Y122" s="119"/>
      <c r="Z122" s="343"/>
      <c r="AA122" s="343"/>
      <c r="AB122" s="345"/>
      <c r="AC122" s="343"/>
      <c r="AD122" s="343"/>
      <c r="AE122" s="343"/>
      <c r="AF122" s="343"/>
      <c r="AG122" s="343"/>
      <c r="AH122" s="343"/>
      <c r="AI122" s="343"/>
      <c r="AJ122" s="343"/>
      <c r="AK122" s="343"/>
      <c r="AL122" s="343"/>
      <c r="AM122" s="343"/>
      <c r="AN122" s="343"/>
      <c r="AO122" s="343"/>
      <c r="AP122" s="343"/>
      <c r="AQ122" s="343"/>
      <c r="AR122" s="343"/>
      <c r="AS122" s="343"/>
      <c r="AT122" s="343"/>
      <c r="AU122" s="341"/>
      <c r="AV122" s="341"/>
      <c r="AW122" s="341"/>
      <c r="AX122" s="341"/>
      <c r="AY122" s="341"/>
      <c r="AZ122" s="341"/>
      <c r="BA122" s="341"/>
      <c r="BB122" s="119"/>
      <c r="BC122" s="340"/>
      <c r="BD122" s="340"/>
      <c r="BE122" s="340"/>
      <c r="BF122" s="340"/>
      <c r="BG122" s="340"/>
      <c r="BH122" s="340"/>
      <c r="BI122" s="340"/>
      <c r="BJ122" s="340"/>
      <c r="BK122" s="340"/>
      <c r="BL122" s="340"/>
      <c r="BM122" s="340"/>
      <c r="BN122" s="340"/>
      <c r="BO122" s="340"/>
      <c r="BP122" s="340"/>
      <c r="BQ122" s="340"/>
      <c r="BR122" s="340"/>
      <c r="BS122" s="340"/>
      <c r="BT122" s="340"/>
      <c r="BU122" s="340"/>
      <c r="BV122" s="340"/>
      <c r="BW122" s="340"/>
      <c r="BX122" s="340"/>
      <c r="BY122" s="340"/>
      <c r="BZ122" s="340"/>
      <c r="CA122" s="340"/>
      <c r="CB122" s="340"/>
      <c r="CC122" s="340"/>
      <c r="CD122" s="340"/>
      <c r="CE122" s="340"/>
      <c r="CF122" s="340"/>
      <c r="CG122" s="340"/>
      <c r="CH122" s="340"/>
      <c r="CI122" s="340"/>
      <c r="CJ122" s="340"/>
      <c r="CK122" s="340"/>
    </row>
    <row r="123" spans="3:89" x14ac:dyDescent="0.2">
      <c r="C123" s="334"/>
      <c r="D123" s="334"/>
      <c r="E123" s="333"/>
      <c r="F123" s="331"/>
      <c r="G123" s="331"/>
      <c r="H123" s="331"/>
      <c r="I123" s="331"/>
      <c r="J123" s="331"/>
      <c r="K123" s="331"/>
      <c r="L123" s="331"/>
      <c r="M123" s="331"/>
      <c r="N123" s="331"/>
      <c r="O123" s="331"/>
      <c r="P123" s="331"/>
      <c r="Q123" s="331"/>
      <c r="R123" s="331"/>
      <c r="S123" s="331"/>
      <c r="T123" s="331"/>
      <c r="U123" s="346" t="s">
        <v>1527</v>
      </c>
      <c r="V123" s="331"/>
      <c r="W123" s="331"/>
      <c r="X123" s="331"/>
      <c r="Y123" s="119"/>
      <c r="Z123" s="343"/>
      <c r="AA123" s="343"/>
      <c r="AB123" s="345"/>
      <c r="AC123" s="343"/>
      <c r="AD123" s="343"/>
      <c r="AE123" s="343"/>
      <c r="AF123" s="343"/>
      <c r="AG123" s="343"/>
      <c r="AH123" s="343"/>
      <c r="AI123" s="343"/>
      <c r="AJ123" s="343"/>
      <c r="AK123" s="343"/>
      <c r="AL123" s="343"/>
      <c r="AM123" s="343"/>
      <c r="AN123" s="343"/>
      <c r="AO123" s="343"/>
      <c r="AP123" s="343"/>
      <c r="AQ123" s="343"/>
      <c r="AR123" s="343"/>
      <c r="AS123" s="343"/>
      <c r="AT123" s="343"/>
      <c r="AU123" s="341"/>
      <c r="AV123" s="341"/>
      <c r="AW123" s="341"/>
      <c r="AX123" s="341"/>
      <c r="AY123" s="341"/>
      <c r="AZ123" s="341"/>
      <c r="BA123" s="341"/>
      <c r="BB123" s="119"/>
      <c r="BC123" s="340"/>
      <c r="BD123" s="340"/>
      <c r="BE123" s="340"/>
      <c r="BF123" s="340"/>
      <c r="BG123" s="340"/>
      <c r="BH123" s="340"/>
      <c r="BI123" s="340"/>
      <c r="BJ123" s="340"/>
      <c r="BK123" s="340"/>
      <c r="BL123" s="340"/>
      <c r="BM123" s="340"/>
      <c r="BN123" s="340"/>
      <c r="BO123" s="340"/>
      <c r="BP123" s="340"/>
      <c r="BQ123" s="340"/>
      <c r="BR123" s="340"/>
      <c r="BS123" s="340"/>
      <c r="BT123" s="340"/>
      <c r="BU123" s="340"/>
      <c r="BV123" s="340"/>
      <c r="BW123" s="340"/>
      <c r="BX123" s="340"/>
      <c r="BY123" s="340"/>
      <c r="BZ123" s="340"/>
      <c r="CA123" s="340"/>
      <c r="CB123" s="340"/>
      <c r="CC123" s="340"/>
      <c r="CD123" s="340"/>
      <c r="CE123" s="340"/>
      <c r="CF123" s="340"/>
      <c r="CG123" s="340"/>
      <c r="CH123" s="340"/>
      <c r="CI123" s="340"/>
      <c r="CJ123" s="340"/>
      <c r="CK123" s="340"/>
    </row>
    <row r="124" spans="3:89" x14ac:dyDescent="0.2">
      <c r="C124" s="334"/>
      <c r="D124" s="334"/>
      <c r="E124" s="333"/>
      <c r="F124" s="331"/>
      <c r="G124" s="331"/>
      <c r="H124" s="331"/>
      <c r="I124" s="331"/>
      <c r="J124" s="331"/>
      <c r="K124" s="331"/>
      <c r="L124" s="331"/>
      <c r="M124" s="331"/>
      <c r="N124" s="331"/>
      <c r="O124" s="331"/>
      <c r="P124" s="331"/>
      <c r="Q124" s="331"/>
      <c r="R124" s="331"/>
      <c r="S124" s="331"/>
      <c r="T124" s="331"/>
      <c r="U124" s="346" t="s">
        <v>1526</v>
      </c>
      <c r="V124" s="331"/>
      <c r="W124" s="331"/>
      <c r="X124" s="331"/>
      <c r="Y124" s="119"/>
      <c r="Z124" s="343"/>
      <c r="AA124" s="343"/>
      <c r="AB124" s="345"/>
      <c r="AC124" s="343"/>
      <c r="AD124" s="343"/>
      <c r="AE124" s="343"/>
      <c r="AF124" s="343"/>
      <c r="AG124" s="343"/>
      <c r="AH124" s="343"/>
      <c r="AI124" s="343"/>
      <c r="AJ124" s="343"/>
      <c r="AK124" s="343"/>
      <c r="AL124" s="343"/>
      <c r="AM124" s="343"/>
      <c r="AN124" s="343"/>
      <c r="AO124" s="343"/>
      <c r="AP124" s="343"/>
      <c r="AQ124" s="343"/>
      <c r="AR124" s="343"/>
      <c r="AS124" s="343"/>
      <c r="AT124" s="343"/>
      <c r="AU124" s="341"/>
      <c r="AV124" s="341"/>
      <c r="AW124" s="341"/>
      <c r="AX124" s="341"/>
      <c r="AY124" s="341"/>
      <c r="AZ124" s="341"/>
      <c r="BA124" s="341"/>
      <c r="BB124" s="119"/>
      <c r="BC124" s="340"/>
      <c r="BD124" s="340"/>
      <c r="BE124" s="340"/>
      <c r="BF124" s="340"/>
      <c r="BG124" s="340"/>
      <c r="BH124" s="340"/>
      <c r="BI124" s="340"/>
      <c r="BJ124" s="340"/>
      <c r="BK124" s="340"/>
      <c r="BL124" s="340"/>
      <c r="BM124" s="340"/>
      <c r="BN124" s="340"/>
      <c r="BO124" s="340"/>
      <c r="BP124" s="340"/>
      <c r="BQ124" s="340"/>
      <c r="BR124" s="340"/>
      <c r="BS124" s="340"/>
      <c r="BT124" s="340"/>
      <c r="BU124" s="340"/>
      <c r="BV124" s="340"/>
      <c r="BW124" s="340"/>
      <c r="BX124" s="340"/>
      <c r="BY124" s="340"/>
      <c r="BZ124" s="340"/>
      <c r="CA124" s="340"/>
      <c r="CB124" s="340"/>
      <c r="CC124" s="340"/>
      <c r="CD124" s="340"/>
      <c r="CE124" s="340"/>
      <c r="CF124" s="340"/>
      <c r="CG124" s="340"/>
      <c r="CH124" s="340"/>
      <c r="CI124" s="340"/>
      <c r="CJ124" s="340"/>
      <c r="CK124" s="340"/>
    </row>
    <row r="125" spans="3:89" x14ac:dyDescent="0.2">
      <c r="C125" s="334"/>
      <c r="D125" s="334"/>
      <c r="E125" s="333"/>
      <c r="F125" s="331"/>
      <c r="G125" s="331"/>
      <c r="H125" s="331"/>
      <c r="I125" s="331"/>
      <c r="J125" s="331"/>
      <c r="K125" s="331"/>
      <c r="L125" s="331"/>
      <c r="M125" s="331"/>
      <c r="N125" s="331"/>
      <c r="O125" s="331"/>
      <c r="P125" s="331"/>
      <c r="Q125" s="331"/>
      <c r="R125" s="331"/>
      <c r="S125" s="331"/>
      <c r="T125" s="331"/>
      <c r="U125" s="331"/>
      <c r="V125" s="331"/>
      <c r="W125" s="331"/>
      <c r="X125" s="331"/>
      <c r="Y125" s="119"/>
      <c r="Z125" s="343"/>
      <c r="AA125" s="343"/>
      <c r="AB125" s="345"/>
      <c r="AC125" s="343"/>
      <c r="AD125" s="343"/>
      <c r="AE125" s="343"/>
      <c r="AF125" s="343"/>
      <c r="AG125" s="343"/>
      <c r="AH125" s="343"/>
      <c r="AI125" s="343"/>
      <c r="AJ125" s="343"/>
      <c r="AK125" s="343"/>
      <c r="AL125" s="343"/>
      <c r="AM125" s="343"/>
      <c r="AN125" s="343"/>
      <c r="AO125" s="343"/>
      <c r="AP125" s="343"/>
      <c r="AQ125" s="343"/>
      <c r="AR125" s="343"/>
      <c r="AS125" s="343"/>
      <c r="AT125" s="343"/>
      <c r="AU125" s="341"/>
      <c r="AV125" s="341"/>
      <c r="AW125" s="341"/>
      <c r="AX125" s="341"/>
      <c r="AY125" s="341"/>
      <c r="AZ125" s="341"/>
      <c r="BA125" s="341"/>
      <c r="BB125" s="119"/>
      <c r="BC125" s="340"/>
      <c r="BD125" s="340"/>
      <c r="BE125" s="340"/>
      <c r="BF125" s="340"/>
      <c r="BG125" s="340"/>
      <c r="BH125" s="340"/>
      <c r="BI125" s="340"/>
      <c r="BJ125" s="340"/>
      <c r="BK125" s="340"/>
      <c r="BL125" s="340"/>
      <c r="BM125" s="340"/>
      <c r="BN125" s="340"/>
      <c r="BO125" s="340"/>
      <c r="BP125" s="340"/>
      <c r="BQ125" s="340"/>
      <c r="BR125" s="340"/>
      <c r="BS125" s="340"/>
      <c r="BT125" s="340"/>
      <c r="BU125" s="340"/>
      <c r="BV125" s="340"/>
      <c r="BW125" s="340"/>
      <c r="BX125" s="340"/>
      <c r="BY125" s="340"/>
      <c r="BZ125" s="340"/>
      <c r="CA125" s="340"/>
      <c r="CB125" s="340"/>
      <c r="CC125" s="340"/>
      <c r="CD125" s="340"/>
      <c r="CE125" s="340"/>
      <c r="CF125" s="340"/>
      <c r="CG125" s="340"/>
      <c r="CH125" s="340"/>
      <c r="CI125" s="340"/>
      <c r="CJ125" s="340"/>
      <c r="CK125" s="340"/>
    </row>
    <row r="126" spans="3:89" x14ac:dyDescent="0.2">
      <c r="C126" s="334"/>
      <c r="D126" s="334"/>
      <c r="E126" s="333"/>
      <c r="F126" s="331"/>
      <c r="G126" s="331"/>
      <c r="H126" s="331"/>
      <c r="I126" s="331"/>
      <c r="J126" s="331"/>
      <c r="K126" s="331"/>
      <c r="L126" s="331"/>
      <c r="M126" s="331"/>
      <c r="N126" s="331"/>
      <c r="O126" s="331"/>
      <c r="P126" s="331"/>
      <c r="Q126" s="331"/>
      <c r="R126" s="331"/>
      <c r="S126" s="331"/>
      <c r="T126" s="331"/>
      <c r="U126" s="331"/>
      <c r="V126" s="331"/>
      <c r="W126" s="331"/>
      <c r="X126" s="331"/>
      <c r="Y126" s="119"/>
      <c r="Z126" s="343"/>
      <c r="AA126" s="343"/>
      <c r="AB126" s="345"/>
      <c r="AC126" s="343"/>
      <c r="AD126" s="343"/>
      <c r="AE126" s="343"/>
      <c r="AF126" s="343"/>
      <c r="AG126" s="343"/>
      <c r="AH126" s="343"/>
      <c r="AI126" s="343"/>
      <c r="AJ126" s="343"/>
      <c r="AK126" s="343"/>
      <c r="AL126" s="343"/>
      <c r="AM126" s="343"/>
      <c r="AN126" s="343"/>
      <c r="AO126" s="343"/>
      <c r="AP126" s="343"/>
      <c r="AQ126" s="343"/>
      <c r="AR126" s="343"/>
      <c r="AS126" s="343"/>
      <c r="AT126" s="343"/>
      <c r="AU126" s="341"/>
      <c r="AV126" s="341"/>
      <c r="AW126" s="341"/>
      <c r="AX126" s="341"/>
      <c r="AY126" s="341"/>
      <c r="AZ126" s="341"/>
      <c r="BA126" s="341"/>
      <c r="BB126" s="119"/>
      <c r="BC126" s="340"/>
      <c r="BD126" s="340"/>
      <c r="BE126" s="340"/>
      <c r="BF126" s="340"/>
      <c r="BG126" s="340"/>
      <c r="BH126" s="340"/>
      <c r="BI126" s="340"/>
      <c r="BJ126" s="340"/>
      <c r="BK126" s="340"/>
      <c r="BL126" s="340"/>
      <c r="BM126" s="340"/>
      <c r="BN126" s="340"/>
      <c r="BO126" s="340"/>
      <c r="BP126" s="340"/>
      <c r="BQ126" s="340"/>
      <c r="BR126" s="340"/>
      <c r="BS126" s="340"/>
      <c r="BT126" s="340"/>
      <c r="BU126" s="340"/>
      <c r="BV126" s="340"/>
      <c r="BW126" s="340"/>
      <c r="BX126" s="340"/>
      <c r="BY126" s="340"/>
      <c r="BZ126" s="340"/>
      <c r="CA126" s="340"/>
      <c r="CB126" s="340"/>
      <c r="CC126" s="340"/>
      <c r="CD126" s="340"/>
      <c r="CE126" s="340"/>
      <c r="CF126" s="340"/>
      <c r="CG126" s="340"/>
      <c r="CH126" s="340"/>
      <c r="CI126" s="340"/>
      <c r="CJ126" s="340"/>
      <c r="CK126" s="340"/>
    </row>
    <row r="127" spans="3:89" x14ac:dyDescent="0.2">
      <c r="C127" s="334"/>
      <c r="D127" s="334"/>
      <c r="E127" s="333"/>
      <c r="F127" s="331"/>
      <c r="G127" s="331"/>
      <c r="H127" s="331"/>
      <c r="I127" s="331"/>
      <c r="J127" s="331"/>
      <c r="K127" s="331"/>
      <c r="L127" s="331"/>
      <c r="M127" s="331"/>
      <c r="N127" s="331"/>
      <c r="O127" s="331"/>
      <c r="P127" s="331"/>
      <c r="Q127" s="331"/>
      <c r="R127" s="331"/>
      <c r="S127" s="331"/>
      <c r="T127" s="331"/>
      <c r="U127" s="331"/>
      <c r="V127" s="331"/>
      <c r="W127" s="331"/>
      <c r="X127" s="331"/>
      <c r="Y127" s="119"/>
      <c r="Z127" s="343"/>
      <c r="AA127" s="343"/>
      <c r="AB127" s="345"/>
      <c r="AC127" s="343"/>
      <c r="AD127" s="343"/>
      <c r="AE127" s="343"/>
      <c r="AF127" s="343"/>
      <c r="AG127" s="343"/>
      <c r="AH127" s="343"/>
      <c r="AI127" s="343"/>
      <c r="AJ127" s="343"/>
      <c r="AK127" s="343"/>
      <c r="AL127" s="343"/>
      <c r="AM127" s="343"/>
      <c r="AN127" s="343"/>
      <c r="AO127" s="343"/>
      <c r="AP127" s="343"/>
      <c r="AQ127" s="343"/>
      <c r="AR127" s="343"/>
      <c r="AS127" s="343"/>
      <c r="AT127" s="343"/>
      <c r="AU127" s="341"/>
      <c r="AV127" s="341"/>
      <c r="AW127" s="341"/>
      <c r="AX127" s="341"/>
      <c r="AY127" s="341"/>
      <c r="AZ127" s="341"/>
      <c r="BA127" s="341"/>
      <c r="BB127" s="119"/>
      <c r="BC127" s="340"/>
      <c r="BD127" s="340"/>
      <c r="BE127" s="340"/>
      <c r="BF127" s="340"/>
      <c r="BG127" s="340"/>
      <c r="BH127" s="340"/>
      <c r="BI127" s="340"/>
      <c r="BJ127" s="340"/>
      <c r="BK127" s="340"/>
      <c r="BL127" s="340"/>
      <c r="BM127" s="340"/>
      <c r="BN127" s="340"/>
      <c r="BO127" s="340"/>
      <c r="BP127" s="340"/>
      <c r="BQ127" s="340"/>
      <c r="BR127" s="340"/>
      <c r="BS127" s="340"/>
      <c r="BT127" s="340"/>
      <c r="BU127" s="340"/>
      <c r="BV127" s="340"/>
      <c r="BW127" s="340"/>
      <c r="BX127" s="340"/>
      <c r="BY127" s="340"/>
      <c r="BZ127" s="340"/>
      <c r="CA127" s="340"/>
      <c r="CB127" s="340"/>
      <c r="CC127" s="340"/>
      <c r="CD127" s="340"/>
      <c r="CE127" s="340"/>
      <c r="CF127" s="340"/>
      <c r="CG127" s="340"/>
      <c r="CH127" s="340"/>
      <c r="CI127" s="340"/>
      <c r="CJ127" s="340"/>
      <c r="CK127" s="340"/>
    </row>
    <row r="128" spans="3:89" x14ac:dyDescent="0.2">
      <c r="C128" s="334"/>
      <c r="D128" s="334"/>
      <c r="E128" s="333"/>
      <c r="F128" s="331"/>
      <c r="G128" s="331"/>
      <c r="H128" s="331"/>
      <c r="I128" s="331"/>
      <c r="J128" s="331"/>
      <c r="K128" s="331"/>
      <c r="L128" s="331"/>
      <c r="M128" s="331"/>
      <c r="N128" s="331"/>
      <c r="O128" s="331"/>
      <c r="P128" s="331"/>
      <c r="Q128" s="331"/>
      <c r="R128" s="331"/>
      <c r="S128" s="331"/>
      <c r="T128" s="331"/>
      <c r="U128" s="331"/>
      <c r="V128" s="331"/>
      <c r="W128" s="331"/>
      <c r="X128" s="331"/>
      <c r="Y128" s="119"/>
      <c r="Z128" s="343"/>
      <c r="AA128" s="343"/>
      <c r="AB128" s="344"/>
      <c r="AC128" s="343"/>
      <c r="AD128" s="343"/>
      <c r="AE128" s="343"/>
      <c r="AF128" s="343"/>
      <c r="AG128" s="343"/>
      <c r="AH128" s="343"/>
      <c r="AI128" s="343"/>
      <c r="AJ128" s="343"/>
      <c r="AK128" s="343"/>
      <c r="AL128" s="343"/>
      <c r="AM128" s="343"/>
      <c r="AN128" s="343"/>
      <c r="AO128" s="343"/>
      <c r="AP128" s="343"/>
      <c r="AQ128" s="343"/>
      <c r="AR128" s="343"/>
      <c r="AS128" s="343"/>
      <c r="AT128" s="343"/>
      <c r="AU128" s="341"/>
      <c r="AV128" s="341"/>
      <c r="AW128" s="341"/>
      <c r="AX128" s="341"/>
      <c r="AY128" s="341"/>
      <c r="AZ128" s="341"/>
      <c r="BA128" s="341"/>
      <c r="BB128" s="119"/>
      <c r="BC128" s="340"/>
      <c r="BD128" s="340"/>
      <c r="BE128" s="340"/>
      <c r="BF128" s="340"/>
      <c r="BG128" s="340"/>
      <c r="BH128" s="340"/>
      <c r="BI128" s="340"/>
      <c r="BJ128" s="340"/>
      <c r="BK128" s="340"/>
      <c r="BL128" s="340"/>
      <c r="BM128" s="340"/>
      <c r="BN128" s="340"/>
      <c r="BO128" s="340"/>
      <c r="BP128" s="340"/>
      <c r="BQ128" s="340"/>
      <c r="BR128" s="340"/>
      <c r="BS128" s="340"/>
      <c r="BT128" s="340"/>
      <c r="BU128" s="340"/>
      <c r="BV128" s="340"/>
      <c r="BW128" s="340"/>
      <c r="BX128" s="340"/>
      <c r="BY128" s="340"/>
      <c r="BZ128" s="340"/>
      <c r="CA128" s="340"/>
      <c r="CB128" s="340"/>
      <c r="CC128" s="340"/>
      <c r="CD128" s="340"/>
      <c r="CE128" s="340"/>
      <c r="CF128" s="340"/>
      <c r="CG128" s="340"/>
      <c r="CH128" s="340"/>
      <c r="CI128" s="340"/>
      <c r="CJ128" s="340"/>
      <c r="CK128" s="340"/>
    </row>
    <row r="129" spans="3:89" ht="25.5" x14ac:dyDescent="0.2">
      <c r="C129" s="331"/>
      <c r="D129" s="475" t="s">
        <v>241</v>
      </c>
      <c r="E129" s="476" t="s">
        <v>1525</v>
      </c>
      <c r="F129" s="476" t="s">
        <v>1524</v>
      </c>
      <c r="G129" s="476" t="s">
        <v>1523</v>
      </c>
      <c r="H129" s="476" t="s">
        <v>1522</v>
      </c>
      <c r="I129" s="476" t="s">
        <v>1521</v>
      </c>
      <c r="J129" s="476" t="s">
        <v>1520</v>
      </c>
      <c r="K129" s="476" t="s">
        <v>1519</v>
      </c>
      <c r="L129" s="476" t="s">
        <v>1518</v>
      </c>
      <c r="M129" s="476" t="s">
        <v>1517</v>
      </c>
      <c r="N129" s="476" t="s">
        <v>240</v>
      </c>
      <c r="O129" s="476" t="s">
        <v>1516</v>
      </c>
      <c r="P129" s="476" t="s">
        <v>1515</v>
      </c>
      <c r="Q129" s="476" t="s">
        <v>15</v>
      </c>
      <c r="R129" s="476" t="s">
        <v>239</v>
      </c>
      <c r="S129" s="476" t="s">
        <v>3</v>
      </c>
      <c r="T129" s="476" t="s">
        <v>1514</v>
      </c>
      <c r="U129" s="476" t="s">
        <v>1513</v>
      </c>
      <c r="V129" s="476" t="s">
        <v>1512</v>
      </c>
      <c r="W129" s="476" t="s">
        <v>1511</v>
      </c>
      <c r="X129" s="476" t="s">
        <v>1510</v>
      </c>
      <c r="Y129" s="476" t="s">
        <v>1509</v>
      </c>
      <c r="Z129" s="477" t="s">
        <v>20</v>
      </c>
      <c r="AA129" s="477" t="s">
        <v>238</v>
      </c>
      <c r="AB129" s="478"/>
      <c r="AC129" s="341"/>
      <c r="AD129" s="342"/>
      <c r="AE129" s="342"/>
      <c r="AF129" s="342"/>
      <c r="AG129" s="342"/>
      <c r="AH129" s="342"/>
      <c r="AI129" s="342"/>
      <c r="AJ129" s="342"/>
      <c r="AK129" s="342"/>
      <c r="AL129" s="342"/>
      <c r="AM129" s="342"/>
      <c r="AN129" s="342"/>
      <c r="AO129" s="342"/>
      <c r="AP129" s="342"/>
      <c r="AQ129" s="342"/>
      <c r="AR129" s="342"/>
      <c r="AS129" s="342"/>
      <c r="AT129" s="342"/>
      <c r="AU129" s="341"/>
      <c r="AV129" s="341"/>
      <c r="AW129" s="341"/>
      <c r="AX129" s="341"/>
      <c r="AY129" s="341"/>
      <c r="AZ129" s="341"/>
      <c r="BA129" s="341"/>
      <c r="BB129" s="119"/>
      <c r="BC129" s="340"/>
      <c r="BD129" s="340"/>
      <c r="BE129" s="340"/>
      <c r="BF129" s="340"/>
      <c r="BG129" s="340"/>
      <c r="BH129" s="340"/>
      <c r="BI129" s="340"/>
      <c r="BJ129" s="340"/>
      <c r="BK129" s="340"/>
      <c r="BL129" s="340"/>
      <c r="BM129" s="340"/>
      <c r="BN129" s="340"/>
      <c r="BO129" s="340"/>
      <c r="BP129" s="340"/>
      <c r="BQ129" s="340"/>
      <c r="BR129" s="340"/>
      <c r="BS129" s="340"/>
      <c r="BT129" s="340"/>
      <c r="BU129" s="340"/>
      <c r="BV129" s="340"/>
      <c r="BW129" s="340"/>
      <c r="BX129" s="340"/>
      <c r="BY129" s="340"/>
      <c r="BZ129" s="340"/>
      <c r="CA129" s="340"/>
      <c r="CB129" s="340"/>
      <c r="CC129" s="340"/>
      <c r="CD129" s="340"/>
      <c r="CE129" s="340"/>
      <c r="CF129" s="340"/>
      <c r="CG129" s="340"/>
      <c r="CH129" s="340"/>
      <c r="CI129" s="340"/>
      <c r="CJ129" s="340"/>
      <c r="CK129" s="340"/>
    </row>
    <row r="130" spans="3:89" ht="18.75" x14ac:dyDescent="0.2">
      <c r="C130" s="334"/>
      <c r="D130" s="338">
        <v>1</v>
      </c>
      <c r="E130" s="338">
        <v>619</v>
      </c>
      <c r="F130" s="338">
        <v>359</v>
      </c>
      <c r="G130" s="338">
        <v>334</v>
      </c>
      <c r="H130" s="338">
        <v>411</v>
      </c>
      <c r="I130" s="338">
        <v>468</v>
      </c>
      <c r="J130" s="338">
        <v>422</v>
      </c>
      <c r="K130" s="338">
        <v>612</v>
      </c>
      <c r="L130" s="337">
        <v>7</v>
      </c>
      <c r="M130" s="338">
        <v>35</v>
      </c>
      <c r="N130" s="338">
        <v>347</v>
      </c>
      <c r="O130" s="338">
        <v>613</v>
      </c>
      <c r="P130" s="338">
        <v>1</v>
      </c>
      <c r="Q130" s="338">
        <v>257</v>
      </c>
      <c r="R130" s="338">
        <v>486</v>
      </c>
      <c r="S130" s="338">
        <v>9</v>
      </c>
      <c r="T130" s="338">
        <v>398</v>
      </c>
      <c r="U130" s="338">
        <v>440</v>
      </c>
      <c r="V130" s="338">
        <v>2</v>
      </c>
      <c r="W130" s="338">
        <v>327</v>
      </c>
      <c r="X130" s="338">
        <v>3</v>
      </c>
      <c r="Y130" s="338">
        <v>621</v>
      </c>
      <c r="Z130" s="338">
        <v>397</v>
      </c>
      <c r="AA130" s="338">
        <v>199</v>
      </c>
      <c r="AB130" s="335"/>
      <c r="AC130" s="335"/>
      <c r="AD130" s="335"/>
      <c r="AE130" s="335"/>
      <c r="AF130" s="335"/>
      <c r="AG130" s="335"/>
      <c r="AH130" s="335"/>
      <c r="AI130" s="335"/>
      <c r="AJ130" s="335"/>
      <c r="AK130" s="335"/>
      <c r="AL130" s="335"/>
      <c r="AM130" s="335"/>
      <c r="AN130" s="335"/>
      <c r="AO130" s="335"/>
      <c r="AP130" s="335"/>
      <c r="AQ130" s="335"/>
      <c r="AR130" s="335"/>
      <c r="AS130" s="331"/>
      <c r="AT130" s="331"/>
      <c r="AU130" s="119"/>
      <c r="AV130" s="119"/>
      <c r="AW130" s="119"/>
      <c r="AX130" s="119"/>
      <c r="AY130" s="119"/>
      <c r="AZ130" s="119"/>
      <c r="BA130" s="119"/>
      <c r="BB130" s="340"/>
      <c r="BC130" s="340"/>
      <c r="BD130" s="340"/>
      <c r="BE130" s="340"/>
      <c r="BF130" s="340"/>
      <c r="BG130" s="340"/>
      <c r="BH130" s="340"/>
      <c r="BI130" s="340"/>
      <c r="BJ130" s="340"/>
      <c r="BK130" s="340"/>
      <c r="BL130" s="340"/>
      <c r="BM130" s="340"/>
      <c r="BN130" s="340"/>
      <c r="BO130" s="340"/>
      <c r="BP130" s="340"/>
      <c r="BQ130" s="340"/>
      <c r="BR130" s="340"/>
      <c r="BS130" s="340"/>
      <c r="BT130" s="340"/>
      <c r="BU130" s="340"/>
      <c r="BV130" s="340"/>
      <c r="BW130" s="340"/>
      <c r="BX130" s="340"/>
      <c r="BY130" s="340"/>
      <c r="BZ130" s="340"/>
      <c r="CA130" s="340"/>
      <c r="CB130" s="340"/>
      <c r="CC130" s="340"/>
      <c r="CD130" s="340"/>
      <c r="CE130" s="340"/>
      <c r="CF130" s="340"/>
      <c r="CG130" s="340"/>
      <c r="CH130" s="340"/>
      <c r="CI130" s="340"/>
      <c r="CJ130" s="340"/>
      <c r="CK130" s="340"/>
    </row>
    <row r="131" spans="3:89" ht="18.75" x14ac:dyDescent="0.2">
      <c r="C131" s="334"/>
      <c r="D131" s="338">
        <v>2</v>
      </c>
      <c r="E131" s="335"/>
      <c r="F131" s="338">
        <v>360</v>
      </c>
      <c r="G131" s="338">
        <v>335</v>
      </c>
      <c r="H131" s="335"/>
      <c r="I131" s="335"/>
      <c r="J131" s="338">
        <v>434</v>
      </c>
      <c r="K131" s="335"/>
      <c r="L131" s="337">
        <v>8</v>
      </c>
      <c r="M131" s="338">
        <v>36</v>
      </c>
      <c r="N131" s="338">
        <v>348</v>
      </c>
      <c r="O131" s="335"/>
      <c r="P131" s="338">
        <v>33</v>
      </c>
      <c r="Q131" s="338">
        <v>449</v>
      </c>
      <c r="R131" s="338">
        <v>620</v>
      </c>
      <c r="S131" s="338">
        <v>39</v>
      </c>
      <c r="T131" s="338">
        <v>497</v>
      </c>
      <c r="U131" s="338">
        <v>442</v>
      </c>
      <c r="V131" s="338">
        <v>34</v>
      </c>
      <c r="W131" s="338">
        <v>614</v>
      </c>
      <c r="X131" s="338">
        <v>4</v>
      </c>
      <c r="Y131" s="338"/>
      <c r="Z131" s="335"/>
      <c r="AA131" s="335"/>
      <c r="AB131" s="335"/>
      <c r="AC131" s="335"/>
      <c r="AD131" s="335"/>
      <c r="AE131" s="335"/>
      <c r="AF131" s="335"/>
      <c r="AG131" s="335"/>
      <c r="AH131" s="335"/>
      <c r="AI131" s="335"/>
      <c r="AJ131" s="335"/>
      <c r="AK131" s="335"/>
      <c r="AL131" s="335"/>
      <c r="AM131" s="335"/>
      <c r="AN131" s="335"/>
      <c r="AO131" s="335"/>
      <c r="AP131" s="335"/>
      <c r="AQ131" s="335"/>
      <c r="AR131" s="335"/>
      <c r="AS131" s="331"/>
      <c r="AT131" s="331"/>
      <c r="AU131" s="119"/>
      <c r="AV131" s="119"/>
      <c r="AW131" s="119"/>
      <c r="AX131" s="119"/>
      <c r="AY131" s="119"/>
      <c r="AZ131" s="119"/>
      <c r="BA131" s="119"/>
      <c r="BB131" s="340"/>
      <c r="BC131" s="340"/>
      <c r="BD131" s="340"/>
      <c r="BE131" s="340"/>
      <c r="BF131" s="340"/>
      <c r="BG131" s="340"/>
      <c r="BH131" s="340"/>
      <c r="BI131" s="340"/>
      <c r="BJ131" s="340"/>
      <c r="BK131" s="340"/>
      <c r="BL131" s="340"/>
      <c r="BM131" s="340"/>
      <c r="BN131" s="340"/>
      <c r="BO131" s="340"/>
      <c r="BP131" s="340"/>
      <c r="BQ131" s="340"/>
      <c r="BR131" s="340"/>
      <c r="BS131" s="340"/>
      <c r="BT131" s="340"/>
      <c r="BU131" s="340"/>
      <c r="BV131" s="340"/>
      <c r="BW131" s="340"/>
      <c r="BX131" s="340"/>
      <c r="BY131" s="340"/>
      <c r="BZ131" s="340"/>
      <c r="CA131" s="340"/>
      <c r="CB131" s="340"/>
      <c r="CC131" s="340"/>
      <c r="CD131" s="340"/>
      <c r="CE131" s="340"/>
      <c r="CF131" s="340"/>
      <c r="CG131" s="340"/>
      <c r="CH131" s="340"/>
      <c r="CI131" s="340"/>
      <c r="CJ131" s="340"/>
      <c r="CK131" s="340"/>
    </row>
    <row r="132" spans="3:89" ht="18.75" x14ac:dyDescent="0.2">
      <c r="C132" s="334"/>
      <c r="D132" s="338">
        <v>3</v>
      </c>
      <c r="E132" s="335"/>
      <c r="F132" s="338">
        <v>375</v>
      </c>
      <c r="G132" s="338">
        <v>388</v>
      </c>
      <c r="H132" s="335"/>
      <c r="I132" s="335"/>
      <c r="J132" s="335"/>
      <c r="K132" s="335"/>
      <c r="L132" s="337">
        <v>10</v>
      </c>
      <c r="M132" s="338">
        <v>37</v>
      </c>
      <c r="N132" s="335"/>
      <c r="O132" s="335"/>
      <c r="P132" s="338">
        <v>72</v>
      </c>
      <c r="Q132" s="338">
        <v>450</v>
      </c>
      <c r="R132" s="335"/>
      <c r="S132" s="338">
        <v>74</v>
      </c>
      <c r="T132" s="335"/>
      <c r="U132" s="338">
        <v>441</v>
      </c>
      <c r="V132" s="338">
        <v>73</v>
      </c>
      <c r="W132" s="338">
        <v>615</v>
      </c>
      <c r="X132" s="338">
        <v>5</v>
      </c>
      <c r="Y132" s="119"/>
      <c r="Z132" s="331"/>
      <c r="AA132" s="335"/>
      <c r="AB132" s="335"/>
      <c r="AC132" s="335"/>
      <c r="AD132" s="335"/>
      <c r="AE132" s="335"/>
      <c r="AF132" s="335"/>
      <c r="AG132" s="335"/>
      <c r="AH132" s="335"/>
      <c r="AI132" s="335"/>
      <c r="AJ132" s="335"/>
      <c r="AK132" s="335"/>
      <c r="AL132" s="335"/>
      <c r="AM132" s="335"/>
      <c r="AN132" s="335"/>
      <c r="AO132" s="335"/>
      <c r="AP132" s="335"/>
      <c r="AQ132" s="335"/>
      <c r="AR132" s="335"/>
      <c r="AS132" s="331"/>
      <c r="AT132" s="331"/>
      <c r="AU132" s="119"/>
      <c r="AV132" s="119"/>
      <c r="AW132" s="119"/>
      <c r="AX132" s="119"/>
      <c r="AY132" s="119"/>
      <c r="AZ132" s="119"/>
      <c r="BA132" s="119"/>
      <c r="BB132" s="340"/>
      <c r="BC132" s="340"/>
      <c r="BD132" s="340"/>
      <c r="BE132" s="340"/>
      <c r="BF132" s="340"/>
      <c r="BG132" s="340"/>
      <c r="BH132" s="340"/>
      <c r="BI132" s="340"/>
      <c r="BJ132" s="340"/>
      <c r="BK132" s="340"/>
      <c r="BL132" s="340"/>
      <c r="BM132" s="340"/>
      <c r="BN132" s="340"/>
      <c r="BO132" s="340"/>
      <c r="BP132" s="340"/>
      <c r="BQ132" s="340"/>
      <c r="BR132" s="340"/>
      <c r="BS132" s="340"/>
      <c r="BT132" s="340"/>
      <c r="BU132" s="340"/>
      <c r="BV132" s="340"/>
      <c r="BW132" s="340"/>
      <c r="BX132" s="340"/>
      <c r="BY132" s="340"/>
      <c r="BZ132" s="340"/>
      <c r="CA132" s="340"/>
      <c r="CB132" s="340"/>
      <c r="CC132" s="340"/>
      <c r="CD132" s="340"/>
      <c r="CE132" s="340"/>
      <c r="CF132" s="340"/>
      <c r="CG132" s="340"/>
      <c r="CH132" s="340"/>
      <c r="CI132" s="340"/>
      <c r="CJ132" s="340"/>
      <c r="CK132" s="340"/>
    </row>
    <row r="133" spans="3:89" ht="18.75" x14ac:dyDescent="0.2">
      <c r="C133" s="334"/>
      <c r="D133" s="338">
        <v>4</v>
      </c>
      <c r="E133" s="335"/>
      <c r="F133" s="335"/>
      <c r="G133" s="336"/>
      <c r="H133" s="335"/>
      <c r="I133" s="335"/>
      <c r="J133" s="335"/>
      <c r="K133" s="335"/>
      <c r="L133" s="337">
        <v>40</v>
      </c>
      <c r="M133" s="338">
        <v>38</v>
      </c>
      <c r="N133" s="335"/>
      <c r="O133" s="335"/>
      <c r="P133" s="338">
        <v>115</v>
      </c>
      <c r="Q133" s="119"/>
      <c r="R133" s="335"/>
      <c r="S133" s="338">
        <v>118</v>
      </c>
      <c r="T133" s="335"/>
      <c r="U133" s="119"/>
      <c r="V133" s="338">
        <v>116</v>
      </c>
      <c r="W133" s="338">
        <v>616</v>
      </c>
      <c r="X133" s="338">
        <v>6</v>
      </c>
      <c r="Y133" s="119"/>
      <c r="Z133" s="331"/>
      <c r="AA133" s="335"/>
      <c r="AB133" s="335"/>
      <c r="AC133" s="335"/>
      <c r="AD133" s="335"/>
      <c r="AE133" s="335"/>
      <c r="AF133" s="335"/>
      <c r="AG133" s="335"/>
      <c r="AH133" s="335"/>
      <c r="AI133" s="335"/>
      <c r="AJ133" s="335"/>
      <c r="AK133" s="335"/>
      <c r="AL133" s="335"/>
      <c r="AM133" s="335"/>
      <c r="AN133" s="335"/>
      <c r="AO133" s="335"/>
      <c r="AP133" s="335"/>
      <c r="AQ133" s="335"/>
      <c r="AR133" s="335"/>
      <c r="AS133" s="331"/>
      <c r="AT133" s="331"/>
      <c r="AU133" s="119"/>
      <c r="AV133" s="119"/>
      <c r="AW133" s="119"/>
      <c r="AX133" s="119"/>
      <c r="AY133" s="119"/>
      <c r="AZ133" s="119"/>
      <c r="BA133" s="119"/>
      <c r="BB133" s="340"/>
      <c r="BC133" s="340"/>
      <c r="BD133" s="340"/>
      <c r="BE133" s="340"/>
      <c r="BF133" s="340"/>
      <c r="BG133" s="340"/>
      <c r="BH133" s="340"/>
      <c r="BI133" s="340"/>
      <c r="BJ133" s="340"/>
      <c r="BK133" s="340"/>
      <c r="BL133" s="340"/>
      <c r="BM133" s="340"/>
      <c r="BN133" s="340"/>
      <c r="BO133" s="340"/>
      <c r="BP133" s="340"/>
      <c r="BQ133" s="340"/>
      <c r="BR133" s="340"/>
      <c r="BS133" s="340"/>
      <c r="BT133" s="340"/>
      <c r="BU133" s="340"/>
      <c r="BV133" s="340"/>
      <c r="BW133" s="340"/>
      <c r="BX133" s="340"/>
      <c r="BY133" s="340"/>
      <c r="BZ133" s="340"/>
      <c r="CA133" s="340"/>
      <c r="CB133" s="340"/>
      <c r="CC133" s="340"/>
      <c r="CD133" s="340"/>
      <c r="CE133" s="340"/>
      <c r="CF133" s="340"/>
      <c r="CG133" s="340"/>
      <c r="CH133" s="340"/>
      <c r="CI133" s="340"/>
      <c r="CJ133" s="340"/>
      <c r="CK133" s="340"/>
    </row>
    <row r="134" spans="3:89" ht="18.75" x14ac:dyDescent="0.2">
      <c r="C134" s="334"/>
      <c r="D134" s="338">
        <v>5</v>
      </c>
      <c r="E134" s="335"/>
      <c r="F134" s="335"/>
      <c r="G134" s="336"/>
      <c r="H134" s="335"/>
      <c r="I134" s="335"/>
      <c r="J134" s="119"/>
      <c r="K134" s="335"/>
      <c r="L134" s="337">
        <v>79</v>
      </c>
      <c r="M134" s="338">
        <v>75</v>
      </c>
      <c r="N134" s="335"/>
      <c r="O134" s="335"/>
      <c r="P134" s="338">
        <v>158</v>
      </c>
      <c r="Q134" s="119"/>
      <c r="R134" s="335"/>
      <c r="S134" s="338">
        <v>160</v>
      </c>
      <c r="T134" s="335"/>
      <c r="U134" s="119"/>
      <c r="V134" s="338">
        <v>159</v>
      </c>
      <c r="W134" s="338">
        <v>617</v>
      </c>
      <c r="X134" s="338">
        <v>203</v>
      </c>
      <c r="Y134" s="335"/>
      <c r="Z134" s="331"/>
      <c r="AA134" s="335"/>
      <c r="AB134" s="335"/>
      <c r="AC134" s="335"/>
      <c r="AD134" s="335"/>
      <c r="AE134" s="331"/>
      <c r="AF134" s="335"/>
      <c r="AG134" s="335"/>
      <c r="AH134" s="335"/>
      <c r="AI134" s="335"/>
      <c r="AJ134" s="335"/>
      <c r="AK134" s="335"/>
      <c r="AL134" s="335"/>
      <c r="AM134" s="335"/>
      <c r="AN134" s="335"/>
      <c r="AO134" s="335"/>
      <c r="AP134" s="335"/>
      <c r="AQ134" s="335"/>
      <c r="AR134" s="335"/>
      <c r="AS134" s="331"/>
      <c r="AT134" s="331"/>
      <c r="AU134" s="119"/>
      <c r="AV134" s="119"/>
      <c r="AW134" s="119"/>
      <c r="AX134" s="119"/>
      <c r="AY134" s="119"/>
      <c r="AZ134" s="119"/>
      <c r="BA134" s="119"/>
      <c r="BB134" s="340"/>
      <c r="BC134" s="340"/>
      <c r="BD134" s="340"/>
      <c r="BE134" s="340"/>
      <c r="BF134" s="340"/>
      <c r="BG134" s="340"/>
      <c r="BH134" s="340"/>
      <c r="BI134" s="340"/>
      <c r="BJ134" s="340"/>
      <c r="BK134" s="340"/>
      <c r="BL134" s="340"/>
      <c r="BM134" s="340"/>
      <c r="BN134" s="340"/>
      <c r="BO134" s="340"/>
      <c r="BP134" s="340"/>
      <c r="BQ134" s="340"/>
      <c r="BR134" s="340"/>
      <c r="BS134" s="340"/>
      <c r="BT134" s="340"/>
      <c r="BU134" s="340"/>
      <c r="BV134" s="340"/>
      <c r="BW134" s="340"/>
      <c r="BX134" s="340"/>
      <c r="BY134" s="340"/>
      <c r="BZ134" s="340"/>
      <c r="CA134" s="340"/>
      <c r="CB134" s="340"/>
      <c r="CC134" s="340"/>
      <c r="CD134" s="340"/>
      <c r="CE134" s="340"/>
      <c r="CF134" s="340"/>
      <c r="CG134" s="340"/>
      <c r="CH134" s="340"/>
      <c r="CI134" s="340"/>
      <c r="CJ134" s="340"/>
      <c r="CK134" s="340"/>
    </row>
    <row r="135" spans="3:89" ht="18.75" x14ac:dyDescent="0.3">
      <c r="C135" s="334"/>
      <c r="D135" s="338">
        <v>6</v>
      </c>
      <c r="E135" s="333"/>
      <c r="F135" s="335"/>
      <c r="G135" s="336"/>
      <c r="H135" s="335"/>
      <c r="I135" s="335"/>
      <c r="J135" s="119"/>
      <c r="K135" s="335"/>
      <c r="L135" s="337">
        <v>117</v>
      </c>
      <c r="M135" s="338">
        <v>76</v>
      </c>
      <c r="N135" s="335"/>
      <c r="O135" s="335"/>
      <c r="P135" s="338">
        <v>177</v>
      </c>
      <c r="Q135" s="339"/>
      <c r="R135" s="335"/>
      <c r="S135" s="338">
        <v>179</v>
      </c>
      <c r="T135" s="335"/>
      <c r="U135" s="119"/>
      <c r="V135" s="338">
        <v>178</v>
      </c>
      <c r="W135" s="338">
        <v>618</v>
      </c>
      <c r="X135" s="335"/>
      <c r="Y135" s="335"/>
      <c r="Z135" s="331"/>
      <c r="AA135" s="335"/>
      <c r="AB135" s="335"/>
      <c r="AC135" s="335"/>
      <c r="AD135" s="335"/>
      <c r="AE135" s="331"/>
      <c r="AF135" s="335"/>
      <c r="AG135" s="335"/>
      <c r="AH135" s="335"/>
      <c r="AI135" s="335"/>
      <c r="AJ135" s="335"/>
      <c r="AK135" s="335"/>
      <c r="AL135" s="335"/>
      <c r="AM135" s="335"/>
      <c r="AN135" s="335"/>
      <c r="AO135" s="335"/>
      <c r="AP135" s="335"/>
      <c r="AQ135" s="335"/>
      <c r="AR135" s="335"/>
      <c r="AS135" s="331"/>
      <c r="AT135" s="331"/>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row>
    <row r="136" spans="3:89" ht="18.75" x14ac:dyDescent="0.2">
      <c r="C136" s="334"/>
      <c r="D136" s="338">
        <v>7</v>
      </c>
      <c r="E136" s="333"/>
      <c r="F136" s="335"/>
      <c r="G136" s="336"/>
      <c r="H136" s="335"/>
      <c r="I136" s="335"/>
      <c r="J136" s="119"/>
      <c r="K136" s="335"/>
      <c r="L136" s="337">
        <v>119</v>
      </c>
      <c r="M136" s="338">
        <v>77</v>
      </c>
      <c r="N136" s="335"/>
      <c r="O136" s="335"/>
      <c r="P136" s="338">
        <v>269</v>
      </c>
      <c r="Q136" s="335"/>
      <c r="R136" s="335"/>
      <c r="S136" s="338">
        <v>201</v>
      </c>
      <c r="T136" s="335"/>
      <c r="U136" s="119"/>
      <c r="V136" s="335"/>
      <c r="W136" s="338">
        <v>622</v>
      </c>
      <c r="X136" s="331"/>
      <c r="Y136" s="335"/>
      <c r="Z136" s="331"/>
      <c r="AA136" s="336"/>
      <c r="AB136" s="336"/>
      <c r="AC136" s="335"/>
      <c r="AD136" s="331"/>
      <c r="AE136" s="331"/>
      <c r="AF136" s="335"/>
      <c r="AG136" s="335"/>
      <c r="AH136" s="335"/>
      <c r="AI136" s="335"/>
      <c r="AJ136" s="335"/>
      <c r="AK136" s="335"/>
      <c r="AL136" s="335"/>
      <c r="AM136" s="335"/>
      <c r="AN136" s="335"/>
      <c r="AO136" s="335"/>
      <c r="AP136" s="335"/>
      <c r="AQ136" s="335"/>
      <c r="AR136" s="335"/>
      <c r="AS136" s="331"/>
      <c r="AT136" s="331"/>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row>
    <row r="137" spans="3:89" ht="18.75" x14ac:dyDescent="0.2">
      <c r="C137" s="334"/>
      <c r="D137" s="338">
        <v>8</v>
      </c>
      <c r="E137" s="333"/>
      <c r="F137" s="335"/>
      <c r="G137" s="336"/>
      <c r="H137" s="335"/>
      <c r="I137" s="335"/>
      <c r="J137" s="119"/>
      <c r="K137" s="335"/>
      <c r="L137" s="337">
        <v>200</v>
      </c>
      <c r="M137" s="338">
        <v>78</v>
      </c>
      <c r="N137" s="335"/>
      <c r="O137" s="335"/>
      <c r="P137" s="338">
        <v>611</v>
      </c>
      <c r="Q137" s="335"/>
      <c r="R137" s="335"/>
      <c r="S137" s="119"/>
      <c r="T137" s="335"/>
      <c r="U137" s="119"/>
      <c r="V137" s="335"/>
      <c r="W137" s="338">
        <v>623</v>
      </c>
      <c r="X137" s="331"/>
      <c r="Y137" s="335"/>
      <c r="Z137" s="331"/>
      <c r="AA137" s="336"/>
      <c r="AB137" s="336"/>
      <c r="AC137" s="335"/>
      <c r="AD137" s="331"/>
      <c r="AE137" s="331"/>
      <c r="AF137" s="335"/>
      <c r="AG137" s="335"/>
      <c r="AH137" s="335"/>
      <c r="AI137" s="335"/>
      <c r="AJ137" s="335"/>
      <c r="AK137" s="335"/>
      <c r="AL137" s="335"/>
      <c r="AM137" s="335"/>
      <c r="AN137" s="335"/>
      <c r="AO137" s="335"/>
      <c r="AP137" s="335"/>
      <c r="AQ137" s="335"/>
      <c r="AR137" s="335"/>
      <c r="AS137" s="331"/>
      <c r="AT137" s="331"/>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row>
    <row r="138" spans="3:89" ht="18.75" x14ac:dyDescent="0.2">
      <c r="C138" s="334"/>
      <c r="D138" s="338">
        <v>9</v>
      </c>
      <c r="E138" s="333"/>
      <c r="F138" s="335"/>
      <c r="G138" s="336"/>
      <c r="H138" s="335"/>
      <c r="I138" s="335"/>
      <c r="J138" s="335"/>
      <c r="K138" s="335"/>
      <c r="L138" s="337">
        <v>202</v>
      </c>
      <c r="M138" s="335">
        <v>574</v>
      </c>
      <c r="N138" s="335"/>
      <c r="O138" s="335"/>
      <c r="P138" s="119"/>
      <c r="Q138" s="335"/>
      <c r="R138" s="335"/>
      <c r="S138" s="119"/>
      <c r="T138" s="335"/>
      <c r="U138" s="119"/>
      <c r="V138" s="335"/>
      <c r="W138" s="331"/>
      <c r="X138" s="331"/>
      <c r="Y138" s="335"/>
      <c r="Z138" s="331"/>
      <c r="AA138" s="336"/>
      <c r="AB138" s="336"/>
      <c r="AC138" s="335"/>
      <c r="AD138" s="331"/>
      <c r="AE138" s="331"/>
      <c r="AF138" s="335"/>
      <c r="AG138" s="335"/>
      <c r="AH138" s="335"/>
      <c r="AI138" s="335"/>
      <c r="AJ138" s="335"/>
      <c r="AK138" s="335"/>
      <c r="AL138" s="335"/>
      <c r="AM138" s="335"/>
      <c r="AN138" s="335"/>
      <c r="AO138" s="335"/>
      <c r="AP138" s="335"/>
      <c r="AQ138" s="335"/>
      <c r="AR138" s="335"/>
      <c r="AS138" s="331"/>
      <c r="AT138" s="331"/>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row>
    <row r="139" spans="3:89" ht="18.75" x14ac:dyDescent="0.2">
      <c r="C139" s="334"/>
      <c r="D139" s="338">
        <v>10</v>
      </c>
      <c r="E139" s="333"/>
      <c r="F139" s="335"/>
      <c r="G139" s="336"/>
      <c r="H139" s="335"/>
      <c r="I139" s="335"/>
      <c r="J139" s="335"/>
      <c r="K139" s="335"/>
      <c r="L139" s="337">
        <v>247</v>
      </c>
      <c r="M139" s="119"/>
      <c r="N139" s="331"/>
      <c r="O139" s="335"/>
      <c r="P139" s="335"/>
      <c r="Q139" s="335"/>
      <c r="R139" s="335"/>
      <c r="S139" s="331"/>
      <c r="T139" s="335"/>
      <c r="U139" s="335"/>
      <c r="V139" s="335"/>
      <c r="W139" s="331"/>
      <c r="X139" s="331"/>
      <c r="Y139" s="335"/>
      <c r="Z139" s="331"/>
      <c r="AA139" s="336"/>
      <c r="AB139" s="336"/>
      <c r="AC139" s="335"/>
      <c r="AD139" s="331"/>
      <c r="AE139" s="331"/>
      <c r="AF139" s="335"/>
      <c r="AG139" s="335"/>
      <c r="AH139" s="335"/>
      <c r="AI139" s="335"/>
      <c r="AJ139" s="335"/>
      <c r="AK139" s="335"/>
      <c r="AL139" s="335"/>
      <c r="AM139" s="335"/>
      <c r="AN139" s="335"/>
      <c r="AO139" s="335"/>
      <c r="AP139" s="335"/>
      <c r="AQ139" s="335"/>
      <c r="AR139" s="335"/>
      <c r="AS139" s="331"/>
      <c r="AT139" s="331"/>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row>
    <row r="140" spans="3:89" ht="18.75" x14ac:dyDescent="0.2">
      <c r="C140" s="334"/>
      <c r="D140" s="338">
        <v>33</v>
      </c>
      <c r="E140" s="333"/>
      <c r="F140" s="331"/>
      <c r="G140" s="331"/>
      <c r="H140" s="335"/>
      <c r="I140" s="335"/>
      <c r="J140" s="335"/>
      <c r="K140" s="335"/>
      <c r="L140" s="335"/>
      <c r="M140" s="335"/>
      <c r="N140" s="331"/>
      <c r="O140" s="335"/>
      <c r="P140" s="335"/>
      <c r="Q140" s="335"/>
      <c r="R140" s="335"/>
      <c r="S140" s="331"/>
      <c r="T140" s="335"/>
      <c r="U140" s="335"/>
      <c r="V140" s="335"/>
      <c r="W140" s="331"/>
      <c r="X140" s="331"/>
      <c r="Y140" s="335"/>
      <c r="Z140" s="331"/>
      <c r="AA140" s="336"/>
      <c r="AB140" s="336"/>
      <c r="AC140" s="335"/>
      <c r="AD140" s="331"/>
      <c r="AE140" s="331"/>
      <c r="AF140" s="335"/>
      <c r="AG140" s="335"/>
      <c r="AH140" s="335"/>
      <c r="AI140" s="335"/>
      <c r="AJ140" s="335"/>
      <c r="AK140" s="335"/>
      <c r="AL140" s="335"/>
      <c r="AM140" s="335"/>
      <c r="AN140" s="335"/>
      <c r="AO140" s="335"/>
      <c r="AP140" s="335"/>
      <c r="AQ140" s="335"/>
      <c r="AR140" s="335"/>
      <c r="AS140" s="331"/>
      <c r="AT140" s="331"/>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row>
    <row r="141" spans="3:89" ht="18.75" x14ac:dyDescent="0.2">
      <c r="C141" s="334"/>
      <c r="D141" s="338">
        <v>34</v>
      </c>
      <c r="E141" s="333"/>
      <c r="F141" s="331"/>
      <c r="G141" s="331"/>
      <c r="H141" s="331"/>
      <c r="I141" s="335"/>
      <c r="J141" s="335"/>
      <c r="K141" s="335"/>
      <c r="L141" s="335"/>
      <c r="M141" s="335"/>
      <c r="N141" s="331"/>
      <c r="O141" s="335"/>
      <c r="P141" s="335"/>
      <c r="Q141" s="335"/>
      <c r="R141" s="335"/>
      <c r="S141" s="331"/>
      <c r="T141" s="335"/>
      <c r="U141" s="335"/>
      <c r="V141" s="335"/>
      <c r="W141" s="331"/>
      <c r="X141" s="331"/>
      <c r="Y141" s="335"/>
      <c r="Z141" s="331"/>
      <c r="AA141" s="336"/>
      <c r="AB141" s="336"/>
      <c r="AC141" s="335"/>
      <c r="AD141" s="331"/>
      <c r="AE141" s="331"/>
      <c r="AF141" s="335"/>
      <c r="AG141" s="335"/>
      <c r="AH141" s="335"/>
      <c r="AI141" s="335"/>
      <c r="AJ141" s="335"/>
      <c r="AK141" s="335"/>
      <c r="AL141" s="335"/>
      <c r="AM141" s="335"/>
      <c r="AN141" s="335"/>
      <c r="AO141" s="335"/>
      <c r="AP141" s="335"/>
      <c r="AQ141" s="335"/>
      <c r="AR141" s="335"/>
      <c r="AS141" s="331"/>
      <c r="AT141" s="331"/>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row>
    <row r="142" spans="3:89" ht="18.75" x14ac:dyDescent="0.2">
      <c r="C142" s="334"/>
      <c r="D142" s="338">
        <v>35</v>
      </c>
      <c r="E142" s="333"/>
      <c r="F142" s="331"/>
      <c r="G142" s="331"/>
      <c r="H142" s="331"/>
      <c r="I142" s="335"/>
      <c r="J142" s="335"/>
      <c r="K142" s="335"/>
      <c r="L142" s="331"/>
      <c r="M142" s="331"/>
      <c r="N142" s="331"/>
      <c r="O142" s="335"/>
      <c r="P142" s="335"/>
      <c r="Q142" s="335"/>
      <c r="R142" s="335"/>
      <c r="S142" s="331"/>
      <c r="T142" s="335"/>
      <c r="U142" s="335"/>
      <c r="V142" s="335"/>
      <c r="W142" s="331"/>
      <c r="X142" s="331"/>
      <c r="Y142" s="335"/>
      <c r="Z142" s="331"/>
      <c r="AA142" s="336"/>
      <c r="AB142" s="336"/>
      <c r="AC142" s="335"/>
      <c r="AD142" s="331"/>
      <c r="AE142" s="331"/>
      <c r="AF142" s="335"/>
      <c r="AG142" s="335"/>
      <c r="AH142" s="335"/>
      <c r="AI142" s="335"/>
      <c r="AJ142" s="335"/>
      <c r="AK142" s="335"/>
      <c r="AL142" s="335"/>
      <c r="AM142" s="335"/>
      <c r="AN142" s="335"/>
      <c r="AO142" s="335"/>
      <c r="AP142" s="335"/>
      <c r="AQ142" s="335"/>
      <c r="AR142" s="335"/>
      <c r="AS142" s="331"/>
      <c r="AT142" s="331"/>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row>
    <row r="143" spans="3:89" ht="18.75" x14ac:dyDescent="0.2">
      <c r="C143" s="334"/>
      <c r="D143" s="338">
        <v>36</v>
      </c>
      <c r="E143" s="333"/>
      <c r="F143" s="331"/>
      <c r="G143" s="331"/>
      <c r="H143" s="331"/>
      <c r="I143" s="335"/>
      <c r="J143" s="335"/>
      <c r="K143" s="335"/>
      <c r="L143" s="331"/>
      <c r="M143" s="331"/>
      <c r="N143" s="331"/>
      <c r="O143" s="335"/>
      <c r="P143" s="335"/>
      <c r="Q143" s="335"/>
      <c r="R143" s="335"/>
      <c r="S143" s="331"/>
      <c r="T143" s="335"/>
      <c r="U143" s="335"/>
      <c r="V143" s="335"/>
      <c r="W143" s="331"/>
      <c r="X143" s="331"/>
      <c r="Y143" s="335"/>
      <c r="Z143" s="331"/>
      <c r="AA143" s="336"/>
      <c r="AB143" s="336"/>
      <c r="AC143" s="335"/>
      <c r="AD143" s="331"/>
      <c r="AE143" s="331"/>
      <c r="AF143" s="335"/>
      <c r="AG143" s="335"/>
      <c r="AH143" s="335"/>
      <c r="AI143" s="335"/>
      <c r="AJ143" s="335"/>
      <c r="AK143" s="335"/>
      <c r="AL143" s="335"/>
      <c r="AM143" s="335"/>
      <c r="AN143" s="335"/>
      <c r="AO143" s="335"/>
      <c r="AP143" s="335"/>
      <c r="AQ143" s="335"/>
      <c r="AR143" s="335"/>
      <c r="AS143" s="331"/>
      <c r="AT143" s="331"/>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row>
    <row r="144" spans="3:89" ht="18.75" x14ac:dyDescent="0.2">
      <c r="C144" s="334"/>
      <c r="D144" s="338">
        <v>37</v>
      </c>
      <c r="E144" s="333"/>
      <c r="F144" s="331"/>
      <c r="G144" s="331"/>
      <c r="H144" s="331"/>
      <c r="I144" s="335"/>
      <c r="J144" s="335"/>
      <c r="K144" s="335"/>
      <c r="L144" s="331"/>
      <c r="M144" s="331"/>
      <c r="N144" s="331"/>
      <c r="O144" s="335"/>
      <c r="P144" s="335"/>
      <c r="Q144" s="335"/>
      <c r="R144" s="335"/>
      <c r="S144" s="331"/>
      <c r="T144" s="335"/>
      <c r="U144" s="335"/>
      <c r="V144" s="335"/>
      <c r="W144" s="331"/>
      <c r="X144" s="331"/>
      <c r="Y144" s="335"/>
      <c r="Z144" s="331"/>
      <c r="AA144" s="336"/>
      <c r="AB144" s="336"/>
      <c r="AC144" s="335"/>
      <c r="AD144" s="331"/>
      <c r="AE144" s="331"/>
      <c r="AF144" s="335"/>
      <c r="AG144" s="335"/>
      <c r="AH144" s="335"/>
      <c r="AI144" s="335"/>
      <c r="AJ144" s="335"/>
      <c r="AK144" s="335"/>
      <c r="AL144" s="335"/>
      <c r="AM144" s="335"/>
      <c r="AN144" s="335"/>
      <c r="AO144" s="335"/>
      <c r="AP144" s="335"/>
      <c r="AQ144" s="335"/>
      <c r="AR144" s="335"/>
      <c r="AS144" s="331"/>
      <c r="AT144" s="331"/>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row>
    <row r="145" spans="3:89" ht="18.75" x14ac:dyDescent="0.2">
      <c r="C145" s="334"/>
      <c r="D145" s="338">
        <v>38</v>
      </c>
      <c r="E145" s="333"/>
      <c r="F145" s="331"/>
      <c r="G145" s="331"/>
      <c r="H145" s="331"/>
      <c r="I145" s="335"/>
      <c r="J145" s="335"/>
      <c r="K145" s="335"/>
      <c r="L145" s="331"/>
      <c r="M145" s="331"/>
      <c r="N145" s="331"/>
      <c r="O145" s="335"/>
      <c r="P145" s="335"/>
      <c r="Q145" s="335"/>
      <c r="R145" s="335"/>
      <c r="S145" s="331"/>
      <c r="T145" s="335"/>
      <c r="U145" s="335"/>
      <c r="V145" s="335"/>
      <c r="W145" s="331"/>
      <c r="X145" s="331"/>
      <c r="Y145" s="335"/>
      <c r="Z145" s="331"/>
      <c r="AA145" s="336"/>
      <c r="AB145" s="336"/>
      <c r="AC145" s="335"/>
      <c r="AD145" s="331"/>
      <c r="AE145" s="331"/>
      <c r="AF145" s="335"/>
      <c r="AG145" s="335"/>
      <c r="AH145" s="335"/>
      <c r="AI145" s="335"/>
      <c r="AJ145" s="335"/>
      <c r="AK145" s="335"/>
      <c r="AL145" s="335"/>
      <c r="AM145" s="335"/>
      <c r="AN145" s="335"/>
      <c r="AO145" s="335"/>
      <c r="AP145" s="335"/>
      <c r="AQ145" s="335"/>
      <c r="AR145" s="335"/>
      <c r="AS145" s="331"/>
      <c r="AT145" s="331"/>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row>
    <row r="146" spans="3:89" ht="18.75" x14ac:dyDescent="0.2">
      <c r="C146" s="334"/>
      <c r="D146" s="338">
        <v>39</v>
      </c>
      <c r="E146" s="333"/>
      <c r="F146" s="331"/>
      <c r="G146" s="331"/>
      <c r="H146" s="331"/>
      <c r="I146" s="335"/>
      <c r="J146" s="335"/>
      <c r="K146" s="335"/>
      <c r="L146" s="331"/>
      <c r="M146" s="331"/>
      <c r="N146" s="331"/>
      <c r="O146" s="335"/>
      <c r="P146" s="335"/>
      <c r="Q146" s="331"/>
      <c r="R146" s="335"/>
      <c r="S146" s="331"/>
      <c r="T146" s="335"/>
      <c r="U146" s="335"/>
      <c r="V146" s="335"/>
      <c r="W146" s="331"/>
      <c r="X146" s="331"/>
      <c r="Y146" s="335"/>
      <c r="Z146" s="331"/>
      <c r="AA146" s="336"/>
      <c r="AB146" s="336"/>
      <c r="AC146" s="335"/>
      <c r="AD146" s="331"/>
      <c r="AE146" s="331"/>
      <c r="AF146" s="335"/>
      <c r="AG146" s="335"/>
      <c r="AH146" s="335"/>
      <c r="AI146" s="335"/>
      <c r="AJ146" s="335"/>
      <c r="AK146" s="335"/>
      <c r="AL146" s="335"/>
      <c r="AM146" s="335"/>
      <c r="AN146" s="335"/>
      <c r="AO146" s="335"/>
      <c r="AP146" s="335"/>
      <c r="AQ146" s="335"/>
      <c r="AR146" s="335"/>
      <c r="AS146" s="331"/>
      <c r="AT146" s="331"/>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row>
    <row r="147" spans="3:89" ht="18.75" x14ac:dyDescent="0.2">
      <c r="C147" s="334"/>
      <c r="D147" s="338">
        <v>40</v>
      </c>
      <c r="E147" s="333"/>
      <c r="F147" s="331"/>
      <c r="G147" s="331"/>
      <c r="H147" s="331"/>
      <c r="I147" s="335"/>
      <c r="J147" s="335"/>
      <c r="K147" s="335"/>
      <c r="L147" s="331"/>
      <c r="M147" s="331"/>
      <c r="N147" s="331"/>
      <c r="O147" s="335"/>
      <c r="P147" s="335"/>
      <c r="Q147" s="331"/>
      <c r="R147" s="335"/>
      <c r="S147" s="331"/>
      <c r="T147" s="335"/>
      <c r="U147" s="335"/>
      <c r="V147" s="335"/>
      <c r="W147" s="331"/>
      <c r="X147" s="331"/>
      <c r="Y147" s="335"/>
      <c r="Z147" s="331"/>
      <c r="AA147" s="336"/>
      <c r="AB147" s="336"/>
      <c r="AC147" s="335"/>
      <c r="AD147" s="331"/>
      <c r="AE147" s="331"/>
      <c r="AF147" s="335"/>
      <c r="AG147" s="335"/>
      <c r="AH147" s="335"/>
      <c r="AI147" s="335"/>
      <c r="AJ147" s="335"/>
      <c r="AK147" s="335"/>
      <c r="AL147" s="335"/>
      <c r="AM147" s="335"/>
      <c r="AN147" s="335"/>
      <c r="AO147" s="335"/>
      <c r="AP147" s="335"/>
      <c r="AQ147" s="335"/>
      <c r="AR147" s="335"/>
      <c r="AS147" s="331"/>
      <c r="AT147" s="331"/>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row>
    <row r="148" spans="3:89" ht="18.75" x14ac:dyDescent="0.2">
      <c r="C148" s="334"/>
      <c r="D148" s="338">
        <v>72</v>
      </c>
      <c r="E148" s="333"/>
      <c r="F148" s="331"/>
      <c r="G148" s="331"/>
      <c r="H148" s="331"/>
      <c r="I148" s="335"/>
      <c r="J148" s="335"/>
      <c r="K148" s="335"/>
      <c r="L148" s="331"/>
      <c r="M148" s="331"/>
      <c r="N148" s="331"/>
      <c r="O148" s="335"/>
      <c r="P148" s="335"/>
      <c r="Q148" s="331"/>
      <c r="R148" s="331"/>
      <c r="S148" s="331"/>
      <c r="T148" s="335"/>
      <c r="U148" s="335"/>
      <c r="V148" s="335"/>
      <c r="W148" s="331"/>
      <c r="X148" s="331"/>
      <c r="Y148" s="335"/>
      <c r="Z148" s="331"/>
      <c r="AA148" s="336"/>
      <c r="AB148" s="336"/>
      <c r="AC148" s="335"/>
      <c r="AD148" s="331"/>
      <c r="AE148" s="331"/>
      <c r="AF148" s="335"/>
      <c r="AG148" s="335"/>
      <c r="AH148" s="335"/>
      <c r="AI148" s="335"/>
      <c r="AJ148" s="335"/>
      <c r="AK148" s="335"/>
      <c r="AL148" s="335"/>
      <c r="AM148" s="335"/>
      <c r="AN148" s="335"/>
      <c r="AO148" s="335"/>
      <c r="AP148" s="335"/>
      <c r="AQ148" s="335"/>
      <c r="AR148" s="335"/>
      <c r="AS148" s="331"/>
      <c r="AT148" s="331"/>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row>
    <row r="149" spans="3:89" ht="18.75" x14ac:dyDescent="0.2">
      <c r="C149" s="334"/>
      <c r="D149" s="338">
        <v>73</v>
      </c>
      <c r="E149" s="333"/>
      <c r="F149" s="331"/>
      <c r="G149" s="331"/>
      <c r="H149" s="331"/>
      <c r="I149" s="335"/>
      <c r="J149" s="335"/>
      <c r="K149" s="335"/>
      <c r="L149" s="331"/>
      <c r="M149" s="331"/>
      <c r="N149" s="331"/>
      <c r="O149" s="335"/>
      <c r="P149" s="335"/>
      <c r="Q149" s="331"/>
      <c r="R149" s="331"/>
      <c r="S149" s="331"/>
      <c r="T149" s="335"/>
      <c r="U149" s="335"/>
      <c r="V149" s="335"/>
      <c r="W149" s="331"/>
      <c r="X149" s="331"/>
      <c r="Y149" s="335"/>
      <c r="Z149" s="331"/>
      <c r="AA149" s="336"/>
      <c r="AB149" s="336"/>
      <c r="AC149" s="331"/>
      <c r="AD149" s="331"/>
      <c r="AE149" s="331"/>
      <c r="AF149" s="335"/>
      <c r="AG149" s="335"/>
      <c r="AH149" s="335"/>
      <c r="AI149" s="335"/>
      <c r="AJ149" s="335"/>
      <c r="AK149" s="335"/>
      <c r="AL149" s="335"/>
      <c r="AM149" s="335"/>
      <c r="AN149" s="335"/>
      <c r="AO149" s="335"/>
      <c r="AP149" s="335"/>
      <c r="AQ149" s="335"/>
      <c r="AR149" s="335"/>
      <c r="AS149" s="331"/>
      <c r="AT149" s="331"/>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row>
    <row r="150" spans="3:89" ht="18.75" x14ac:dyDescent="0.2">
      <c r="C150" s="334"/>
      <c r="D150" s="338">
        <v>74</v>
      </c>
      <c r="E150" s="333"/>
      <c r="F150" s="331"/>
      <c r="G150" s="331"/>
      <c r="H150" s="331"/>
      <c r="I150" s="335"/>
      <c r="J150" s="335"/>
      <c r="K150" s="335"/>
      <c r="L150" s="331"/>
      <c r="M150" s="331"/>
      <c r="N150" s="331"/>
      <c r="O150" s="335"/>
      <c r="P150" s="331"/>
      <c r="Q150" s="331"/>
      <c r="R150" s="331"/>
      <c r="S150" s="331"/>
      <c r="T150" s="335"/>
      <c r="U150" s="335"/>
      <c r="V150" s="335"/>
      <c r="W150" s="331"/>
      <c r="X150" s="331"/>
      <c r="Y150" s="335"/>
      <c r="Z150" s="331"/>
      <c r="AA150" s="336"/>
      <c r="AB150" s="336"/>
      <c r="AC150" s="331"/>
      <c r="AD150" s="331"/>
      <c r="AE150" s="331"/>
      <c r="AF150" s="335"/>
      <c r="AG150" s="335"/>
      <c r="AH150" s="335"/>
      <c r="AI150" s="335"/>
      <c r="AJ150" s="335"/>
      <c r="AK150" s="335"/>
      <c r="AL150" s="335"/>
      <c r="AM150" s="335"/>
      <c r="AN150" s="335"/>
      <c r="AO150" s="335"/>
      <c r="AP150" s="335"/>
      <c r="AQ150" s="335"/>
      <c r="AR150" s="335"/>
      <c r="AS150" s="331"/>
      <c r="AT150" s="331"/>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row>
    <row r="151" spans="3:89" ht="18.75" x14ac:dyDescent="0.2">
      <c r="C151" s="334"/>
      <c r="D151" s="338">
        <v>75</v>
      </c>
      <c r="E151" s="333"/>
      <c r="F151" s="331"/>
      <c r="G151" s="331"/>
      <c r="H151" s="331"/>
      <c r="I151" s="335"/>
      <c r="J151" s="335"/>
      <c r="K151" s="335"/>
      <c r="L151" s="331"/>
      <c r="M151" s="331"/>
      <c r="N151" s="331"/>
      <c r="O151" s="335"/>
      <c r="P151" s="331"/>
      <c r="Q151" s="331"/>
      <c r="R151" s="331"/>
      <c r="S151" s="331"/>
      <c r="T151" s="335"/>
      <c r="U151" s="335"/>
      <c r="V151" s="335"/>
      <c r="W151" s="331"/>
      <c r="X151" s="331"/>
      <c r="Y151" s="335"/>
      <c r="Z151" s="331"/>
      <c r="AA151" s="336"/>
      <c r="AB151" s="336"/>
      <c r="AC151" s="331"/>
      <c r="AD151" s="331"/>
      <c r="AE151" s="331"/>
      <c r="AF151" s="335"/>
      <c r="AG151" s="335"/>
      <c r="AH151" s="335"/>
      <c r="AI151" s="335"/>
      <c r="AJ151" s="335"/>
      <c r="AK151" s="335"/>
      <c r="AL151" s="335"/>
      <c r="AM151" s="335"/>
      <c r="AN151" s="335"/>
      <c r="AO151" s="335"/>
      <c r="AP151" s="335"/>
      <c r="AQ151" s="335"/>
      <c r="AR151" s="335"/>
      <c r="AS151" s="331"/>
      <c r="AT151" s="331"/>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row>
    <row r="152" spans="3:89" ht="18.75" x14ac:dyDescent="0.2">
      <c r="C152" s="334"/>
      <c r="D152" s="338">
        <v>76</v>
      </c>
      <c r="E152" s="333"/>
      <c r="F152" s="331"/>
      <c r="G152" s="331"/>
      <c r="H152" s="331"/>
      <c r="I152" s="335"/>
      <c r="J152" s="335"/>
      <c r="K152" s="335"/>
      <c r="L152" s="331"/>
      <c r="M152" s="331"/>
      <c r="N152" s="331"/>
      <c r="O152" s="335"/>
      <c r="P152" s="331"/>
      <c r="Q152" s="331"/>
      <c r="R152" s="331"/>
      <c r="S152" s="331"/>
      <c r="T152" s="335"/>
      <c r="U152" s="335"/>
      <c r="V152" s="335"/>
      <c r="W152" s="331"/>
      <c r="X152" s="331"/>
      <c r="Y152" s="335"/>
      <c r="Z152" s="331"/>
      <c r="AA152" s="336"/>
      <c r="AB152" s="336"/>
      <c r="AC152" s="331"/>
      <c r="AD152" s="331"/>
      <c r="AE152" s="331"/>
      <c r="AF152" s="335"/>
      <c r="AG152" s="335"/>
      <c r="AH152" s="335"/>
      <c r="AI152" s="335"/>
      <c r="AJ152" s="335"/>
      <c r="AK152" s="335"/>
      <c r="AL152" s="335"/>
      <c r="AM152" s="335"/>
      <c r="AN152" s="335"/>
      <c r="AO152" s="335"/>
      <c r="AP152" s="335"/>
      <c r="AQ152" s="335"/>
      <c r="AR152" s="335"/>
      <c r="AS152" s="331"/>
      <c r="AT152" s="331"/>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row>
    <row r="153" spans="3:89" ht="18.75" x14ac:dyDescent="0.2">
      <c r="C153" s="334"/>
      <c r="D153" s="338">
        <v>77</v>
      </c>
      <c r="E153" s="333"/>
      <c r="F153" s="331"/>
      <c r="G153" s="331"/>
      <c r="H153" s="331"/>
      <c r="I153" s="331"/>
      <c r="J153" s="335"/>
      <c r="K153" s="335"/>
      <c r="L153" s="335"/>
      <c r="M153" s="331"/>
      <c r="N153" s="331"/>
      <c r="O153" s="331"/>
      <c r="P153" s="335"/>
      <c r="Q153" s="331"/>
      <c r="R153" s="331"/>
      <c r="S153" s="331"/>
      <c r="T153" s="331"/>
      <c r="U153" s="335"/>
      <c r="V153" s="335"/>
      <c r="W153" s="335"/>
      <c r="X153" s="331"/>
      <c r="Y153" s="331"/>
      <c r="Z153" s="335"/>
      <c r="AA153" s="331"/>
      <c r="AB153" s="336"/>
      <c r="AC153" s="331"/>
      <c r="AD153" s="331"/>
      <c r="AE153" s="331"/>
      <c r="AF153" s="335"/>
      <c r="AG153" s="335"/>
      <c r="AH153" s="335"/>
      <c r="AI153" s="335"/>
      <c r="AJ153" s="335"/>
      <c r="AK153" s="335"/>
      <c r="AL153" s="335"/>
      <c r="AM153" s="335"/>
      <c r="AN153" s="335"/>
      <c r="AO153" s="335"/>
      <c r="AP153" s="335"/>
      <c r="AQ153" s="335"/>
      <c r="AR153" s="335"/>
      <c r="AS153" s="331"/>
      <c r="AT153" s="331"/>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row>
    <row r="154" spans="3:89" ht="18.75" x14ac:dyDescent="0.2">
      <c r="C154" s="334"/>
      <c r="D154" s="338">
        <v>78</v>
      </c>
      <c r="E154" s="333"/>
      <c r="F154" s="331"/>
      <c r="G154" s="331"/>
      <c r="H154" s="331"/>
      <c r="I154" s="331"/>
      <c r="J154" s="331"/>
      <c r="K154" s="335"/>
      <c r="L154" s="335"/>
      <c r="M154" s="331"/>
      <c r="N154" s="331"/>
      <c r="O154" s="331"/>
      <c r="P154" s="335"/>
      <c r="Q154" s="331"/>
      <c r="R154" s="331"/>
      <c r="S154" s="331"/>
      <c r="T154" s="331"/>
      <c r="U154" s="335"/>
      <c r="V154" s="335"/>
      <c r="W154" s="335"/>
      <c r="X154" s="331"/>
      <c r="Y154" s="331"/>
      <c r="Z154" s="335"/>
      <c r="AA154" s="331"/>
      <c r="AB154" s="336"/>
      <c r="AC154" s="331"/>
      <c r="AD154" s="331"/>
      <c r="AE154" s="331"/>
      <c r="AF154" s="335"/>
      <c r="AG154" s="335"/>
      <c r="AH154" s="335"/>
      <c r="AI154" s="335"/>
      <c r="AJ154" s="335"/>
      <c r="AK154" s="335"/>
      <c r="AL154" s="335"/>
      <c r="AM154" s="335"/>
      <c r="AN154" s="335"/>
      <c r="AO154" s="335"/>
      <c r="AP154" s="335"/>
      <c r="AQ154" s="335"/>
      <c r="AR154" s="335"/>
      <c r="AS154" s="331"/>
      <c r="AT154" s="331"/>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row>
    <row r="155" spans="3:89" ht="18.75" x14ac:dyDescent="0.2">
      <c r="C155" s="334"/>
      <c r="D155" s="338">
        <v>79</v>
      </c>
      <c r="E155" s="333"/>
      <c r="F155" s="331"/>
      <c r="G155" s="331"/>
      <c r="H155" s="331"/>
      <c r="I155" s="331"/>
      <c r="J155" s="331"/>
      <c r="K155" s="335"/>
      <c r="L155" s="335"/>
      <c r="M155" s="331"/>
      <c r="N155" s="331"/>
      <c r="O155" s="331"/>
      <c r="P155" s="335"/>
      <c r="Q155" s="331"/>
      <c r="R155" s="331"/>
      <c r="S155" s="331"/>
      <c r="T155" s="331"/>
      <c r="U155" s="335"/>
      <c r="V155" s="335"/>
      <c r="W155" s="335"/>
      <c r="X155" s="331"/>
      <c r="Y155" s="331"/>
      <c r="Z155" s="335"/>
      <c r="AA155" s="331"/>
      <c r="AB155" s="336"/>
      <c r="AC155" s="331"/>
      <c r="AD155" s="331"/>
      <c r="AE155" s="331"/>
      <c r="AF155" s="335"/>
      <c r="AG155" s="335"/>
      <c r="AH155" s="335"/>
      <c r="AI155" s="335"/>
      <c r="AJ155" s="335"/>
      <c r="AK155" s="335"/>
      <c r="AL155" s="335"/>
      <c r="AM155" s="335"/>
      <c r="AN155" s="335"/>
      <c r="AO155" s="335"/>
      <c r="AP155" s="335"/>
      <c r="AQ155" s="335"/>
      <c r="AR155" s="335"/>
      <c r="AS155" s="331"/>
      <c r="AT155" s="331"/>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row>
    <row r="156" spans="3:89" ht="18.75" x14ac:dyDescent="0.2">
      <c r="C156" s="334"/>
      <c r="D156" s="338">
        <v>115</v>
      </c>
      <c r="E156" s="333"/>
      <c r="F156" s="331"/>
      <c r="G156" s="331"/>
      <c r="H156" s="331"/>
      <c r="I156" s="331"/>
      <c r="J156" s="331"/>
      <c r="K156" s="335"/>
      <c r="L156" s="335"/>
      <c r="M156" s="331"/>
      <c r="N156" s="331"/>
      <c r="O156" s="331"/>
      <c r="P156" s="335"/>
      <c r="Q156" s="331"/>
      <c r="R156" s="331"/>
      <c r="S156" s="331"/>
      <c r="T156" s="331"/>
      <c r="U156" s="335"/>
      <c r="V156" s="335"/>
      <c r="W156" s="335"/>
      <c r="X156" s="331"/>
      <c r="Y156" s="331"/>
      <c r="Z156" s="335"/>
      <c r="AA156" s="331"/>
      <c r="AB156" s="336"/>
      <c r="AC156" s="331"/>
      <c r="AD156" s="331"/>
      <c r="AE156" s="331"/>
      <c r="AF156" s="335"/>
      <c r="AG156" s="335"/>
      <c r="AH156" s="335"/>
      <c r="AI156" s="335"/>
      <c r="AJ156" s="335"/>
      <c r="AK156" s="335"/>
      <c r="AL156" s="335"/>
      <c r="AM156" s="335"/>
      <c r="AN156" s="335"/>
      <c r="AO156" s="335"/>
      <c r="AP156" s="335"/>
      <c r="AQ156" s="335"/>
      <c r="AR156" s="335"/>
      <c r="AS156" s="331"/>
      <c r="AT156" s="331"/>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row>
    <row r="157" spans="3:89" ht="18.75" x14ac:dyDescent="0.2">
      <c r="C157" s="334"/>
      <c r="D157" s="338">
        <v>116</v>
      </c>
      <c r="E157" s="333"/>
      <c r="F157" s="331"/>
      <c r="G157" s="331"/>
      <c r="H157" s="331"/>
      <c r="I157" s="331"/>
      <c r="J157" s="331"/>
      <c r="K157" s="335"/>
      <c r="L157" s="335"/>
      <c r="M157" s="331"/>
      <c r="N157" s="331"/>
      <c r="O157" s="331"/>
      <c r="P157" s="335"/>
      <c r="Q157" s="331"/>
      <c r="R157" s="331"/>
      <c r="S157" s="331"/>
      <c r="T157" s="331"/>
      <c r="U157" s="335"/>
      <c r="V157" s="335"/>
      <c r="W157" s="335"/>
      <c r="X157" s="331"/>
      <c r="Y157" s="331"/>
      <c r="Z157" s="335"/>
      <c r="AA157" s="331"/>
      <c r="AB157" s="336"/>
      <c r="AC157" s="331"/>
      <c r="AD157" s="331"/>
      <c r="AE157" s="331"/>
      <c r="AF157" s="335"/>
      <c r="AG157" s="335"/>
      <c r="AH157" s="335"/>
      <c r="AI157" s="335"/>
      <c r="AJ157" s="335"/>
      <c r="AK157" s="335"/>
      <c r="AL157" s="335"/>
      <c r="AM157" s="335"/>
      <c r="AN157" s="335"/>
      <c r="AO157" s="335"/>
      <c r="AP157" s="335"/>
      <c r="AQ157" s="335"/>
      <c r="AR157" s="335"/>
      <c r="AS157" s="331"/>
      <c r="AT157" s="331"/>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row>
    <row r="158" spans="3:89" ht="18.75" x14ac:dyDescent="0.2">
      <c r="C158" s="334"/>
      <c r="D158" s="338">
        <v>117</v>
      </c>
      <c r="E158" s="333"/>
      <c r="F158" s="331"/>
      <c r="G158" s="331"/>
      <c r="H158" s="331"/>
      <c r="I158" s="331"/>
      <c r="J158" s="331"/>
      <c r="K158" s="335"/>
      <c r="L158" s="335"/>
      <c r="M158" s="331"/>
      <c r="N158" s="331"/>
      <c r="O158" s="331"/>
      <c r="P158" s="335"/>
      <c r="Q158" s="331"/>
      <c r="R158" s="331"/>
      <c r="S158" s="331"/>
      <c r="T158" s="331"/>
      <c r="U158" s="335"/>
      <c r="V158" s="335"/>
      <c r="W158" s="335"/>
      <c r="X158" s="331"/>
      <c r="Y158" s="331"/>
      <c r="Z158" s="335"/>
      <c r="AA158" s="331"/>
      <c r="AB158" s="336"/>
      <c r="AC158" s="331"/>
      <c r="AD158" s="331"/>
      <c r="AE158" s="331"/>
      <c r="AF158" s="335"/>
      <c r="AG158" s="335"/>
      <c r="AH158" s="335"/>
      <c r="AI158" s="335"/>
      <c r="AJ158" s="335"/>
      <c r="AK158" s="335"/>
      <c r="AL158" s="335"/>
      <c r="AM158" s="335"/>
      <c r="AN158" s="335"/>
      <c r="AO158" s="335"/>
      <c r="AP158" s="335"/>
      <c r="AQ158" s="335"/>
      <c r="AR158" s="335"/>
      <c r="AS158" s="331"/>
      <c r="AT158" s="331"/>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row>
    <row r="159" spans="3:89" ht="18.75" x14ac:dyDescent="0.2">
      <c r="C159" s="334"/>
      <c r="D159" s="338">
        <v>118</v>
      </c>
      <c r="E159" s="336"/>
      <c r="F159" s="331"/>
      <c r="G159" s="331"/>
      <c r="H159" s="331"/>
      <c r="I159" s="331"/>
      <c r="J159" s="331"/>
      <c r="K159" s="335"/>
      <c r="L159" s="335"/>
      <c r="M159" s="331"/>
      <c r="N159" s="331"/>
      <c r="O159" s="331"/>
      <c r="P159" s="335"/>
      <c r="Q159" s="331"/>
      <c r="R159" s="331"/>
      <c r="S159" s="331"/>
      <c r="T159" s="331"/>
      <c r="U159" s="335"/>
      <c r="V159" s="335"/>
      <c r="W159" s="335"/>
      <c r="X159" s="331"/>
      <c r="Y159" s="331"/>
      <c r="Z159" s="335"/>
      <c r="AA159" s="331"/>
      <c r="AB159" s="336"/>
      <c r="AC159" s="331"/>
      <c r="AD159" s="331"/>
      <c r="AE159" s="331"/>
      <c r="AF159" s="331"/>
      <c r="AG159" s="331"/>
      <c r="AH159" s="331"/>
      <c r="AI159" s="331"/>
      <c r="AJ159" s="331"/>
      <c r="AK159" s="331"/>
      <c r="AL159" s="331"/>
      <c r="AM159" s="331"/>
      <c r="AN159" s="331"/>
      <c r="AO159" s="331"/>
      <c r="AP159" s="331"/>
      <c r="AQ159" s="331"/>
      <c r="AR159" s="331"/>
      <c r="AS159" s="331"/>
      <c r="AT159" s="331"/>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row>
    <row r="160" spans="3:89" ht="18.75" x14ac:dyDescent="0.2">
      <c r="C160" s="334"/>
      <c r="D160" s="338">
        <v>119</v>
      </c>
      <c r="E160" s="336"/>
      <c r="F160" s="331"/>
      <c r="G160" s="331"/>
      <c r="H160" s="331"/>
      <c r="I160" s="331"/>
      <c r="J160" s="331"/>
      <c r="K160" s="335"/>
      <c r="L160" s="335"/>
      <c r="M160" s="331"/>
      <c r="N160" s="331"/>
      <c r="O160" s="331"/>
      <c r="P160" s="331"/>
      <c r="Q160" s="331"/>
      <c r="R160" s="331"/>
      <c r="S160" s="331"/>
      <c r="T160" s="331"/>
      <c r="U160" s="335"/>
      <c r="V160" s="335"/>
      <c r="W160" s="335"/>
      <c r="X160" s="331"/>
      <c r="Y160" s="331"/>
      <c r="Z160" s="335"/>
      <c r="AA160" s="331"/>
      <c r="AB160" s="336"/>
      <c r="AC160" s="331"/>
      <c r="AD160" s="331"/>
      <c r="AE160" s="331"/>
      <c r="AF160" s="331"/>
      <c r="AG160" s="331"/>
      <c r="AH160" s="331"/>
      <c r="AI160" s="331"/>
      <c r="AJ160" s="331"/>
      <c r="AK160" s="331"/>
      <c r="AL160" s="331"/>
      <c r="AM160" s="331"/>
      <c r="AN160" s="331"/>
      <c r="AO160" s="331"/>
      <c r="AP160" s="331"/>
      <c r="AQ160" s="331"/>
      <c r="AR160" s="331"/>
      <c r="AS160" s="331"/>
      <c r="AT160" s="331"/>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row>
    <row r="161" spans="3:89" ht="18.75" x14ac:dyDescent="0.2">
      <c r="C161" s="334"/>
      <c r="D161" s="338">
        <v>158</v>
      </c>
      <c r="E161" s="336"/>
      <c r="F161" s="331"/>
      <c r="G161" s="331"/>
      <c r="H161" s="331"/>
      <c r="I161" s="331"/>
      <c r="J161" s="331"/>
      <c r="K161" s="335"/>
      <c r="L161" s="335"/>
      <c r="M161" s="331"/>
      <c r="N161" s="331"/>
      <c r="O161" s="331"/>
      <c r="P161" s="331"/>
      <c r="Q161" s="331"/>
      <c r="R161" s="331"/>
      <c r="S161" s="331"/>
      <c r="T161" s="331"/>
      <c r="U161" s="335"/>
      <c r="V161" s="335"/>
      <c r="W161" s="335"/>
      <c r="X161" s="331"/>
      <c r="Y161" s="331"/>
      <c r="Z161" s="335"/>
      <c r="AA161" s="331"/>
      <c r="AB161" s="336"/>
      <c r="AC161" s="331"/>
      <c r="AD161" s="331"/>
      <c r="AE161" s="331"/>
      <c r="AF161" s="331"/>
      <c r="AG161" s="331"/>
      <c r="AH161" s="331"/>
      <c r="AI161" s="331"/>
      <c r="AJ161" s="331"/>
      <c r="AK161" s="331"/>
      <c r="AL161" s="331"/>
      <c r="AM161" s="331"/>
      <c r="AN161" s="331"/>
      <c r="AO161" s="331"/>
      <c r="AP161" s="331"/>
      <c r="AQ161" s="331"/>
      <c r="AR161" s="331"/>
      <c r="AS161" s="331"/>
      <c r="AT161" s="331"/>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row>
    <row r="162" spans="3:89" ht="18.75" x14ac:dyDescent="0.2">
      <c r="C162" s="334"/>
      <c r="D162" s="338">
        <v>159</v>
      </c>
      <c r="E162" s="336"/>
      <c r="F162" s="331"/>
      <c r="G162" s="331"/>
      <c r="H162" s="331"/>
      <c r="I162" s="331"/>
      <c r="J162" s="331"/>
      <c r="K162" s="335"/>
      <c r="L162" s="335"/>
      <c r="M162" s="331"/>
      <c r="N162" s="331"/>
      <c r="O162" s="331"/>
      <c r="P162" s="331"/>
      <c r="Q162" s="331"/>
      <c r="R162" s="331"/>
      <c r="S162" s="331"/>
      <c r="T162" s="331"/>
      <c r="U162" s="335"/>
      <c r="V162" s="335"/>
      <c r="W162" s="335"/>
      <c r="X162" s="331"/>
      <c r="Y162" s="331"/>
      <c r="Z162" s="335"/>
      <c r="AA162" s="331"/>
      <c r="AB162" s="336"/>
      <c r="AC162" s="331"/>
      <c r="AD162" s="331"/>
      <c r="AE162" s="331"/>
      <c r="AF162" s="331"/>
      <c r="AG162" s="331"/>
      <c r="AH162" s="331"/>
      <c r="AI162" s="331"/>
      <c r="AJ162" s="331"/>
      <c r="AK162" s="331"/>
      <c r="AL162" s="331"/>
      <c r="AM162" s="331"/>
      <c r="AN162" s="331"/>
      <c r="AO162" s="331"/>
      <c r="AP162" s="331"/>
      <c r="AQ162" s="331"/>
      <c r="AR162" s="331"/>
      <c r="AS162" s="331"/>
      <c r="AT162" s="331"/>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row>
    <row r="163" spans="3:89" ht="18.75" x14ac:dyDescent="0.2">
      <c r="C163" s="334"/>
      <c r="D163" s="338">
        <v>160</v>
      </c>
      <c r="E163" s="336"/>
      <c r="F163" s="331"/>
      <c r="G163" s="331"/>
      <c r="H163" s="331"/>
      <c r="I163" s="331"/>
      <c r="J163" s="331"/>
      <c r="K163" s="335"/>
      <c r="L163" s="335"/>
      <c r="M163" s="331"/>
      <c r="N163" s="331"/>
      <c r="O163" s="331"/>
      <c r="P163" s="331"/>
      <c r="Q163" s="331"/>
      <c r="R163" s="331"/>
      <c r="S163" s="331"/>
      <c r="T163" s="331"/>
      <c r="U163" s="335"/>
      <c r="V163" s="335"/>
      <c r="W163" s="335"/>
      <c r="X163" s="331"/>
      <c r="Y163" s="331"/>
      <c r="Z163" s="335"/>
      <c r="AA163" s="331"/>
      <c r="AB163" s="336"/>
      <c r="AC163" s="331"/>
      <c r="AD163" s="331"/>
      <c r="AE163" s="331"/>
      <c r="AF163" s="331"/>
      <c r="AG163" s="331"/>
      <c r="AH163" s="331"/>
      <c r="AI163" s="331"/>
      <c r="AJ163" s="331"/>
      <c r="AK163" s="331"/>
      <c r="AL163" s="331"/>
      <c r="AM163" s="331"/>
      <c r="AN163" s="331"/>
      <c r="AO163" s="331"/>
      <c r="AP163" s="331"/>
      <c r="AQ163" s="331"/>
      <c r="AR163" s="331"/>
      <c r="AS163" s="331"/>
      <c r="AT163" s="331"/>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row>
    <row r="164" spans="3:89" ht="18.75" x14ac:dyDescent="0.2">
      <c r="C164" s="334"/>
      <c r="D164" s="338">
        <v>177</v>
      </c>
      <c r="E164" s="336"/>
      <c r="F164" s="331"/>
      <c r="G164" s="331"/>
      <c r="H164" s="331"/>
      <c r="I164" s="331"/>
      <c r="J164" s="331"/>
      <c r="K164" s="335"/>
      <c r="L164" s="335"/>
      <c r="M164" s="331"/>
      <c r="N164" s="331"/>
      <c r="O164" s="331"/>
      <c r="P164" s="331"/>
      <c r="Q164" s="331"/>
      <c r="R164" s="331"/>
      <c r="S164" s="331"/>
      <c r="T164" s="331"/>
      <c r="U164" s="335"/>
      <c r="V164" s="335"/>
      <c r="W164" s="335"/>
      <c r="X164" s="331"/>
      <c r="Y164" s="331"/>
      <c r="Z164" s="335"/>
      <c r="AA164" s="331"/>
      <c r="AB164" s="336"/>
      <c r="AC164" s="331"/>
      <c r="AD164" s="331"/>
      <c r="AE164" s="331"/>
      <c r="AF164" s="331"/>
      <c r="AG164" s="331"/>
      <c r="AH164" s="331"/>
      <c r="AI164" s="331"/>
      <c r="AJ164" s="331"/>
      <c r="AK164" s="331"/>
      <c r="AL164" s="331"/>
      <c r="AM164" s="331"/>
      <c r="AN164" s="331"/>
      <c r="AO164" s="331"/>
      <c r="AP164" s="331"/>
      <c r="AQ164" s="331"/>
      <c r="AR164" s="331"/>
      <c r="AS164" s="331"/>
      <c r="AT164" s="331"/>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row>
    <row r="165" spans="3:89" ht="18.75" x14ac:dyDescent="0.2">
      <c r="C165" s="334"/>
      <c r="D165" s="338">
        <v>178</v>
      </c>
      <c r="E165" s="336"/>
      <c r="F165" s="331"/>
      <c r="G165" s="331"/>
      <c r="H165" s="331"/>
      <c r="I165" s="331"/>
      <c r="J165" s="331"/>
      <c r="K165" s="335"/>
      <c r="L165" s="335"/>
      <c r="M165" s="331"/>
      <c r="N165" s="331"/>
      <c r="O165" s="331"/>
      <c r="P165" s="331"/>
      <c r="Q165" s="331"/>
      <c r="R165" s="331"/>
      <c r="S165" s="331"/>
      <c r="T165" s="331"/>
      <c r="U165" s="335"/>
      <c r="V165" s="335"/>
      <c r="W165" s="335"/>
      <c r="X165" s="331"/>
      <c r="Y165" s="331"/>
      <c r="Z165" s="335"/>
      <c r="AA165" s="331"/>
      <c r="AB165" s="336"/>
      <c r="AC165" s="331"/>
      <c r="AD165" s="331"/>
      <c r="AE165" s="331"/>
      <c r="AF165" s="331"/>
      <c r="AG165" s="331"/>
      <c r="AH165" s="331"/>
      <c r="AI165" s="331"/>
      <c r="AJ165" s="331"/>
      <c r="AK165" s="331"/>
      <c r="AL165" s="331"/>
      <c r="AM165" s="331"/>
      <c r="AN165" s="331"/>
      <c r="AO165" s="331"/>
      <c r="AP165" s="331"/>
      <c r="AQ165" s="331"/>
      <c r="AR165" s="331"/>
      <c r="AS165" s="331"/>
      <c r="AT165" s="331"/>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row>
    <row r="166" spans="3:89" ht="18.75" x14ac:dyDescent="0.2">
      <c r="C166" s="334"/>
      <c r="D166" s="338">
        <v>179</v>
      </c>
      <c r="E166" s="336"/>
      <c r="F166" s="331"/>
      <c r="G166" s="331"/>
      <c r="H166" s="331"/>
      <c r="I166" s="331"/>
      <c r="J166" s="331"/>
      <c r="K166" s="335"/>
      <c r="L166" s="335"/>
      <c r="M166" s="331"/>
      <c r="N166" s="331"/>
      <c r="O166" s="331"/>
      <c r="P166" s="331"/>
      <c r="Q166" s="331"/>
      <c r="R166" s="331"/>
      <c r="S166" s="331"/>
      <c r="T166" s="331"/>
      <c r="U166" s="335"/>
      <c r="V166" s="335"/>
      <c r="W166" s="335"/>
      <c r="X166" s="331"/>
      <c r="Y166" s="331"/>
      <c r="Z166" s="335"/>
      <c r="AA166" s="331"/>
      <c r="AB166" s="336"/>
      <c r="AC166" s="331"/>
      <c r="AD166" s="331"/>
      <c r="AE166" s="331"/>
      <c r="AF166" s="331"/>
      <c r="AG166" s="331"/>
      <c r="AH166" s="331"/>
      <c r="AI166" s="331"/>
      <c r="AJ166" s="331"/>
      <c r="AK166" s="331"/>
      <c r="AL166" s="331"/>
      <c r="AM166" s="331"/>
      <c r="AN166" s="331"/>
      <c r="AO166" s="331"/>
      <c r="AP166" s="331"/>
      <c r="AQ166" s="331"/>
      <c r="AR166" s="331"/>
      <c r="AS166" s="331"/>
      <c r="AT166" s="331"/>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row>
    <row r="167" spans="3:89" ht="18.75" x14ac:dyDescent="0.2">
      <c r="C167" s="334"/>
      <c r="D167" s="338">
        <v>199</v>
      </c>
      <c r="E167" s="336"/>
      <c r="F167" s="331"/>
      <c r="G167" s="331"/>
      <c r="H167" s="331"/>
      <c r="I167" s="331"/>
      <c r="J167" s="331"/>
      <c r="K167" s="335"/>
      <c r="L167" s="331"/>
      <c r="M167" s="331"/>
      <c r="N167" s="331"/>
      <c r="O167" s="331"/>
      <c r="P167" s="331"/>
      <c r="Q167" s="331"/>
      <c r="R167" s="331"/>
      <c r="S167" s="331"/>
      <c r="T167" s="331"/>
      <c r="U167" s="335"/>
      <c r="V167" s="335"/>
      <c r="W167" s="335"/>
      <c r="X167" s="331"/>
      <c r="Y167" s="331"/>
      <c r="Z167" s="335"/>
      <c r="AA167" s="331"/>
      <c r="AB167" s="336"/>
      <c r="AC167" s="331"/>
      <c r="AD167" s="331"/>
      <c r="AE167" s="331"/>
      <c r="AF167" s="331"/>
      <c r="AG167" s="331"/>
      <c r="AH167" s="331"/>
      <c r="AI167" s="331"/>
      <c r="AJ167" s="331"/>
      <c r="AK167" s="331"/>
      <c r="AL167" s="331"/>
      <c r="AM167" s="331"/>
      <c r="AN167" s="331"/>
      <c r="AO167" s="331"/>
      <c r="AP167" s="331"/>
      <c r="AQ167" s="331"/>
      <c r="AR167" s="331"/>
      <c r="AS167" s="331"/>
      <c r="AT167" s="331"/>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row>
    <row r="168" spans="3:89" ht="18.75" x14ac:dyDescent="0.2">
      <c r="C168" s="334"/>
      <c r="D168" s="338">
        <v>200</v>
      </c>
      <c r="E168" s="336"/>
      <c r="F168" s="331"/>
      <c r="G168" s="331"/>
      <c r="H168" s="331"/>
      <c r="I168" s="331"/>
      <c r="J168" s="331"/>
      <c r="K168" s="335"/>
      <c r="L168" s="331"/>
      <c r="M168" s="331"/>
      <c r="N168" s="331"/>
      <c r="O168" s="331"/>
      <c r="P168" s="331"/>
      <c r="Q168" s="331"/>
      <c r="R168" s="331"/>
      <c r="S168" s="331"/>
      <c r="T168" s="331"/>
      <c r="U168" s="335"/>
      <c r="V168" s="335"/>
      <c r="W168" s="335"/>
      <c r="X168" s="331"/>
      <c r="Y168" s="331"/>
      <c r="Z168" s="335"/>
      <c r="AA168" s="331"/>
      <c r="AB168" s="336"/>
      <c r="AC168" s="331"/>
      <c r="AD168" s="331"/>
      <c r="AE168" s="331"/>
      <c r="AF168" s="331"/>
      <c r="AG168" s="331"/>
      <c r="AH168" s="331"/>
      <c r="AI168" s="331"/>
      <c r="AJ168" s="331"/>
      <c r="AK168" s="331"/>
      <c r="AL168" s="331"/>
      <c r="AM168" s="331"/>
      <c r="AN168" s="331"/>
      <c r="AO168" s="331"/>
      <c r="AP168" s="331"/>
      <c r="AQ168" s="331"/>
      <c r="AR168" s="331"/>
      <c r="AS168" s="331"/>
      <c r="AT168" s="331"/>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row>
    <row r="169" spans="3:89" ht="18.75" x14ac:dyDescent="0.2">
      <c r="C169" s="334"/>
      <c r="D169" s="338">
        <v>201</v>
      </c>
      <c r="E169" s="336"/>
      <c r="F169" s="331"/>
      <c r="G169" s="331"/>
      <c r="H169" s="331"/>
      <c r="I169" s="331"/>
      <c r="J169" s="331"/>
      <c r="K169" s="335"/>
      <c r="L169" s="331"/>
      <c r="M169" s="331"/>
      <c r="N169" s="331"/>
      <c r="O169" s="331"/>
      <c r="P169" s="331"/>
      <c r="Q169" s="331"/>
      <c r="R169" s="331"/>
      <c r="S169" s="331"/>
      <c r="T169" s="331"/>
      <c r="U169" s="335"/>
      <c r="V169" s="335"/>
      <c r="W169" s="335"/>
      <c r="X169" s="331"/>
      <c r="Y169" s="331"/>
      <c r="Z169" s="335"/>
      <c r="AA169" s="331"/>
      <c r="AB169" s="336"/>
      <c r="AC169" s="331"/>
      <c r="AD169" s="331"/>
      <c r="AE169" s="331"/>
      <c r="AF169" s="331"/>
      <c r="AG169" s="331"/>
      <c r="AH169" s="331"/>
      <c r="AI169" s="331"/>
      <c r="AJ169" s="331"/>
      <c r="AK169" s="331"/>
      <c r="AL169" s="331"/>
      <c r="AM169" s="331"/>
      <c r="AN169" s="331"/>
      <c r="AO169" s="331"/>
      <c r="AP169" s="331"/>
      <c r="AQ169" s="331"/>
      <c r="AR169" s="331"/>
      <c r="AS169" s="331"/>
      <c r="AT169" s="331"/>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row>
    <row r="170" spans="3:89" ht="18.75" x14ac:dyDescent="0.2">
      <c r="C170" s="334"/>
      <c r="D170" s="338">
        <v>202</v>
      </c>
      <c r="E170" s="336"/>
      <c r="F170" s="331"/>
      <c r="G170" s="331"/>
      <c r="H170" s="331"/>
      <c r="I170" s="331"/>
      <c r="J170" s="331"/>
      <c r="K170" s="335"/>
      <c r="L170" s="331"/>
      <c r="M170" s="331"/>
      <c r="N170" s="331"/>
      <c r="O170" s="331"/>
      <c r="P170" s="331"/>
      <c r="Q170" s="331"/>
      <c r="R170" s="331"/>
      <c r="S170" s="331"/>
      <c r="T170" s="331"/>
      <c r="U170" s="335"/>
      <c r="V170" s="335"/>
      <c r="W170" s="335"/>
      <c r="X170" s="331"/>
      <c r="Y170" s="331"/>
      <c r="Z170" s="335"/>
      <c r="AA170" s="331"/>
      <c r="AB170" s="336"/>
      <c r="AC170" s="331"/>
      <c r="AD170" s="331"/>
      <c r="AE170" s="331"/>
      <c r="AF170" s="331"/>
      <c r="AG170" s="331"/>
      <c r="AH170" s="331"/>
      <c r="AI170" s="331"/>
      <c r="AJ170" s="331"/>
      <c r="AK170" s="331"/>
      <c r="AL170" s="331"/>
      <c r="AM170" s="331"/>
      <c r="AN170" s="331"/>
      <c r="AO170" s="331"/>
      <c r="AP170" s="331"/>
      <c r="AQ170" s="331"/>
      <c r="AR170" s="331"/>
      <c r="AS170" s="331"/>
      <c r="AT170" s="331"/>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row>
    <row r="171" spans="3:89" ht="18.75" x14ac:dyDescent="0.2">
      <c r="C171" s="334"/>
      <c r="D171" s="338">
        <v>203</v>
      </c>
      <c r="E171" s="336"/>
      <c r="F171" s="331"/>
      <c r="G171" s="331"/>
      <c r="H171" s="331"/>
      <c r="I171" s="331"/>
      <c r="J171" s="331"/>
      <c r="K171" s="331"/>
      <c r="L171" s="331"/>
      <c r="M171" s="331"/>
      <c r="N171" s="331"/>
      <c r="O171" s="331"/>
      <c r="P171" s="331"/>
      <c r="Q171" s="331"/>
      <c r="R171" s="331"/>
      <c r="S171" s="331"/>
      <c r="T171" s="331"/>
      <c r="U171" s="335"/>
      <c r="V171" s="335"/>
      <c r="W171" s="335"/>
      <c r="X171" s="331"/>
      <c r="Y171" s="331"/>
      <c r="Z171" s="335"/>
      <c r="AA171" s="331"/>
      <c r="AB171" s="336"/>
      <c r="AC171" s="331"/>
      <c r="AD171" s="331"/>
      <c r="AE171" s="331"/>
      <c r="AF171" s="331"/>
      <c r="AG171" s="331"/>
      <c r="AH171" s="331"/>
      <c r="AI171" s="331"/>
      <c r="AJ171" s="331"/>
      <c r="AK171" s="331"/>
      <c r="AL171" s="331"/>
      <c r="AM171" s="331"/>
      <c r="AN171" s="331"/>
      <c r="AO171" s="331"/>
      <c r="AP171" s="331"/>
      <c r="AQ171" s="331"/>
      <c r="AR171" s="331"/>
      <c r="AS171" s="331"/>
      <c r="AT171" s="331"/>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row>
    <row r="172" spans="3:89" ht="18.75" x14ac:dyDescent="0.2">
      <c r="C172" s="334"/>
      <c r="D172" s="338">
        <v>247</v>
      </c>
      <c r="E172" s="336"/>
      <c r="F172" s="331"/>
      <c r="G172" s="331"/>
      <c r="H172" s="331"/>
      <c r="I172" s="331"/>
      <c r="J172" s="331"/>
      <c r="K172" s="331"/>
      <c r="L172" s="331"/>
      <c r="M172" s="331"/>
      <c r="N172" s="331"/>
      <c r="O172" s="331"/>
      <c r="P172" s="331"/>
      <c r="Q172" s="331"/>
      <c r="R172" s="331"/>
      <c r="S172" s="331"/>
      <c r="T172" s="331"/>
      <c r="U172" s="335"/>
      <c r="V172" s="335"/>
      <c r="W172" s="335"/>
      <c r="X172" s="331"/>
      <c r="Y172" s="331"/>
      <c r="Z172" s="335"/>
      <c r="AA172" s="331"/>
      <c r="AB172" s="336"/>
      <c r="AC172" s="331"/>
      <c r="AD172" s="331"/>
      <c r="AE172" s="331"/>
      <c r="AF172" s="331"/>
      <c r="AG172" s="331"/>
      <c r="AH172" s="331"/>
      <c r="AI172" s="331"/>
      <c r="AJ172" s="331"/>
      <c r="AK172" s="331"/>
      <c r="AL172" s="331"/>
      <c r="AM172" s="331"/>
      <c r="AN172" s="331"/>
      <c r="AO172" s="331"/>
      <c r="AP172" s="331"/>
      <c r="AQ172" s="331"/>
      <c r="AR172" s="331"/>
      <c r="AS172" s="331"/>
      <c r="AT172" s="331"/>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row>
    <row r="173" spans="3:89" ht="18.75" x14ac:dyDescent="0.2">
      <c r="C173" s="334"/>
      <c r="D173" s="338">
        <v>257</v>
      </c>
      <c r="E173" s="336"/>
      <c r="F173" s="331"/>
      <c r="G173" s="331"/>
      <c r="H173" s="331"/>
      <c r="I173" s="331"/>
      <c r="J173" s="331"/>
      <c r="K173" s="331"/>
      <c r="L173" s="331"/>
      <c r="M173" s="331"/>
      <c r="N173" s="331"/>
      <c r="O173" s="331"/>
      <c r="P173" s="331"/>
      <c r="Q173" s="331"/>
      <c r="R173" s="331"/>
      <c r="S173" s="331"/>
      <c r="T173" s="331"/>
      <c r="U173" s="335"/>
      <c r="V173" s="335"/>
      <c r="W173" s="335"/>
      <c r="X173" s="331"/>
      <c r="Y173" s="331"/>
      <c r="Z173" s="335"/>
      <c r="AA173" s="331"/>
      <c r="AB173" s="336"/>
      <c r="AC173" s="331"/>
      <c r="AD173" s="331"/>
      <c r="AE173" s="331"/>
      <c r="AF173" s="331"/>
      <c r="AG173" s="331"/>
      <c r="AH173" s="331"/>
      <c r="AI173" s="331"/>
      <c r="AJ173" s="331"/>
      <c r="AK173" s="331"/>
      <c r="AL173" s="331"/>
      <c r="AM173" s="331"/>
      <c r="AN173" s="331"/>
      <c r="AO173" s="331"/>
      <c r="AP173" s="331"/>
      <c r="AQ173" s="331"/>
      <c r="AR173" s="331"/>
      <c r="AS173" s="331"/>
      <c r="AT173" s="331"/>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row>
    <row r="174" spans="3:89" ht="18.75" x14ac:dyDescent="0.2">
      <c r="C174" s="334"/>
      <c r="D174" s="338">
        <v>269</v>
      </c>
      <c r="E174" s="336"/>
      <c r="F174" s="331"/>
      <c r="G174" s="331"/>
      <c r="H174" s="331"/>
      <c r="I174" s="331"/>
      <c r="J174" s="331"/>
      <c r="K174" s="331"/>
      <c r="L174" s="331"/>
      <c r="M174" s="331"/>
      <c r="N174" s="331"/>
      <c r="O174" s="331"/>
      <c r="P174" s="331"/>
      <c r="Q174" s="331"/>
      <c r="R174" s="331"/>
      <c r="S174" s="331"/>
      <c r="T174" s="331"/>
      <c r="U174" s="335"/>
      <c r="V174" s="335"/>
      <c r="W174" s="331"/>
      <c r="X174" s="331"/>
      <c r="Y174" s="331"/>
      <c r="Z174" s="335"/>
      <c r="AA174" s="331"/>
      <c r="AB174" s="336"/>
      <c r="AC174" s="331"/>
      <c r="AD174" s="331"/>
      <c r="AE174" s="331"/>
      <c r="AF174" s="331"/>
      <c r="AG174" s="331"/>
      <c r="AH174" s="331"/>
      <c r="AI174" s="331"/>
      <c r="AJ174" s="331"/>
      <c r="AK174" s="331"/>
      <c r="AL174" s="331"/>
      <c r="AM174" s="331"/>
      <c r="AN174" s="331"/>
      <c r="AO174" s="331"/>
      <c r="AP174" s="331"/>
      <c r="AQ174" s="331"/>
      <c r="AR174" s="331"/>
      <c r="AS174" s="331"/>
      <c r="AT174" s="331"/>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row>
    <row r="175" spans="3:89" ht="18.75" x14ac:dyDescent="0.2">
      <c r="C175" s="334"/>
      <c r="D175" s="338">
        <v>327</v>
      </c>
      <c r="E175" s="336"/>
      <c r="F175" s="331"/>
      <c r="G175" s="331"/>
      <c r="H175" s="331"/>
      <c r="I175" s="331"/>
      <c r="J175" s="331"/>
      <c r="K175" s="331"/>
      <c r="L175" s="331"/>
      <c r="M175" s="331"/>
      <c r="N175" s="331"/>
      <c r="O175" s="331"/>
      <c r="P175" s="331"/>
      <c r="Q175" s="331"/>
      <c r="R175" s="331"/>
      <c r="S175" s="331"/>
      <c r="T175" s="331"/>
      <c r="U175" s="335"/>
      <c r="V175" s="335"/>
      <c r="W175" s="331"/>
      <c r="X175" s="331"/>
      <c r="Y175" s="331"/>
      <c r="Z175" s="335"/>
      <c r="AA175" s="331"/>
      <c r="AB175" s="336"/>
      <c r="AC175" s="331"/>
      <c r="AD175" s="331"/>
      <c r="AE175" s="331"/>
      <c r="AF175" s="331"/>
      <c r="AG175" s="331"/>
      <c r="AH175" s="331"/>
      <c r="AI175" s="331"/>
      <c r="AJ175" s="331"/>
      <c r="AK175" s="331"/>
      <c r="AL175" s="331"/>
      <c r="AM175" s="331"/>
      <c r="AN175" s="331"/>
      <c r="AO175" s="331"/>
      <c r="AP175" s="331"/>
      <c r="AQ175" s="331"/>
      <c r="AR175" s="331"/>
      <c r="AS175" s="331"/>
      <c r="AT175" s="331"/>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row>
    <row r="176" spans="3:89" ht="18.75" x14ac:dyDescent="0.2">
      <c r="C176" s="334"/>
      <c r="D176" s="338">
        <v>334</v>
      </c>
      <c r="E176" s="336"/>
      <c r="F176" s="331"/>
      <c r="G176" s="331"/>
      <c r="H176" s="331"/>
      <c r="I176" s="331"/>
      <c r="J176" s="331"/>
      <c r="K176" s="331"/>
      <c r="L176" s="331"/>
      <c r="M176" s="331"/>
      <c r="N176" s="331"/>
      <c r="O176" s="331"/>
      <c r="P176" s="331"/>
      <c r="Q176" s="331"/>
      <c r="R176" s="331"/>
      <c r="S176" s="331"/>
      <c r="T176" s="331"/>
      <c r="U176" s="335"/>
      <c r="V176" s="335"/>
      <c r="W176" s="331"/>
      <c r="X176" s="331"/>
      <c r="Y176" s="331"/>
      <c r="Z176" s="335"/>
      <c r="AA176" s="331"/>
      <c r="AB176" s="336"/>
      <c r="AC176" s="331"/>
      <c r="AD176" s="331"/>
      <c r="AE176" s="331"/>
      <c r="AF176" s="331"/>
      <c r="AG176" s="331"/>
      <c r="AH176" s="331"/>
      <c r="AI176" s="331"/>
      <c r="AJ176" s="331"/>
      <c r="AK176" s="331"/>
      <c r="AL176" s="331"/>
      <c r="AM176" s="331"/>
      <c r="AN176" s="331"/>
      <c r="AO176" s="331"/>
      <c r="AP176" s="331"/>
      <c r="AQ176" s="331"/>
      <c r="AR176" s="331"/>
      <c r="AS176" s="331"/>
      <c r="AT176" s="331"/>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row>
    <row r="177" spans="3:89" ht="18.75" x14ac:dyDescent="0.2">
      <c r="C177" s="334"/>
      <c r="D177" s="338">
        <v>335</v>
      </c>
      <c r="E177" s="336"/>
      <c r="F177" s="331"/>
      <c r="G177" s="331"/>
      <c r="H177" s="331"/>
      <c r="I177" s="331"/>
      <c r="J177" s="331"/>
      <c r="K177" s="331"/>
      <c r="L177" s="331"/>
      <c r="M177" s="331"/>
      <c r="N177" s="331"/>
      <c r="O177" s="331"/>
      <c r="P177" s="331"/>
      <c r="Q177" s="331"/>
      <c r="R177" s="331"/>
      <c r="S177" s="331"/>
      <c r="T177" s="331"/>
      <c r="U177" s="335"/>
      <c r="V177" s="335"/>
      <c r="W177" s="331"/>
      <c r="X177" s="331"/>
      <c r="Y177" s="331"/>
      <c r="Z177" s="331"/>
      <c r="AA177" s="331"/>
      <c r="AB177" s="336"/>
      <c r="AC177" s="331"/>
      <c r="AD177" s="331"/>
      <c r="AE177" s="331"/>
      <c r="AF177" s="331"/>
      <c r="AG177" s="331"/>
      <c r="AH177" s="331"/>
      <c r="AI177" s="331"/>
      <c r="AJ177" s="331"/>
      <c r="AK177" s="331"/>
      <c r="AL177" s="331"/>
      <c r="AM177" s="331"/>
      <c r="AN177" s="331"/>
      <c r="AO177" s="331"/>
      <c r="AP177" s="331"/>
      <c r="AQ177" s="331"/>
      <c r="AR177" s="331"/>
      <c r="AS177" s="331"/>
      <c r="AT177" s="331"/>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row>
    <row r="178" spans="3:89" ht="18.75" x14ac:dyDescent="0.2">
      <c r="C178" s="334"/>
      <c r="D178" s="338">
        <v>347</v>
      </c>
      <c r="E178" s="336"/>
      <c r="F178" s="331"/>
      <c r="G178" s="331"/>
      <c r="H178" s="331"/>
      <c r="I178" s="331"/>
      <c r="J178" s="331"/>
      <c r="K178" s="331"/>
      <c r="L178" s="331"/>
      <c r="M178" s="331"/>
      <c r="N178" s="331"/>
      <c r="O178" s="331"/>
      <c r="P178" s="331"/>
      <c r="Q178" s="331"/>
      <c r="R178" s="331"/>
      <c r="S178" s="331"/>
      <c r="T178" s="331"/>
      <c r="U178" s="335"/>
      <c r="V178" s="335"/>
      <c r="W178" s="331"/>
      <c r="X178" s="331"/>
      <c r="Y178" s="331"/>
      <c r="Z178" s="331"/>
      <c r="AA178" s="331"/>
      <c r="AB178" s="332"/>
      <c r="AC178" s="331"/>
      <c r="AD178" s="331"/>
      <c r="AE178" s="331"/>
      <c r="AF178" s="331"/>
      <c r="AG178" s="331"/>
      <c r="AH178" s="331"/>
      <c r="AI178" s="331"/>
      <c r="AJ178" s="331"/>
      <c r="AK178" s="331"/>
      <c r="AL178" s="331"/>
      <c r="AM178" s="331"/>
      <c r="AN178" s="331"/>
      <c r="AO178" s="331"/>
      <c r="AP178" s="331"/>
      <c r="AQ178" s="331"/>
      <c r="AR178" s="331"/>
      <c r="AS178" s="331"/>
      <c r="AT178" s="331"/>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row>
    <row r="179" spans="3:89" ht="18.75" x14ac:dyDescent="0.2">
      <c r="C179" s="334"/>
      <c r="D179" s="338">
        <v>348</v>
      </c>
      <c r="E179" s="336"/>
      <c r="F179" s="331"/>
      <c r="G179" s="331"/>
      <c r="H179" s="331"/>
      <c r="I179" s="331"/>
      <c r="J179" s="331"/>
      <c r="K179" s="331"/>
      <c r="L179" s="331"/>
      <c r="M179" s="331"/>
      <c r="N179" s="331"/>
      <c r="O179" s="331"/>
      <c r="P179" s="331"/>
      <c r="Q179" s="331"/>
      <c r="R179" s="331"/>
      <c r="S179" s="331"/>
      <c r="T179" s="331"/>
      <c r="U179" s="335"/>
      <c r="V179" s="335"/>
      <c r="W179" s="331"/>
      <c r="X179" s="331"/>
      <c r="Y179" s="331"/>
      <c r="Z179" s="331"/>
      <c r="AA179" s="331"/>
      <c r="AB179" s="336"/>
      <c r="AC179" s="331"/>
      <c r="AD179" s="331"/>
      <c r="AE179" s="331"/>
      <c r="AF179" s="331"/>
      <c r="AG179" s="331"/>
      <c r="AH179" s="331"/>
      <c r="AI179" s="331"/>
      <c r="AJ179" s="331"/>
      <c r="AK179" s="331"/>
      <c r="AL179" s="331"/>
      <c r="AM179" s="331"/>
      <c r="AN179" s="331"/>
      <c r="AO179" s="331"/>
      <c r="AP179" s="331"/>
      <c r="AQ179" s="331"/>
      <c r="AR179" s="331"/>
      <c r="AS179" s="331"/>
      <c r="AT179" s="331"/>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row>
    <row r="180" spans="3:89" ht="18.75" x14ac:dyDescent="0.2">
      <c r="C180" s="334"/>
      <c r="D180" s="338">
        <v>359</v>
      </c>
      <c r="E180" s="336"/>
      <c r="F180" s="331"/>
      <c r="G180" s="331"/>
      <c r="H180" s="331"/>
      <c r="I180" s="331"/>
      <c r="J180" s="331"/>
      <c r="K180" s="331"/>
      <c r="L180" s="331"/>
      <c r="M180" s="331"/>
      <c r="N180" s="331"/>
      <c r="O180" s="331"/>
      <c r="P180" s="331"/>
      <c r="Q180" s="331"/>
      <c r="R180" s="331"/>
      <c r="S180" s="331"/>
      <c r="T180" s="331"/>
      <c r="U180" s="335"/>
      <c r="V180" s="335"/>
      <c r="W180" s="331"/>
      <c r="X180" s="331"/>
      <c r="Y180" s="331"/>
      <c r="Z180" s="331"/>
      <c r="AA180" s="331"/>
      <c r="AB180" s="332"/>
      <c r="AC180" s="331"/>
      <c r="AD180" s="331"/>
      <c r="AE180" s="331"/>
      <c r="AF180" s="331"/>
      <c r="AG180" s="331"/>
      <c r="AH180" s="331"/>
      <c r="AI180" s="331"/>
      <c r="AJ180" s="331"/>
      <c r="AK180" s="331"/>
      <c r="AL180" s="331"/>
      <c r="AM180" s="331"/>
      <c r="AN180" s="331"/>
      <c r="AO180" s="331"/>
      <c r="AP180" s="331"/>
      <c r="AQ180" s="331"/>
      <c r="AR180" s="331"/>
      <c r="AS180" s="331"/>
      <c r="AT180" s="331"/>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row>
    <row r="181" spans="3:89" ht="18.75" x14ac:dyDescent="0.2">
      <c r="C181" s="334"/>
      <c r="D181" s="338">
        <v>360</v>
      </c>
      <c r="E181" s="336"/>
      <c r="F181" s="331"/>
      <c r="G181" s="331"/>
      <c r="H181" s="331"/>
      <c r="I181" s="331"/>
      <c r="J181" s="331"/>
      <c r="K181" s="331"/>
      <c r="L181" s="331"/>
      <c r="M181" s="331"/>
      <c r="N181" s="331"/>
      <c r="O181" s="331"/>
      <c r="P181" s="331"/>
      <c r="Q181" s="331"/>
      <c r="R181" s="331"/>
      <c r="S181" s="331"/>
      <c r="T181" s="331"/>
      <c r="U181" s="335"/>
      <c r="V181" s="335"/>
      <c r="W181" s="331"/>
      <c r="X181" s="331"/>
      <c r="Y181" s="331"/>
      <c r="Z181" s="331"/>
      <c r="AA181" s="331"/>
      <c r="AB181" s="336"/>
      <c r="AC181" s="331"/>
      <c r="AD181" s="331"/>
      <c r="AE181" s="331"/>
      <c r="AF181" s="331"/>
      <c r="AG181" s="331"/>
      <c r="AH181" s="331"/>
      <c r="AI181" s="331"/>
      <c r="AJ181" s="331"/>
      <c r="AK181" s="331"/>
      <c r="AL181" s="331"/>
      <c r="AM181" s="331"/>
      <c r="AN181" s="331"/>
      <c r="AO181" s="331"/>
      <c r="AP181" s="331"/>
      <c r="AQ181" s="331"/>
      <c r="AR181" s="331"/>
      <c r="AS181" s="331"/>
      <c r="AT181" s="331"/>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row>
    <row r="182" spans="3:89" ht="18.75" x14ac:dyDescent="0.2">
      <c r="C182" s="334"/>
      <c r="D182" s="338">
        <v>375</v>
      </c>
      <c r="E182" s="333"/>
      <c r="F182" s="331"/>
      <c r="G182" s="331"/>
      <c r="H182" s="331"/>
      <c r="I182" s="331"/>
      <c r="J182" s="331"/>
      <c r="K182" s="331"/>
      <c r="L182" s="331"/>
      <c r="M182" s="331"/>
      <c r="N182" s="331"/>
      <c r="O182" s="331"/>
      <c r="P182" s="331"/>
      <c r="Q182" s="331"/>
      <c r="R182" s="331"/>
      <c r="S182" s="331"/>
      <c r="T182" s="331"/>
      <c r="U182" s="335"/>
      <c r="V182" s="335"/>
      <c r="W182" s="331"/>
      <c r="X182" s="331"/>
      <c r="Y182" s="331"/>
      <c r="Z182" s="331"/>
      <c r="AA182" s="331"/>
      <c r="AB182" s="336"/>
      <c r="AC182" s="331"/>
      <c r="AD182" s="331"/>
      <c r="AE182" s="331"/>
      <c r="AF182" s="331"/>
      <c r="AG182" s="331"/>
      <c r="AH182" s="331"/>
      <c r="AI182" s="331"/>
      <c r="AJ182" s="331"/>
      <c r="AK182" s="331"/>
      <c r="AL182" s="331"/>
      <c r="AM182" s="331"/>
      <c r="AN182" s="331"/>
      <c r="AO182" s="331"/>
      <c r="AP182" s="331"/>
      <c r="AQ182" s="331"/>
      <c r="AR182" s="331"/>
      <c r="AS182" s="331"/>
      <c r="AT182" s="331"/>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row>
    <row r="183" spans="3:89" ht="18.75" x14ac:dyDescent="0.2">
      <c r="C183" s="334"/>
      <c r="D183" s="338">
        <v>388</v>
      </c>
      <c r="E183" s="336"/>
      <c r="F183" s="331"/>
      <c r="G183" s="331"/>
      <c r="H183" s="331"/>
      <c r="I183" s="331"/>
      <c r="J183" s="331"/>
      <c r="K183" s="331"/>
      <c r="L183" s="331"/>
      <c r="M183" s="331"/>
      <c r="N183" s="331"/>
      <c r="O183" s="331"/>
      <c r="P183" s="331"/>
      <c r="Q183" s="331"/>
      <c r="R183" s="331"/>
      <c r="S183" s="331"/>
      <c r="T183" s="331"/>
      <c r="U183" s="335"/>
      <c r="V183" s="335"/>
      <c r="W183" s="331"/>
      <c r="X183" s="331"/>
      <c r="Y183" s="331"/>
      <c r="Z183" s="331"/>
      <c r="AA183" s="331"/>
      <c r="AB183" s="336"/>
      <c r="AC183" s="331"/>
      <c r="AD183" s="331"/>
      <c r="AE183" s="331"/>
      <c r="AF183" s="331"/>
      <c r="AG183" s="331"/>
      <c r="AH183" s="331"/>
      <c r="AI183" s="331"/>
      <c r="AJ183" s="331"/>
      <c r="AK183" s="331"/>
      <c r="AL183" s="331"/>
      <c r="AM183" s="331"/>
      <c r="AN183" s="331"/>
      <c r="AO183" s="331"/>
      <c r="AP183" s="331"/>
      <c r="AQ183" s="331"/>
      <c r="AR183" s="331"/>
      <c r="AS183" s="331"/>
      <c r="AT183" s="331"/>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row>
    <row r="184" spans="3:89" ht="18.75" x14ac:dyDescent="0.2">
      <c r="C184" s="334"/>
      <c r="D184" s="338">
        <v>397</v>
      </c>
      <c r="E184" s="336"/>
      <c r="F184" s="331"/>
      <c r="G184" s="331"/>
      <c r="H184" s="331"/>
      <c r="I184" s="331"/>
      <c r="J184" s="331"/>
      <c r="K184" s="331"/>
      <c r="L184" s="331"/>
      <c r="M184" s="331"/>
      <c r="N184" s="331"/>
      <c r="O184" s="331"/>
      <c r="P184" s="331"/>
      <c r="Q184" s="331"/>
      <c r="R184" s="331"/>
      <c r="S184" s="331"/>
      <c r="T184" s="331"/>
      <c r="U184" s="335"/>
      <c r="V184" s="335"/>
      <c r="W184" s="331"/>
      <c r="X184" s="331"/>
      <c r="Y184" s="331"/>
      <c r="Z184" s="331"/>
      <c r="AA184" s="331"/>
      <c r="AB184" s="336"/>
      <c r="AC184" s="331"/>
      <c r="AD184" s="331"/>
      <c r="AE184" s="331"/>
      <c r="AF184" s="331"/>
      <c r="AG184" s="331"/>
      <c r="AH184" s="331"/>
      <c r="AI184" s="331"/>
      <c r="AJ184" s="331"/>
      <c r="AK184" s="331"/>
      <c r="AL184" s="331"/>
      <c r="AM184" s="331"/>
      <c r="AN184" s="331"/>
      <c r="AO184" s="331"/>
      <c r="AP184" s="331"/>
      <c r="AQ184" s="331"/>
      <c r="AR184" s="331"/>
      <c r="AS184" s="331"/>
      <c r="AT184" s="331"/>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row>
    <row r="185" spans="3:89" ht="18.75" x14ac:dyDescent="0.2">
      <c r="C185" s="334"/>
      <c r="D185" s="338">
        <v>398</v>
      </c>
      <c r="E185" s="336"/>
      <c r="F185" s="331"/>
      <c r="G185" s="331"/>
      <c r="H185" s="331"/>
      <c r="I185" s="331"/>
      <c r="J185" s="331"/>
      <c r="K185" s="331"/>
      <c r="L185" s="331"/>
      <c r="M185" s="331"/>
      <c r="N185" s="331"/>
      <c r="O185" s="331"/>
      <c r="P185" s="331"/>
      <c r="Q185" s="331"/>
      <c r="R185" s="331"/>
      <c r="S185" s="331"/>
      <c r="T185" s="331"/>
      <c r="U185" s="335"/>
      <c r="V185" s="335"/>
      <c r="W185" s="331"/>
      <c r="X185" s="331"/>
      <c r="Y185" s="331"/>
      <c r="Z185" s="331"/>
      <c r="AA185" s="331"/>
      <c r="AB185" s="336"/>
      <c r="AC185" s="331"/>
      <c r="AD185" s="331"/>
      <c r="AE185" s="331"/>
      <c r="AF185" s="331"/>
      <c r="AG185" s="331"/>
      <c r="AH185" s="331"/>
      <c r="AI185" s="331"/>
      <c r="AJ185" s="331"/>
      <c r="AK185" s="331"/>
      <c r="AL185" s="331"/>
      <c r="AM185" s="331"/>
      <c r="AN185" s="331"/>
      <c r="AO185" s="331"/>
      <c r="AP185" s="331"/>
      <c r="AQ185" s="331"/>
      <c r="AR185" s="331"/>
      <c r="AS185" s="331"/>
      <c r="AT185" s="331"/>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row>
    <row r="186" spans="3:89" ht="18.75" x14ac:dyDescent="0.2">
      <c r="C186" s="334"/>
      <c r="D186" s="338">
        <v>411</v>
      </c>
      <c r="E186" s="336"/>
      <c r="F186" s="331"/>
      <c r="G186" s="331"/>
      <c r="H186" s="331"/>
      <c r="I186" s="331"/>
      <c r="J186" s="331"/>
      <c r="K186" s="331"/>
      <c r="L186" s="331"/>
      <c r="M186" s="331"/>
      <c r="N186" s="331"/>
      <c r="O186" s="331"/>
      <c r="P186" s="331"/>
      <c r="Q186" s="331"/>
      <c r="R186" s="331"/>
      <c r="S186" s="331"/>
      <c r="T186" s="331"/>
      <c r="U186" s="335"/>
      <c r="V186" s="335"/>
      <c r="W186" s="331"/>
      <c r="X186" s="331"/>
      <c r="Y186" s="331"/>
      <c r="Z186" s="331"/>
      <c r="AA186" s="331"/>
      <c r="AB186" s="336"/>
      <c r="AC186" s="331"/>
      <c r="AD186" s="331"/>
      <c r="AE186" s="331"/>
      <c r="AF186" s="331"/>
      <c r="AG186" s="331"/>
      <c r="AH186" s="331"/>
      <c r="AI186" s="331"/>
      <c r="AJ186" s="331"/>
      <c r="AK186" s="331"/>
      <c r="AL186" s="331"/>
      <c r="AM186" s="331"/>
      <c r="AN186" s="331"/>
      <c r="AO186" s="331"/>
      <c r="AP186" s="331"/>
      <c r="AQ186" s="331"/>
      <c r="AR186" s="331"/>
      <c r="AS186" s="331"/>
      <c r="AT186" s="331"/>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row>
    <row r="187" spans="3:89" ht="18.75" x14ac:dyDescent="0.2">
      <c r="C187" s="334"/>
      <c r="D187" s="338">
        <v>422</v>
      </c>
      <c r="E187" s="336"/>
      <c r="F187" s="331"/>
      <c r="G187" s="331"/>
      <c r="H187" s="331"/>
      <c r="I187" s="331"/>
      <c r="J187" s="331"/>
      <c r="K187" s="331"/>
      <c r="L187" s="331"/>
      <c r="M187" s="331"/>
      <c r="N187" s="331"/>
      <c r="O187" s="331"/>
      <c r="P187" s="331"/>
      <c r="Q187" s="331"/>
      <c r="R187" s="331"/>
      <c r="S187" s="331"/>
      <c r="T187" s="331"/>
      <c r="U187" s="335"/>
      <c r="V187" s="335"/>
      <c r="W187" s="331"/>
      <c r="X187" s="331"/>
      <c r="Y187" s="331"/>
      <c r="Z187" s="331"/>
      <c r="AA187" s="331"/>
      <c r="AB187" s="336"/>
      <c r="AC187" s="331"/>
      <c r="AD187" s="331"/>
      <c r="AE187" s="331"/>
      <c r="AF187" s="331"/>
      <c r="AG187" s="331"/>
      <c r="AH187" s="331"/>
      <c r="AI187" s="331"/>
      <c r="AJ187" s="331"/>
      <c r="AK187" s="331"/>
      <c r="AL187" s="331"/>
      <c r="AM187" s="331"/>
      <c r="AN187" s="331"/>
      <c r="AO187" s="331"/>
      <c r="AP187" s="331"/>
      <c r="AQ187" s="331"/>
      <c r="AR187" s="331"/>
      <c r="AS187" s="331"/>
      <c r="AT187" s="331"/>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row>
    <row r="188" spans="3:89" ht="18.75" x14ac:dyDescent="0.2">
      <c r="C188" s="334"/>
      <c r="D188" s="338">
        <v>434</v>
      </c>
      <c r="E188" s="336"/>
      <c r="F188" s="331"/>
      <c r="G188" s="331"/>
      <c r="H188" s="331"/>
      <c r="I188" s="331"/>
      <c r="J188" s="331"/>
      <c r="K188" s="331"/>
      <c r="L188" s="331"/>
      <c r="M188" s="331"/>
      <c r="N188" s="331"/>
      <c r="O188" s="331"/>
      <c r="P188" s="331"/>
      <c r="Q188" s="331"/>
      <c r="R188" s="331"/>
      <c r="S188" s="331"/>
      <c r="T188" s="331"/>
      <c r="U188" s="335"/>
      <c r="V188" s="335"/>
      <c r="W188" s="331"/>
      <c r="X188" s="331"/>
      <c r="Y188" s="331"/>
      <c r="Z188" s="331"/>
      <c r="AA188" s="331"/>
      <c r="AB188" s="336"/>
      <c r="AC188" s="331"/>
      <c r="AD188" s="331"/>
      <c r="AE188" s="331"/>
      <c r="AF188" s="331"/>
      <c r="AG188" s="331"/>
      <c r="AH188" s="331"/>
      <c r="AI188" s="331"/>
      <c r="AJ188" s="331"/>
      <c r="AK188" s="331"/>
      <c r="AL188" s="331"/>
      <c r="AM188" s="331"/>
      <c r="AN188" s="331"/>
      <c r="AO188" s="331"/>
      <c r="AP188" s="331"/>
      <c r="AQ188" s="331"/>
      <c r="AR188" s="331"/>
      <c r="AS188" s="331"/>
      <c r="AT188" s="331"/>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row>
    <row r="189" spans="3:89" ht="18.75" x14ac:dyDescent="0.2">
      <c r="C189" s="334"/>
      <c r="D189" s="338">
        <v>440</v>
      </c>
      <c r="E189" s="336"/>
      <c r="F189" s="331"/>
      <c r="G189" s="331"/>
      <c r="H189" s="331"/>
      <c r="I189" s="331"/>
      <c r="J189" s="331"/>
      <c r="K189" s="331"/>
      <c r="L189" s="331"/>
      <c r="M189" s="331"/>
      <c r="N189" s="331"/>
      <c r="O189" s="331"/>
      <c r="P189" s="331"/>
      <c r="Q189" s="331"/>
      <c r="R189" s="331"/>
      <c r="S189" s="331"/>
      <c r="T189" s="331"/>
      <c r="U189" s="335"/>
      <c r="V189" s="335"/>
      <c r="W189" s="331"/>
      <c r="X189" s="331"/>
      <c r="Y189" s="331"/>
      <c r="Z189" s="331"/>
      <c r="AA189" s="331"/>
      <c r="AB189" s="336"/>
      <c r="AC189" s="331"/>
      <c r="AD189" s="331"/>
      <c r="AE189" s="331"/>
      <c r="AF189" s="331"/>
      <c r="AG189" s="331"/>
      <c r="AH189" s="331"/>
      <c r="AI189" s="331"/>
      <c r="AJ189" s="331"/>
      <c r="AK189" s="331"/>
      <c r="AL189" s="331"/>
      <c r="AM189" s="331"/>
      <c r="AN189" s="331"/>
      <c r="AO189" s="331"/>
      <c r="AP189" s="331"/>
      <c r="AQ189" s="331"/>
      <c r="AR189" s="331"/>
      <c r="AS189" s="331"/>
      <c r="AT189" s="331"/>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row>
    <row r="190" spans="3:89" ht="18.75" x14ac:dyDescent="0.2">
      <c r="C190" s="334"/>
      <c r="D190" s="338">
        <v>441</v>
      </c>
      <c r="E190" s="336"/>
      <c r="F190" s="331"/>
      <c r="G190" s="331"/>
      <c r="H190" s="331"/>
      <c r="I190" s="331"/>
      <c r="J190" s="331"/>
      <c r="K190" s="331"/>
      <c r="L190" s="331"/>
      <c r="M190" s="331"/>
      <c r="N190" s="331"/>
      <c r="O190" s="331"/>
      <c r="P190" s="331"/>
      <c r="Q190" s="331"/>
      <c r="R190" s="331"/>
      <c r="S190" s="331"/>
      <c r="T190" s="331"/>
      <c r="U190" s="335"/>
      <c r="V190" s="335"/>
      <c r="W190" s="331"/>
      <c r="X190" s="331"/>
      <c r="Y190" s="331"/>
      <c r="Z190" s="331"/>
      <c r="AA190" s="331"/>
      <c r="AB190" s="336"/>
      <c r="AC190" s="331"/>
      <c r="AD190" s="331"/>
      <c r="AE190" s="331"/>
      <c r="AF190" s="331"/>
      <c r="AG190" s="331"/>
      <c r="AH190" s="331"/>
      <c r="AI190" s="331"/>
      <c r="AJ190" s="331"/>
      <c r="AK190" s="331"/>
      <c r="AL190" s="331"/>
      <c r="AM190" s="331"/>
      <c r="AN190" s="331"/>
      <c r="AO190" s="331"/>
      <c r="AP190" s="331"/>
      <c r="AQ190" s="331"/>
      <c r="AR190" s="331"/>
      <c r="AS190" s="331"/>
      <c r="AT190" s="331"/>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row>
    <row r="191" spans="3:89" ht="18.75" x14ac:dyDescent="0.2">
      <c r="C191" s="334"/>
      <c r="D191" s="338">
        <v>442</v>
      </c>
      <c r="E191" s="336"/>
      <c r="F191" s="331"/>
      <c r="G191" s="331"/>
      <c r="H191" s="331"/>
      <c r="I191" s="331"/>
      <c r="J191" s="331"/>
      <c r="K191" s="331"/>
      <c r="L191" s="331"/>
      <c r="M191" s="331"/>
      <c r="N191" s="331"/>
      <c r="O191" s="331"/>
      <c r="P191" s="331"/>
      <c r="Q191" s="331"/>
      <c r="R191" s="331"/>
      <c r="S191" s="331"/>
      <c r="T191" s="331"/>
      <c r="U191" s="335"/>
      <c r="V191" s="335"/>
      <c r="W191" s="331"/>
      <c r="X191" s="331"/>
      <c r="Y191" s="331"/>
      <c r="Z191" s="331"/>
      <c r="AA191" s="331"/>
      <c r="AB191" s="336"/>
      <c r="AC191" s="331"/>
      <c r="AD191" s="331"/>
      <c r="AE191" s="331"/>
      <c r="AF191" s="331"/>
      <c r="AG191" s="331"/>
      <c r="AH191" s="331"/>
      <c r="AI191" s="331"/>
      <c r="AJ191" s="331"/>
      <c r="AK191" s="331"/>
      <c r="AL191" s="331"/>
      <c r="AM191" s="331"/>
      <c r="AN191" s="331"/>
      <c r="AO191" s="331"/>
      <c r="AP191" s="331"/>
      <c r="AQ191" s="331"/>
      <c r="AR191" s="331"/>
      <c r="AS191" s="331"/>
      <c r="AT191" s="331"/>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row>
    <row r="192" spans="3:89" ht="18.75" x14ac:dyDescent="0.2">
      <c r="C192" s="334"/>
      <c r="D192" s="338">
        <v>449</v>
      </c>
      <c r="E192" s="336"/>
      <c r="F192" s="331"/>
      <c r="G192" s="331"/>
      <c r="H192" s="331"/>
      <c r="I192" s="331"/>
      <c r="J192" s="331"/>
      <c r="K192" s="331"/>
      <c r="L192" s="331"/>
      <c r="M192" s="331"/>
      <c r="N192" s="331"/>
      <c r="O192" s="331"/>
      <c r="P192" s="331"/>
      <c r="Q192" s="331"/>
      <c r="R192" s="331"/>
      <c r="S192" s="331"/>
      <c r="T192" s="331"/>
      <c r="U192" s="335"/>
      <c r="V192" s="335"/>
      <c r="W192" s="331"/>
      <c r="X192" s="331"/>
      <c r="Y192" s="331"/>
      <c r="Z192" s="331"/>
      <c r="AA192" s="331"/>
      <c r="AB192" s="336"/>
      <c r="AC192" s="331"/>
      <c r="AD192" s="331"/>
      <c r="AE192" s="331"/>
      <c r="AF192" s="331"/>
      <c r="AG192" s="331"/>
      <c r="AH192" s="331"/>
      <c r="AI192" s="331"/>
      <c r="AJ192" s="331"/>
      <c r="AK192" s="331"/>
      <c r="AL192" s="331"/>
      <c r="AM192" s="331"/>
      <c r="AN192" s="331"/>
      <c r="AO192" s="331"/>
      <c r="AP192" s="331"/>
      <c r="AQ192" s="331"/>
      <c r="AR192" s="331"/>
      <c r="AS192" s="331"/>
      <c r="AT192" s="331"/>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row>
    <row r="193" spans="3:89" ht="18.75" x14ac:dyDescent="0.2">
      <c r="C193" s="334"/>
      <c r="D193" s="338">
        <v>450</v>
      </c>
      <c r="E193" s="336"/>
      <c r="F193" s="331"/>
      <c r="G193" s="331"/>
      <c r="H193" s="331"/>
      <c r="I193" s="331"/>
      <c r="J193" s="331"/>
      <c r="K193" s="331"/>
      <c r="L193" s="331"/>
      <c r="M193" s="331"/>
      <c r="N193" s="331"/>
      <c r="O193" s="331"/>
      <c r="P193" s="331"/>
      <c r="Q193" s="331"/>
      <c r="R193" s="331"/>
      <c r="S193" s="331"/>
      <c r="T193" s="331"/>
      <c r="U193" s="335"/>
      <c r="V193" s="335"/>
      <c r="W193" s="331"/>
      <c r="X193" s="331"/>
      <c r="Y193" s="331"/>
      <c r="Z193" s="331"/>
      <c r="AA193" s="331"/>
      <c r="AB193" s="336"/>
      <c r="AC193" s="331"/>
      <c r="AD193" s="331"/>
      <c r="AE193" s="331"/>
      <c r="AF193" s="331"/>
      <c r="AG193" s="331"/>
      <c r="AH193" s="331"/>
      <c r="AI193" s="331"/>
      <c r="AJ193" s="331"/>
      <c r="AK193" s="331"/>
      <c r="AL193" s="331"/>
      <c r="AM193" s="331"/>
      <c r="AN193" s="331"/>
      <c r="AO193" s="331"/>
      <c r="AP193" s="331"/>
      <c r="AQ193" s="331"/>
      <c r="AR193" s="331"/>
      <c r="AS193" s="331"/>
      <c r="AT193" s="331"/>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row>
    <row r="194" spans="3:89" ht="18.75" x14ac:dyDescent="0.2">
      <c r="C194" s="334"/>
      <c r="D194" s="338">
        <v>468</v>
      </c>
      <c r="E194" s="336"/>
      <c r="F194" s="331"/>
      <c r="G194" s="331"/>
      <c r="H194" s="331"/>
      <c r="I194" s="331"/>
      <c r="J194" s="331"/>
      <c r="K194" s="331"/>
      <c r="L194" s="331"/>
      <c r="M194" s="331"/>
      <c r="N194" s="331"/>
      <c r="O194" s="331"/>
      <c r="P194" s="331"/>
      <c r="Q194" s="331"/>
      <c r="R194" s="331"/>
      <c r="S194" s="331"/>
      <c r="T194" s="331"/>
      <c r="U194" s="335"/>
      <c r="V194" s="335"/>
      <c r="W194" s="331"/>
      <c r="X194" s="331"/>
      <c r="Y194" s="331"/>
      <c r="Z194" s="331"/>
      <c r="AA194" s="331"/>
      <c r="AB194" s="336"/>
      <c r="AC194" s="331"/>
      <c r="AD194" s="331"/>
      <c r="AE194" s="331"/>
      <c r="AF194" s="331"/>
      <c r="AG194" s="331"/>
      <c r="AH194" s="331"/>
      <c r="AI194" s="331"/>
      <c r="AJ194" s="331"/>
      <c r="AK194" s="331"/>
      <c r="AL194" s="331"/>
      <c r="AM194" s="331"/>
      <c r="AN194" s="331"/>
      <c r="AO194" s="331"/>
      <c r="AP194" s="331"/>
      <c r="AQ194" s="331"/>
      <c r="AR194" s="331"/>
      <c r="AS194" s="331"/>
      <c r="AT194" s="331"/>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row>
    <row r="195" spans="3:89" ht="18.75" x14ac:dyDescent="0.2">
      <c r="C195" s="334"/>
      <c r="D195" s="338">
        <v>486</v>
      </c>
      <c r="E195" s="336"/>
      <c r="F195" s="331"/>
      <c r="G195" s="331"/>
      <c r="H195" s="331"/>
      <c r="I195" s="331"/>
      <c r="J195" s="331"/>
      <c r="K195" s="331"/>
      <c r="L195" s="331"/>
      <c r="M195" s="331"/>
      <c r="N195" s="331"/>
      <c r="O195" s="331"/>
      <c r="P195" s="331"/>
      <c r="Q195" s="331"/>
      <c r="R195" s="331"/>
      <c r="S195" s="331"/>
      <c r="T195" s="331"/>
      <c r="U195" s="335"/>
      <c r="V195" s="335"/>
      <c r="W195" s="331"/>
      <c r="X195" s="331"/>
      <c r="Y195" s="331"/>
      <c r="Z195" s="331"/>
      <c r="AA195" s="331"/>
      <c r="AB195" s="336"/>
      <c r="AC195" s="331"/>
      <c r="AD195" s="331"/>
      <c r="AE195" s="331"/>
      <c r="AF195" s="331"/>
      <c r="AG195" s="331"/>
      <c r="AH195" s="331"/>
      <c r="AI195" s="331"/>
      <c r="AJ195" s="331"/>
      <c r="AK195" s="331"/>
      <c r="AL195" s="331"/>
      <c r="AM195" s="331"/>
      <c r="AN195" s="331"/>
      <c r="AO195" s="331"/>
      <c r="AP195" s="331"/>
      <c r="AQ195" s="331"/>
      <c r="AR195" s="331"/>
      <c r="AS195" s="331"/>
      <c r="AT195" s="331"/>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row>
    <row r="196" spans="3:89" ht="18.75" x14ac:dyDescent="0.2">
      <c r="C196" s="334"/>
      <c r="D196" s="338">
        <v>497</v>
      </c>
      <c r="E196" s="336"/>
      <c r="F196" s="331"/>
      <c r="G196" s="331"/>
      <c r="H196" s="331"/>
      <c r="I196" s="331"/>
      <c r="J196" s="331"/>
      <c r="K196" s="331"/>
      <c r="L196" s="331"/>
      <c r="M196" s="331"/>
      <c r="N196" s="331"/>
      <c r="O196" s="331"/>
      <c r="P196" s="331"/>
      <c r="Q196" s="331"/>
      <c r="R196" s="331"/>
      <c r="S196" s="331"/>
      <c r="T196" s="331"/>
      <c r="U196" s="335"/>
      <c r="V196" s="335"/>
      <c r="W196" s="331"/>
      <c r="X196" s="331"/>
      <c r="Y196" s="331"/>
      <c r="Z196" s="331"/>
      <c r="AA196" s="331"/>
      <c r="AB196" s="336"/>
      <c r="AC196" s="331"/>
      <c r="AD196" s="331"/>
      <c r="AE196" s="331"/>
      <c r="AF196" s="331"/>
      <c r="AG196" s="331"/>
      <c r="AH196" s="331"/>
      <c r="AI196" s="331"/>
      <c r="AJ196" s="331"/>
      <c r="AK196" s="331"/>
      <c r="AL196" s="331"/>
      <c r="AM196" s="331"/>
      <c r="AN196" s="331"/>
      <c r="AO196" s="331"/>
      <c r="AP196" s="331"/>
      <c r="AQ196" s="331"/>
      <c r="AR196" s="331"/>
      <c r="AS196" s="331"/>
      <c r="AT196" s="331"/>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row>
    <row r="197" spans="3:89" ht="18.75" x14ac:dyDescent="0.2">
      <c r="C197" s="334"/>
      <c r="D197" s="338">
        <v>574</v>
      </c>
      <c r="E197" s="336"/>
      <c r="F197" s="331"/>
      <c r="G197" s="331"/>
      <c r="H197" s="331"/>
      <c r="I197" s="331"/>
      <c r="J197" s="331"/>
      <c r="K197" s="331"/>
      <c r="L197" s="331"/>
      <c r="M197" s="331"/>
      <c r="N197" s="331"/>
      <c r="O197" s="331"/>
      <c r="P197" s="331"/>
      <c r="Q197" s="331"/>
      <c r="R197" s="331"/>
      <c r="S197" s="331"/>
      <c r="T197" s="331"/>
      <c r="U197" s="335"/>
      <c r="V197" s="335"/>
      <c r="W197" s="331"/>
      <c r="X197" s="331"/>
      <c r="Y197" s="331"/>
      <c r="Z197" s="331"/>
      <c r="AA197" s="331"/>
      <c r="AB197" s="336"/>
      <c r="AC197" s="331"/>
      <c r="AD197" s="331"/>
      <c r="AE197" s="331"/>
      <c r="AF197" s="331"/>
      <c r="AG197" s="331"/>
      <c r="AH197" s="331"/>
      <c r="AI197" s="331"/>
      <c r="AJ197" s="331"/>
      <c r="AK197" s="331"/>
      <c r="AL197" s="331"/>
      <c r="AM197" s="331"/>
      <c r="AN197" s="331"/>
      <c r="AO197" s="331"/>
      <c r="AP197" s="331"/>
      <c r="AQ197" s="331"/>
      <c r="AR197" s="331"/>
      <c r="AS197" s="331"/>
      <c r="AT197" s="331"/>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row>
    <row r="198" spans="3:89" ht="18.75" x14ac:dyDescent="0.2">
      <c r="C198" s="334"/>
      <c r="D198" s="338">
        <v>611</v>
      </c>
      <c r="E198" s="336"/>
      <c r="F198" s="331"/>
      <c r="G198" s="331"/>
      <c r="H198" s="331"/>
      <c r="I198" s="331"/>
      <c r="J198" s="331"/>
      <c r="K198" s="331"/>
      <c r="L198" s="331"/>
      <c r="M198" s="331"/>
      <c r="N198" s="331"/>
      <c r="O198" s="331"/>
      <c r="P198" s="331"/>
      <c r="Q198" s="331"/>
      <c r="R198" s="331"/>
      <c r="S198" s="331"/>
      <c r="T198" s="331"/>
      <c r="U198" s="335"/>
      <c r="V198" s="335"/>
      <c r="W198" s="331"/>
      <c r="X198" s="331"/>
      <c r="Y198" s="331"/>
      <c r="Z198" s="331"/>
      <c r="AA198" s="331"/>
      <c r="AB198" s="336"/>
      <c r="AC198" s="331"/>
      <c r="AD198" s="331"/>
      <c r="AE198" s="331"/>
      <c r="AF198" s="331"/>
      <c r="AG198" s="331"/>
      <c r="AH198" s="331"/>
      <c r="AI198" s="331"/>
      <c r="AJ198" s="331"/>
      <c r="AK198" s="331"/>
      <c r="AL198" s="331"/>
      <c r="AM198" s="331"/>
      <c r="AN198" s="331"/>
      <c r="AO198" s="331"/>
      <c r="AP198" s="331"/>
      <c r="AQ198" s="331"/>
      <c r="AR198" s="331"/>
      <c r="AS198" s="331"/>
      <c r="AT198" s="331"/>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row>
    <row r="199" spans="3:89" ht="18.75" x14ac:dyDescent="0.2">
      <c r="C199" s="334"/>
      <c r="D199" s="338">
        <v>612</v>
      </c>
      <c r="E199" s="336"/>
      <c r="F199" s="331"/>
      <c r="G199" s="331"/>
      <c r="H199" s="331"/>
      <c r="I199" s="331"/>
      <c r="J199" s="331"/>
      <c r="K199" s="331"/>
      <c r="L199" s="331"/>
      <c r="M199" s="331"/>
      <c r="N199" s="331"/>
      <c r="O199" s="331"/>
      <c r="P199" s="331"/>
      <c r="Q199" s="331"/>
      <c r="R199" s="331"/>
      <c r="S199" s="331"/>
      <c r="T199" s="331"/>
      <c r="U199" s="335"/>
      <c r="V199" s="335"/>
      <c r="W199" s="331"/>
      <c r="X199" s="331"/>
      <c r="Y199" s="331"/>
      <c r="Z199" s="331"/>
      <c r="AA199" s="331"/>
      <c r="AB199" s="336"/>
      <c r="AC199" s="331"/>
      <c r="AD199" s="331"/>
      <c r="AE199" s="331"/>
      <c r="AF199" s="331"/>
      <c r="AG199" s="331"/>
      <c r="AH199" s="331"/>
      <c r="AI199" s="331"/>
      <c r="AJ199" s="331"/>
      <c r="AK199" s="331"/>
      <c r="AL199" s="331"/>
      <c r="AM199" s="331"/>
      <c r="AN199" s="331"/>
      <c r="AO199" s="331"/>
      <c r="AP199" s="331"/>
      <c r="AQ199" s="331"/>
      <c r="AR199" s="331"/>
      <c r="AS199" s="331"/>
      <c r="AT199" s="331"/>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row>
    <row r="200" spans="3:89" ht="18.75" x14ac:dyDescent="0.2">
      <c r="C200" s="334"/>
      <c r="D200" s="338">
        <v>613</v>
      </c>
      <c r="E200" s="336"/>
      <c r="F200" s="331"/>
      <c r="G200" s="331"/>
      <c r="H200" s="331"/>
      <c r="I200" s="331"/>
      <c r="J200" s="331"/>
      <c r="K200" s="331"/>
      <c r="L200" s="331"/>
      <c r="M200" s="331"/>
      <c r="N200" s="331"/>
      <c r="O200" s="331"/>
      <c r="P200" s="331"/>
      <c r="Q200" s="331"/>
      <c r="R200" s="331"/>
      <c r="S200" s="331"/>
      <c r="T200" s="331"/>
      <c r="U200" s="335"/>
      <c r="V200" s="335"/>
      <c r="W200" s="331"/>
      <c r="X200" s="331"/>
      <c r="Y200" s="331"/>
      <c r="Z200" s="331"/>
      <c r="AA200" s="331"/>
      <c r="AB200" s="336"/>
      <c r="AC200" s="331"/>
      <c r="AD200" s="331"/>
      <c r="AE200" s="331"/>
      <c r="AF200" s="331"/>
      <c r="AG200" s="331"/>
      <c r="AH200" s="331"/>
      <c r="AI200" s="331"/>
      <c r="AJ200" s="331"/>
      <c r="AK200" s="331"/>
      <c r="AL200" s="331"/>
      <c r="AM200" s="331"/>
      <c r="AN200" s="331"/>
      <c r="AO200" s="331"/>
      <c r="AP200" s="331"/>
      <c r="AQ200" s="331"/>
      <c r="AR200" s="331"/>
      <c r="AS200" s="331"/>
      <c r="AT200" s="331"/>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row>
    <row r="201" spans="3:89" ht="18.75" x14ac:dyDescent="0.2">
      <c r="C201" s="334"/>
      <c r="D201" s="338">
        <v>614</v>
      </c>
      <c r="E201" s="336"/>
      <c r="F201" s="331"/>
      <c r="G201" s="331"/>
      <c r="H201" s="331"/>
      <c r="I201" s="331"/>
      <c r="J201" s="331"/>
      <c r="K201" s="331"/>
      <c r="L201" s="331"/>
      <c r="M201" s="331"/>
      <c r="N201" s="331"/>
      <c r="O201" s="331"/>
      <c r="P201" s="331"/>
      <c r="Q201" s="331"/>
      <c r="R201" s="331"/>
      <c r="S201" s="331"/>
      <c r="T201" s="331"/>
      <c r="U201" s="335"/>
      <c r="V201" s="335"/>
      <c r="W201" s="331"/>
      <c r="X201" s="331"/>
      <c r="Y201" s="331"/>
      <c r="Z201" s="331"/>
      <c r="AA201" s="331"/>
      <c r="AB201" s="336"/>
      <c r="AC201" s="331"/>
      <c r="AD201" s="331"/>
      <c r="AE201" s="331"/>
      <c r="AF201" s="331"/>
      <c r="AG201" s="331"/>
      <c r="AH201" s="331"/>
      <c r="AI201" s="331"/>
      <c r="AJ201" s="331"/>
      <c r="AK201" s="331"/>
      <c r="AL201" s="331"/>
      <c r="AM201" s="331"/>
      <c r="AN201" s="331"/>
      <c r="AO201" s="331"/>
      <c r="AP201" s="331"/>
      <c r="AQ201" s="331"/>
      <c r="AR201" s="331"/>
      <c r="AS201" s="331"/>
      <c r="AT201" s="331"/>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row>
    <row r="202" spans="3:89" ht="18.75" x14ac:dyDescent="0.2">
      <c r="C202" s="334"/>
      <c r="D202" s="338">
        <v>615</v>
      </c>
      <c r="E202" s="336"/>
      <c r="F202" s="331"/>
      <c r="G202" s="331"/>
      <c r="H202" s="331"/>
      <c r="I202" s="331"/>
      <c r="J202" s="331"/>
      <c r="K202" s="331"/>
      <c r="L202" s="331"/>
      <c r="M202" s="331"/>
      <c r="N202" s="331"/>
      <c r="O202" s="331"/>
      <c r="P202" s="331"/>
      <c r="Q202" s="331"/>
      <c r="R202" s="331"/>
      <c r="S202" s="331"/>
      <c r="T202" s="331"/>
      <c r="U202" s="335"/>
      <c r="V202" s="335"/>
      <c r="W202" s="331"/>
      <c r="X202" s="331"/>
      <c r="Y202" s="331"/>
      <c r="Z202" s="331"/>
      <c r="AA202" s="331"/>
      <c r="AB202" s="336"/>
      <c r="AC202" s="331"/>
      <c r="AD202" s="331"/>
      <c r="AE202" s="331"/>
      <c r="AF202" s="331"/>
      <c r="AG202" s="331"/>
      <c r="AH202" s="331"/>
      <c r="AI202" s="331"/>
      <c r="AJ202" s="331"/>
      <c r="AK202" s="331"/>
      <c r="AL202" s="331"/>
      <c r="AM202" s="331"/>
      <c r="AN202" s="331"/>
      <c r="AO202" s="331"/>
      <c r="AP202" s="331"/>
      <c r="AQ202" s="331"/>
      <c r="AR202" s="331"/>
      <c r="AS202" s="331"/>
      <c r="AT202" s="331"/>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row>
    <row r="203" spans="3:89" ht="18.75" x14ac:dyDescent="0.2">
      <c r="C203" s="334"/>
      <c r="D203" s="338">
        <v>616</v>
      </c>
      <c r="E203" s="336"/>
      <c r="F203" s="331"/>
      <c r="G203" s="331"/>
      <c r="H203" s="331"/>
      <c r="I203" s="331"/>
      <c r="J203" s="331"/>
      <c r="K203" s="331"/>
      <c r="L203" s="331"/>
      <c r="M203" s="331"/>
      <c r="N203" s="331"/>
      <c r="O203" s="331"/>
      <c r="P203" s="331"/>
      <c r="Q203" s="331"/>
      <c r="R203" s="331"/>
      <c r="S203" s="331"/>
      <c r="T203" s="331"/>
      <c r="U203" s="335"/>
      <c r="V203" s="335"/>
      <c r="W203" s="331"/>
      <c r="X203" s="331"/>
      <c r="Y203" s="331"/>
      <c r="Z203" s="331"/>
      <c r="AA203" s="331"/>
      <c r="AB203" s="336"/>
      <c r="AC203" s="331"/>
      <c r="AD203" s="331"/>
      <c r="AE203" s="331"/>
      <c r="AF203" s="331"/>
      <c r="AG203" s="331"/>
      <c r="AH203" s="331"/>
      <c r="AI203" s="331"/>
      <c r="AJ203" s="331"/>
      <c r="AK203" s="331"/>
      <c r="AL203" s="331"/>
      <c r="AM203" s="331"/>
      <c r="AN203" s="331"/>
      <c r="AO203" s="331"/>
      <c r="AP203" s="331"/>
      <c r="AQ203" s="331"/>
      <c r="AR203" s="331"/>
      <c r="AS203" s="331"/>
      <c r="AT203" s="331"/>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row>
    <row r="204" spans="3:89" ht="18.75" x14ac:dyDescent="0.2">
      <c r="C204" s="334"/>
      <c r="D204" s="338">
        <v>617</v>
      </c>
      <c r="E204" s="336"/>
      <c r="F204" s="331"/>
      <c r="G204" s="331"/>
      <c r="H204" s="331"/>
      <c r="I204" s="331"/>
      <c r="J204" s="331"/>
      <c r="K204" s="331"/>
      <c r="L204" s="331"/>
      <c r="M204" s="331"/>
      <c r="N204" s="331"/>
      <c r="O204" s="331"/>
      <c r="P204" s="331"/>
      <c r="Q204" s="331"/>
      <c r="R204" s="331"/>
      <c r="S204" s="331"/>
      <c r="T204" s="331"/>
      <c r="U204" s="335"/>
      <c r="V204" s="335"/>
      <c r="W204" s="331"/>
      <c r="X204" s="331"/>
      <c r="Y204" s="331"/>
      <c r="Z204" s="331"/>
      <c r="AA204" s="331"/>
      <c r="AB204" s="336"/>
      <c r="AC204" s="331"/>
      <c r="AD204" s="331"/>
      <c r="AE204" s="331"/>
      <c r="AF204" s="331"/>
      <c r="AG204" s="331"/>
      <c r="AH204" s="331"/>
      <c r="AI204" s="331"/>
      <c r="AJ204" s="331"/>
      <c r="AK204" s="331"/>
      <c r="AL204" s="331"/>
      <c r="AM204" s="331"/>
      <c r="AN204" s="331"/>
      <c r="AO204" s="331"/>
      <c r="AP204" s="331"/>
      <c r="AQ204" s="331"/>
      <c r="AR204" s="331"/>
      <c r="AS204" s="331"/>
      <c r="AT204" s="331"/>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row>
    <row r="205" spans="3:89" ht="18.75" x14ac:dyDescent="0.2">
      <c r="C205" s="334"/>
      <c r="D205" s="338">
        <v>618</v>
      </c>
      <c r="E205" s="336"/>
      <c r="F205" s="331"/>
      <c r="G205" s="331"/>
      <c r="H205" s="331"/>
      <c r="I205" s="331"/>
      <c r="J205" s="331"/>
      <c r="K205" s="331"/>
      <c r="L205" s="331"/>
      <c r="M205" s="331"/>
      <c r="N205" s="331"/>
      <c r="O205" s="331"/>
      <c r="P205" s="331"/>
      <c r="Q205" s="331"/>
      <c r="R205" s="331"/>
      <c r="S205" s="331"/>
      <c r="T205" s="331"/>
      <c r="U205" s="335"/>
      <c r="V205" s="335"/>
      <c r="W205" s="331"/>
      <c r="X205" s="331"/>
      <c r="Y205" s="331"/>
      <c r="Z205" s="331"/>
      <c r="AA205" s="331"/>
      <c r="AB205" s="332"/>
      <c r="AC205" s="331"/>
      <c r="AD205" s="331"/>
      <c r="AE205" s="331"/>
      <c r="AF205" s="331"/>
      <c r="AG205" s="331"/>
      <c r="AH205" s="331"/>
      <c r="AI205" s="331"/>
      <c r="AJ205" s="331"/>
      <c r="AK205" s="331"/>
      <c r="AL205" s="331"/>
      <c r="AM205" s="331"/>
      <c r="AN205" s="331"/>
      <c r="AO205" s="331"/>
      <c r="AP205" s="331"/>
      <c r="AQ205" s="331"/>
      <c r="AR205" s="331"/>
      <c r="AS205" s="331"/>
      <c r="AT205" s="331"/>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row>
    <row r="206" spans="3:89" ht="18.75" x14ac:dyDescent="0.2">
      <c r="C206" s="334"/>
      <c r="D206" s="338">
        <v>619</v>
      </c>
      <c r="E206" s="336"/>
      <c r="F206" s="331"/>
      <c r="G206" s="331"/>
      <c r="H206" s="331"/>
      <c r="I206" s="331"/>
      <c r="J206" s="331"/>
      <c r="K206" s="331"/>
      <c r="L206" s="331"/>
      <c r="M206" s="331"/>
      <c r="N206" s="331"/>
      <c r="O206" s="331"/>
      <c r="P206" s="331"/>
      <c r="Q206" s="331"/>
      <c r="R206" s="331"/>
      <c r="S206" s="331"/>
      <c r="T206" s="331"/>
      <c r="U206" s="335"/>
      <c r="V206" s="335"/>
      <c r="W206" s="331"/>
      <c r="X206" s="331"/>
      <c r="Y206" s="331"/>
      <c r="Z206" s="331"/>
      <c r="AA206" s="331"/>
      <c r="AB206" s="336"/>
      <c r="AC206" s="331"/>
      <c r="AD206" s="331"/>
      <c r="AE206" s="331"/>
      <c r="AF206" s="331"/>
      <c r="AG206" s="331"/>
      <c r="AH206" s="331"/>
      <c r="AI206" s="331"/>
      <c r="AJ206" s="331"/>
      <c r="AK206" s="331"/>
      <c r="AL206" s="331"/>
      <c r="AM206" s="331"/>
      <c r="AN206" s="331"/>
      <c r="AO206" s="331"/>
      <c r="AP206" s="331"/>
      <c r="AQ206" s="331"/>
      <c r="AR206" s="331"/>
      <c r="AS206" s="331"/>
      <c r="AT206" s="331"/>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row>
    <row r="207" spans="3:89" ht="18.75" x14ac:dyDescent="0.2">
      <c r="C207" s="334"/>
      <c r="D207" s="338">
        <v>620</v>
      </c>
      <c r="E207" s="336"/>
      <c r="F207" s="331"/>
      <c r="G207" s="331"/>
      <c r="H207" s="331"/>
      <c r="I207" s="331"/>
      <c r="J207" s="331"/>
      <c r="K207" s="331"/>
      <c r="L207" s="331"/>
      <c r="M207" s="331"/>
      <c r="N207" s="331"/>
      <c r="O207" s="331"/>
      <c r="P207" s="331"/>
      <c r="Q207" s="331"/>
      <c r="R207" s="331"/>
      <c r="S207" s="331"/>
      <c r="T207" s="331"/>
      <c r="U207" s="335"/>
      <c r="V207" s="335"/>
      <c r="W207" s="331"/>
      <c r="X207" s="331"/>
      <c r="Y207" s="331"/>
      <c r="Z207" s="331"/>
      <c r="AA207" s="331"/>
      <c r="AB207" s="336"/>
      <c r="AC207" s="331"/>
      <c r="AD207" s="331"/>
      <c r="AE207" s="331"/>
      <c r="AF207" s="331"/>
      <c r="AG207" s="331"/>
      <c r="AH207" s="331"/>
      <c r="AI207" s="331"/>
      <c r="AJ207" s="331"/>
      <c r="AK207" s="331"/>
      <c r="AL207" s="331"/>
      <c r="AM207" s="331"/>
      <c r="AN207" s="331"/>
      <c r="AO207" s="331"/>
      <c r="AP207" s="331"/>
      <c r="AQ207" s="331"/>
      <c r="AR207" s="331"/>
      <c r="AS207" s="331"/>
      <c r="AT207" s="331"/>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row>
    <row r="208" spans="3:89" ht="18.75" x14ac:dyDescent="0.2">
      <c r="C208" s="334"/>
      <c r="D208" s="338">
        <v>621</v>
      </c>
      <c r="E208" s="336"/>
      <c r="F208" s="331"/>
      <c r="G208" s="331"/>
      <c r="H208" s="331"/>
      <c r="I208" s="331"/>
      <c r="J208" s="331"/>
      <c r="K208" s="331"/>
      <c r="L208" s="331"/>
      <c r="M208" s="331"/>
      <c r="N208" s="331"/>
      <c r="O208" s="331"/>
      <c r="P208" s="331"/>
      <c r="Q208" s="331"/>
      <c r="R208" s="331"/>
      <c r="S208" s="331"/>
      <c r="T208" s="331"/>
      <c r="U208" s="335"/>
      <c r="V208" s="335"/>
      <c r="W208" s="331"/>
      <c r="X208" s="331"/>
      <c r="Y208" s="331"/>
      <c r="Z208" s="331"/>
      <c r="AA208" s="331"/>
      <c r="AB208" s="336"/>
      <c r="AC208" s="331"/>
      <c r="AD208" s="331"/>
      <c r="AE208" s="331"/>
      <c r="AF208" s="331"/>
      <c r="AG208" s="331"/>
      <c r="AH208" s="331"/>
      <c r="AI208" s="331"/>
      <c r="AJ208" s="331"/>
      <c r="AK208" s="331"/>
      <c r="AL208" s="331"/>
      <c r="AM208" s="331"/>
      <c r="AN208" s="331"/>
      <c r="AO208" s="331"/>
      <c r="AP208" s="331"/>
      <c r="AQ208" s="331"/>
      <c r="AR208" s="331"/>
      <c r="AS208" s="331"/>
      <c r="AT208" s="331"/>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row>
    <row r="209" spans="3:89" ht="18.75" x14ac:dyDescent="0.2">
      <c r="C209" s="334"/>
      <c r="D209" s="338">
        <v>622</v>
      </c>
      <c r="E209" s="336"/>
      <c r="F209" s="331"/>
      <c r="G209" s="331"/>
      <c r="H209" s="331"/>
      <c r="I209" s="331"/>
      <c r="J209" s="331"/>
      <c r="K209" s="331"/>
      <c r="L209" s="331"/>
      <c r="M209" s="331"/>
      <c r="N209" s="331"/>
      <c r="O209" s="331"/>
      <c r="P209" s="331"/>
      <c r="Q209" s="331"/>
      <c r="R209" s="331"/>
      <c r="S209" s="331"/>
      <c r="T209" s="331"/>
      <c r="U209" s="335"/>
      <c r="V209" s="335"/>
      <c r="W209" s="331"/>
      <c r="X209" s="331"/>
      <c r="Y209" s="331"/>
      <c r="Z209" s="331"/>
      <c r="AA209" s="331"/>
      <c r="AB209" s="336"/>
      <c r="AC209" s="331"/>
      <c r="AD209" s="331"/>
      <c r="AE209" s="331"/>
      <c r="AF209" s="331"/>
      <c r="AG209" s="331"/>
      <c r="AH209" s="331"/>
      <c r="AI209" s="331"/>
      <c r="AJ209" s="331"/>
      <c r="AK209" s="331"/>
      <c r="AL209" s="331"/>
      <c r="AM209" s="331"/>
      <c r="AN209" s="331"/>
      <c r="AO209" s="331"/>
      <c r="AP209" s="331"/>
      <c r="AQ209" s="331"/>
      <c r="AR209" s="331"/>
      <c r="AS209" s="331"/>
      <c r="AT209" s="331"/>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row>
    <row r="210" spans="3:89" ht="18.75" x14ac:dyDescent="0.2">
      <c r="C210" s="334"/>
      <c r="D210" s="338">
        <v>623</v>
      </c>
      <c r="E210" s="336"/>
      <c r="F210" s="331"/>
      <c r="G210" s="331"/>
      <c r="H210" s="331"/>
      <c r="I210" s="331"/>
      <c r="J210" s="331"/>
      <c r="K210" s="331"/>
      <c r="L210" s="331"/>
      <c r="M210" s="331"/>
      <c r="N210" s="331"/>
      <c r="O210" s="331"/>
      <c r="P210" s="331"/>
      <c r="Q210" s="331"/>
      <c r="R210" s="331"/>
      <c r="S210" s="331"/>
      <c r="T210" s="331"/>
      <c r="U210" s="331"/>
      <c r="V210" s="331"/>
      <c r="W210" s="331"/>
      <c r="X210" s="331"/>
      <c r="Y210" s="331"/>
      <c r="Z210" s="331"/>
      <c r="AA210" s="331"/>
      <c r="AB210" s="336"/>
      <c r="AC210" s="331"/>
      <c r="AD210" s="331"/>
      <c r="AE210" s="331"/>
      <c r="AF210" s="331"/>
      <c r="AG210" s="331"/>
      <c r="AH210" s="331"/>
      <c r="AI210" s="331"/>
      <c r="AJ210" s="331"/>
      <c r="AK210" s="331"/>
      <c r="AL210" s="331"/>
      <c r="AM210" s="331"/>
      <c r="AN210" s="331"/>
      <c r="AO210" s="331"/>
      <c r="AP210" s="331"/>
      <c r="AQ210" s="331"/>
      <c r="AR210" s="331"/>
      <c r="AS210" s="331"/>
      <c r="AT210" s="331"/>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row>
    <row r="211" spans="3:89" ht="18.75" x14ac:dyDescent="0.2">
      <c r="C211" s="334"/>
      <c r="D211" s="338">
        <v>650</v>
      </c>
      <c r="E211" s="336"/>
      <c r="F211" s="331"/>
      <c r="G211" s="331"/>
      <c r="H211" s="331"/>
      <c r="I211" s="331"/>
      <c r="J211" s="331"/>
      <c r="K211" s="331"/>
      <c r="L211" s="331"/>
      <c r="M211" s="331"/>
      <c r="N211" s="331"/>
      <c r="O211" s="331"/>
      <c r="P211" s="331"/>
      <c r="Q211" s="331"/>
      <c r="R211" s="331"/>
      <c r="S211" s="331"/>
      <c r="T211" s="331"/>
      <c r="U211" s="331"/>
      <c r="V211" s="331"/>
      <c r="W211" s="331"/>
      <c r="X211" s="331"/>
      <c r="Y211" s="331"/>
      <c r="Z211" s="331"/>
      <c r="AA211" s="331"/>
      <c r="AB211" s="332"/>
      <c r="AC211" s="331"/>
      <c r="AD211" s="331"/>
      <c r="AE211" s="331"/>
      <c r="AF211" s="331"/>
      <c r="AG211" s="331"/>
      <c r="AH211" s="331"/>
      <c r="AI211" s="331"/>
      <c r="AJ211" s="331"/>
      <c r="AK211" s="331"/>
      <c r="AL211" s="331"/>
      <c r="AM211" s="331"/>
      <c r="AN211" s="331"/>
      <c r="AO211" s="331"/>
      <c r="AP211" s="331"/>
      <c r="AQ211" s="331"/>
      <c r="AR211" s="331"/>
      <c r="AS211" s="331"/>
      <c r="AT211" s="331"/>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row>
    <row r="212" spans="3:89" ht="18.75" x14ac:dyDescent="0.2">
      <c r="C212" s="334"/>
      <c r="D212" s="338">
        <v>651</v>
      </c>
      <c r="E212" s="336"/>
      <c r="F212" s="331"/>
      <c r="G212" s="331"/>
      <c r="H212" s="331"/>
      <c r="I212" s="331"/>
      <c r="J212" s="331"/>
      <c r="K212" s="331"/>
      <c r="L212" s="331"/>
      <c r="M212" s="331"/>
      <c r="N212" s="331"/>
      <c r="O212" s="331"/>
      <c r="P212" s="331"/>
      <c r="Q212" s="331"/>
      <c r="R212" s="331"/>
      <c r="S212" s="331"/>
      <c r="T212" s="331"/>
      <c r="U212" s="331"/>
      <c r="V212" s="331"/>
      <c r="W212" s="331"/>
      <c r="X212" s="331"/>
      <c r="Y212" s="331"/>
      <c r="Z212" s="331"/>
      <c r="AA212" s="331"/>
      <c r="AB212" s="336"/>
      <c r="AC212" s="331"/>
      <c r="AD212" s="331"/>
      <c r="AE212" s="331"/>
      <c r="AF212" s="331"/>
      <c r="AG212" s="331"/>
      <c r="AH212" s="331"/>
      <c r="AI212" s="331"/>
      <c r="AJ212" s="331"/>
      <c r="AK212" s="331"/>
      <c r="AL212" s="331"/>
      <c r="AM212" s="331"/>
      <c r="AN212" s="331"/>
      <c r="AO212" s="331"/>
      <c r="AP212" s="331"/>
      <c r="AQ212" s="331"/>
      <c r="AR212" s="331"/>
      <c r="AS212" s="331"/>
      <c r="AT212" s="331"/>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row>
    <row r="213" spans="3:89" ht="18.75" x14ac:dyDescent="0.2">
      <c r="C213" s="334"/>
      <c r="D213" s="338">
        <v>652</v>
      </c>
      <c r="E213" s="336"/>
      <c r="F213" s="331"/>
      <c r="G213" s="331"/>
      <c r="H213" s="331"/>
      <c r="I213" s="331"/>
      <c r="J213" s="331"/>
      <c r="K213" s="331"/>
      <c r="L213" s="331"/>
      <c r="M213" s="331"/>
      <c r="N213" s="331"/>
      <c r="O213" s="331"/>
      <c r="P213" s="331"/>
      <c r="Q213" s="331"/>
      <c r="R213" s="331"/>
      <c r="S213" s="331"/>
      <c r="T213" s="331"/>
      <c r="U213" s="331"/>
      <c r="V213" s="331"/>
      <c r="W213" s="331"/>
      <c r="X213" s="331"/>
      <c r="Y213" s="331"/>
      <c r="Z213" s="331"/>
      <c r="AA213" s="331"/>
      <c r="AB213" s="336"/>
      <c r="AC213" s="331"/>
      <c r="AD213" s="331"/>
      <c r="AE213" s="331"/>
      <c r="AF213" s="331"/>
      <c r="AG213" s="331"/>
      <c r="AH213" s="331"/>
      <c r="AI213" s="331"/>
      <c r="AJ213" s="331"/>
      <c r="AK213" s="331"/>
      <c r="AL213" s="331"/>
      <c r="AM213" s="331"/>
      <c r="AN213" s="331"/>
      <c r="AO213" s="331"/>
      <c r="AP213" s="331"/>
      <c r="AQ213" s="331"/>
      <c r="AR213" s="331"/>
      <c r="AS213" s="331"/>
      <c r="AT213" s="331"/>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row>
    <row r="214" spans="3:89" ht="18.75" x14ac:dyDescent="0.2">
      <c r="C214" s="334"/>
      <c r="D214" s="338">
        <v>653</v>
      </c>
      <c r="E214" s="336"/>
      <c r="F214" s="331"/>
      <c r="G214" s="331"/>
      <c r="H214" s="331"/>
      <c r="I214" s="331"/>
      <c r="J214" s="331"/>
      <c r="K214" s="331"/>
      <c r="L214" s="331"/>
      <c r="M214" s="331"/>
      <c r="N214" s="331"/>
      <c r="O214" s="331"/>
      <c r="P214" s="331"/>
      <c r="Q214" s="331"/>
      <c r="R214" s="331"/>
      <c r="S214" s="331"/>
      <c r="T214" s="331"/>
      <c r="U214" s="331"/>
      <c r="V214" s="331"/>
      <c r="W214" s="331"/>
      <c r="X214" s="331"/>
      <c r="Y214" s="331"/>
      <c r="Z214" s="331"/>
      <c r="AA214" s="331"/>
      <c r="AB214" s="336"/>
      <c r="AC214" s="331"/>
      <c r="AD214" s="331"/>
      <c r="AE214" s="331"/>
      <c r="AF214" s="331"/>
      <c r="AG214" s="331"/>
      <c r="AH214" s="331"/>
      <c r="AI214" s="331"/>
      <c r="AJ214" s="331"/>
      <c r="AK214" s="331"/>
      <c r="AL214" s="331"/>
      <c r="AM214" s="331"/>
      <c r="AN214" s="331"/>
      <c r="AO214" s="331"/>
      <c r="AP214" s="331"/>
      <c r="AQ214" s="331"/>
      <c r="AR214" s="331"/>
      <c r="AS214" s="331"/>
      <c r="AT214" s="331"/>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row>
    <row r="215" spans="3:89" ht="18.75" x14ac:dyDescent="0.2">
      <c r="C215" s="334"/>
      <c r="D215" s="338">
        <v>654</v>
      </c>
      <c r="E215" s="336"/>
      <c r="F215" s="331"/>
      <c r="G215" s="331"/>
      <c r="H215" s="331"/>
      <c r="I215" s="331"/>
      <c r="J215" s="331"/>
      <c r="K215" s="331"/>
      <c r="L215" s="331"/>
      <c r="M215" s="331"/>
      <c r="N215" s="331"/>
      <c r="O215" s="331"/>
      <c r="P215" s="331"/>
      <c r="Q215" s="331"/>
      <c r="R215" s="331"/>
      <c r="S215" s="331"/>
      <c r="T215" s="331"/>
      <c r="U215" s="331"/>
      <c r="V215" s="331"/>
      <c r="W215" s="331"/>
      <c r="X215" s="331"/>
      <c r="Y215" s="331"/>
      <c r="Z215" s="331"/>
      <c r="AA215" s="331"/>
      <c r="AB215" s="332"/>
      <c r="AC215" s="331"/>
      <c r="AD215" s="331"/>
      <c r="AE215" s="331"/>
      <c r="AF215" s="331"/>
      <c r="AG215" s="331"/>
      <c r="AH215" s="331"/>
      <c r="AI215" s="331"/>
      <c r="AJ215" s="331"/>
      <c r="AK215" s="331"/>
      <c r="AL215" s="331"/>
      <c r="AM215" s="331"/>
      <c r="AN215" s="331"/>
      <c r="AO215" s="331"/>
      <c r="AP215" s="331"/>
      <c r="AQ215" s="331"/>
      <c r="AR215" s="331"/>
      <c r="AS215" s="331"/>
      <c r="AT215" s="331"/>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row>
    <row r="216" spans="3:89" ht="18.75" x14ac:dyDescent="0.2">
      <c r="C216" s="334"/>
      <c r="D216" s="338">
        <v>655</v>
      </c>
      <c r="E216" s="336"/>
      <c r="F216" s="331"/>
      <c r="G216" s="331"/>
      <c r="H216" s="331"/>
      <c r="I216" s="331"/>
      <c r="J216" s="331"/>
      <c r="K216" s="331"/>
      <c r="L216" s="331"/>
      <c r="M216" s="331"/>
      <c r="N216" s="331"/>
      <c r="O216" s="331"/>
      <c r="P216" s="331"/>
      <c r="Q216" s="331"/>
      <c r="R216" s="331"/>
      <c r="S216" s="331"/>
      <c r="T216" s="331"/>
      <c r="U216" s="331"/>
      <c r="V216" s="331"/>
      <c r="W216" s="331"/>
      <c r="X216" s="331"/>
      <c r="Y216" s="331"/>
      <c r="Z216" s="331"/>
      <c r="AA216" s="331"/>
      <c r="AB216" s="336"/>
      <c r="AC216" s="331"/>
      <c r="AD216" s="331"/>
      <c r="AE216" s="331"/>
      <c r="AF216" s="331"/>
      <c r="AG216" s="331"/>
      <c r="AH216" s="331"/>
      <c r="AI216" s="331"/>
      <c r="AJ216" s="331"/>
      <c r="AK216" s="331"/>
      <c r="AL216" s="331"/>
      <c r="AM216" s="331"/>
      <c r="AN216" s="331"/>
      <c r="AO216" s="331"/>
      <c r="AP216" s="331"/>
      <c r="AQ216" s="331"/>
      <c r="AR216" s="331"/>
      <c r="AS216" s="331"/>
      <c r="AT216" s="331"/>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row>
    <row r="217" spans="3:89" ht="18.75" x14ac:dyDescent="0.2">
      <c r="C217" s="334"/>
      <c r="D217" s="338">
        <v>656</v>
      </c>
      <c r="E217" s="336"/>
      <c r="F217" s="331"/>
      <c r="G217" s="331"/>
      <c r="H217" s="331"/>
      <c r="I217" s="331"/>
      <c r="J217" s="331"/>
      <c r="K217" s="331"/>
      <c r="L217" s="331"/>
      <c r="M217" s="331"/>
      <c r="N217" s="331"/>
      <c r="O217" s="331"/>
      <c r="P217" s="331"/>
      <c r="Q217" s="331"/>
      <c r="R217" s="331"/>
      <c r="S217" s="331"/>
      <c r="T217" s="331"/>
      <c r="U217" s="331"/>
      <c r="V217" s="331"/>
      <c r="W217" s="331"/>
      <c r="X217" s="331"/>
      <c r="Y217" s="331"/>
      <c r="Z217" s="331"/>
      <c r="AA217" s="331"/>
      <c r="AB217" s="336"/>
      <c r="AC217" s="331"/>
      <c r="AD217" s="331"/>
      <c r="AE217" s="331"/>
      <c r="AF217" s="331"/>
      <c r="AG217" s="331"/>
      <c r="AH217" s="331"/>
      <c r="AI217" s="331"/>
      <c r="AJ217" s="331"/>
      <c r="AK217" s="331"/>
      <c r="AL217" s="331"/>
      <c r="AM217" s="331"/>
      <c r="AN217" s="331"/>
      <c r="AO217" s="331"/>
      <c r="AP217" s="331"/>
      <c r="AQ217" s="331"/>
      <c r="AR217" s="331"/>
      <c r="AS217" s="331"/>
      <c r="AT217" s="331"/>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row>
    <row r="218" spans="3:89" ht="18.75" x14ac:dyDescent="0.2">
      <c r="C218" s="334"/>
      <c r="D218" s="338">
        <v>657</v>
      </c>
      <c r="E218" s="336"/>
      <c r="F218" s="331"/>
      <c r="G218" s="331"/>
      <c r="H218" s="331"/>
      <c r="I218" s="331"/>
      <c r="J218" s="331"/>
      <c r="K218" s="331"/>
      <c r="L218" s="331"/>
      <c r="M218" s="331"/>
      <c r="N218" s="331"/>
      <c r="O218" s="331"/>
      <c r="P218" s="331"/>
      <c r="Q218" s="331"/>
      <c r="R218" s="331"/>
      <c r="S218" s="331"/>
      <c r="T218" s="331"/>
      <c r="U218" s="331"/>
      <c r="V218" s="331"/>
      <c r="W218" s="331"/>
      <c r="X218" s="331"/>
      <c r="Y218" s="331"/>
      <c r="Z218" s="331"/>
      <c r="AA218" s="331"/>
      <c r="AB218" s="336"/>
      <c r="AC218" s="331"/>
      <c r="AD218" s="331"/>
      <c r="AE218" s="331"/>
      <c r="AF218" s="331"/>
      <c r="AG218" s="331"/>
      <c r="AH218" s="331"/>
      <c r="AI218" s="331"/>
      <c r="AJ218" s="331"/>
      <c r="AK218" s="331"/>
      <c r="AL218" s="331"/>
      <c r="AM218" s="331"/>
      <c r="AN218" s="331"/>
      <c r="AO218" s="331"/>
      <c r="AP218" s="331"/>
      <c r="AQ218" s="331"/>
      <c r="AR218" s="331"/>
      <c r="AS218" s="331"/>
      <c r="AT218" s="331"/>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row>
    <row r="219" spans="3:89" ht="18.75" x14ac:dyDescent="0.2">
      <c r="C219" s="334"/>
      <c r="D219" s="338">
        <v>658</v>
      </c>
      <c r="E219" s="336"/>
      <c r="F219" s="331"/>
      <c r="G219" s="331"/>
      <c r="H219" s="331"/>
      <c r="I219" s="331"/>
      <c r="J219" s="331"/>
      <c r="K219" s="331"/>
      <c r="L219" s="331"/>
      <c r="M219" s="331"/>
      <c r="N219" s="331"/>
      <c r="O219" s="331"/>
      <c r="P219" s="331"/>
      <c r="Q219" s="331"/>
      <c r="R219" s="331"/>
      <c r="S219" s="331"/>
      <c r="T219" s="331"/>
      <c r="U219" s="331"/>
      <c r="V219" s="331"/>
      <c r="W219" s="331"/>
      <c r="X219" s="331"/>
      <c r="Y219" s="331"/>
      <c r="Z219" s="331"/>
      <c r="AA219" s="331"/>
      <c r="AB219" s="336"/>
      <c r="AC219" s="331"/>
      <c r="AD219" s="331"/>
      <c r="AE219" s="331"/>
      <c r="AF219" s="331"/>
      <c r="AG219" s="331"/>
      <c r="AH219" s="331"/>
      <c r="AI219" s="331"/>
      <c r="AJ219" s="331"/>
      <c r="AK219" s="331"/>
      <c r="AL219" s="331"/>
      <c r="AM219" s="331"/>
      <c r="AN219" s="331"/>
      <c r="AO219" s="331"/>
      <c r="AP219" s="331"/>
      <c r="AQ219" s="331"/>
      <c r="AR219" s="331"/>
      <c r="AS219" s="331"/>
      <c r="AT219" s="331"/>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row>
    <row r="220" spans="3:89" ht="18.75" x14ac:dyDescent="0.2">
      <c r="C220" s="334"/>
      <c r="D220" s="338">
        <v>659</v>
      </c>
      <c r="E220" s="336"/>
      <c r="F220" s="331"/>
      <c r="G220" s="331"/>
      <c r="H220" s="331"/>
      <c r="I220" s="331"/>
      <c r="J220" s="331"/>
      <c r="K220" s="331"/>
      <c r="L220" s="331"/>
      <c r="M220" s="331"/>
      <c r="N220" s="331"/>
      <c r="O220" s="331"/>
      <c r="P220" s="331"/>
      <c r="Q220" s="331"/>
      <c r="R220" s="331"/>
      <c r="S220" s="331"/>
      <c r="T220" s="331"/>
      <c r="U220" s="331"/>
      <c r="V220" s="331"/>
      <c r="W220" s="331"/>
      <c r="X220" s="331"/>
      <c r="Y220" s="331"/>
      <c r="Z220" s="331"/>
      <c r="AA220" s="331"/>
      <c r="AB220" s="336"/>
      <c r="AC220" s="331"/>
      <c r="AD220" s="331"/>
      <c r="AE220" s="331"/>
      <c r="AF220" s="331"/>
      <c r="AG220" s="331"/>
      <c r="AH220" s="331"/>
      <c r="AI220" s="331"/>
      <c r="AJ220" s="331"/>
      <c r="AK220" s="331"/>
      <c r="AL220" s="331"/>
      <c r="AM220" s="331"/>
      <c r="AN220" s="331"/>
      <c r="AO220" s="331"/>
      <c r="AP220" s="331"/>
      <c r="AQ220" s="331"/>
      <c r="AR220" s="331"/>
      <c r="AS220" s="331"/>
      <c r="AT220" s="331"/>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row>
    <row r="221" spans="3:89" ht="18.75" x14ac:dyDescent="0.2">
      <c r="C221" s="334"/>
      <c r="D221" s="338">
        <v>660</v>
      </c>
      <c r="E221" s="336"/>
      <c r="F221" s="331"/>
      <c r="G221" s="331"/>
      <c r="H221" s="331"/>
      <c r="I221" s="331"/>
      <c r="J221" s="331"/>
      <c r="K221" s="331"/>
      <c r="L221" s="331"/>
      <c r="M221" s="331"/>
      <c r="N221" s="331"/>
      <c r="O221" s="331"/>
      <c r="P221" s="331"/>
      <c r="Q221" s="331"/>
      <c r="R221" s="331"/>
      <c r="S221" s="331"/>
      <c r="T221" s="331"/>
      <c r="U221" s="331"/>
      <c r="V221" s="331"/>
      <c r="W221" s="331"/>
      <c r="X221" s="331"/>
      <c r="Y221" s="331"/>
      <c r="Z221" s="331"/>
      <c r="AA221" s="331"/>
      <c r="AB221" s="336"/>
      <c r="AC221" s="331"/>
      <c r="AD221" s="331"/>
      <c r="AE221" s="331"/>
      <c r="AF221" s="331"/>
      <c r="AG221" s="331"/>
      <c r="AH221" s="331"/>
      <c r="AI221" s="331"/>
      <c r="AJ221" s="331"/>
      <c r="AK221" s="331"/>
      <c r="AL221" s="331"/>
      <c r="AM221" s="331"/>
      <c r="AN221" s="331"/>
      <c r="AO221" s="331"/>
      <c r="AP221" s="331"/>
      <c r="AQ221" s="331"/>
      <c r="AR221" s="331"/>
      <c r="AS221" s="331"/>
      <c r="AT221" s="331"/>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row>
    <row r="222" spans="3:89" ht="18.75" x14ac:dyDescent="0.2">
      <c r="C222" s="334"/>
      <c r="D222" s="338">
        <v>661</v>
      </c>
      <c r="E222" s="336"/>
      <c r="F222" s="331"/>
      <c r="G222" s="331"/>
      <c r="H222" s="331"/>
      <c r="I222" s="331"/>
      <c r="J222" s="331"/>
      <c r="K222" s="331"/>
      <c r="L222" s="331"/>
      <c r="M222" s="331"/>
      <c r="N222" s="331"/>
      <c r="O222" s="331"/>
      <c r="P222" s="331"/>
      <c r="Q222" s="331"/>
      <c r="R222" s="331"/>
      <c r="S222" s="331"/>
      <c r="T222" s="331"/>
      <c r="U222" s="331"/>
      <c r="V222" s="331"/>
      <c r="W222" s="331"/>
      <c r="X222" s="331"/>
      <c r="Y222" s="331"/>
      <c r="Z222" s="331"/>
      <c r="AA222" s="331"/>
      <c r="AB222" s="336"/>
      <c r="AC222" s="331"/>
      <c r="AD222" s="331"/>
      <c r="AE222" s="331"/>
      <c r="AF222" s="331"/>
      <c r="AG222" s="331"/>
      <c r="AH222" s="331"/>
      <c r="AI222" s="331"/>
      <c r="AJ222" s="331"/>
      <c r="AK222" s="331"/>
      <c r="AL222" s="331"/>
      <c r="AM222" s="331"/>
      <c r="AN222" s="331"/>
      <c r="AO222" s="331"/>
      <c r="AP222" s="331"/>
      <c r="AQ222" s="331"/>
      <c r="AR222" s="331"/>
      <c r="AS222" s="331"/>
      <c r="AT222" s="331"/>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row>
    <row r="223" spans="3:89" ht="18.75" x14ac:dyDescent="0.2">
      <c r="C223" s="334"/>
      <c r="D223" s="338">
        <v>662</v>
      </c>
      <c r="E223" s="333"/>
      <c r="F223" s="331"/>
      <c r="G223" s="331"/>
      <c r="H223" s="331"/>
      <c r="I223" s="331"/>
      <c r="J223" s="331"/>
      <c r="K223" s="331"/>
      <c r="L223" s="331"/>
      <c r="M223" s="331"/>
      <c r="N223" s="331"/>
      <c r="O223" s="331"/>
      <c r="P223" s="331"/>
      <c r="Q223" s="331"/>
      <c r="R223" s="331"/>
      <c r="S223" s="331"/>
      <c r="T223" s="331"/>
      <c r="U223" s="331"/>
      <c r="V223" s="331"/>
      <c r="W223" s="331"/>
      <c r="X223" s="331"/>
      <c r="Y223" s="331"/>
      <c r="Z223" s="331"/>
      <c r="AA223" s="331"/>
      <c r="AB223" s="336"/>
      <c r="AC223" s="331"/>
      <c r="AD223" s="331"/>
      <c r="AE223" s="331"/>
      <c r="AF223" s="331"/>
      <c r="AG223" s="331"/>
      <c r="AH223" s="331"/>
      <c r="AI223" s="331"/>
      <c r="AJ223" s="331"/>
      <c r="AK223" s="331"/>
      <c r="AL223" s="331"/>
      <c r="AM223" s="331"/>
      <c r="AN223" s="331"/>
      <c r="AO223" s="331"/>
      <c r="AP223" s="331"/>
      <c r="AQ223" s="331"/>
      <c r="AR223" s="331"/>
      <c r="AS223" s="331"/>
      <c r="AT223" s="331"/>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row>
    <row r="224" spans="3:89" ht="18.75" x14ac:dyDescent="0.2">
      <c r="C224" s="334"/>
      <c r="D224" s="338">
        <v>663</v>
      </c>
      <c r="E224" s="336"/>
      <c r="F224" s="331"/>
      <c r="G224" s="331"/>
      <c r="H224" s="331"/>
      <c r="I224" s="331"/>
      <c r="J224" s="331"/>
      <c r="K224" s="331"/>
      <c r="L224" s="331"/>
      <c r="M224" s="331"/>
      <c r="N224" s="331"/>
      <c r="O224" s="331"/>
      <c r="P224" s="331"/>
      <c r="Q224" s="331"/>
      <c r="R224" s="331"/>
      <c r="S224" s="331"/>
      <c r="T224" s="331"/>
      <c r="U224" s="331"/>
      <c r="V224" s="331"/>
      <c r="W224" s="331"/>
      <c r="X224" s="331"/>
      <c r="Y224" s="331"/>
      <c r="Z224" s="331"/>
      <c r="AA224" s="331"/>
      <c r="AB224" s="336"/>
      <c r="AC224" s="331"/>
      <c r="AD224" s="331"/>
      <c r="AE224" s="331"/>
      <c r="AF224" s="331"/>
      <c r="AG224" s="331"/>
      <c r="AH224" s="331"/>
      <c r="AI224" s="331"/>
      <c r="AJ224" s="331"/>
      <c r="AK224" s="331"/>
      <c r="AL224" s="331"/>
      <c r="AM224" s="331"/>
      <c r="AN224" s="331"/>
      <c r="AO224" s="331"/>
      <c r="AP224" s="331"/>
      <c r="AQ224" s="331"/>
      <c r="AR224" s="331"/>
      <c r="AS224" s="331"/>
      <c r="AT224" s="331"/>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row>
    <row r="225" spans="3:89" ht="18.75" x14ac:dyDescent="0.2">
      <c r="C225" s="334"/>
      <c r="D225" s="338">
        <v>664</v>
      </c>
      <c r="E225" s="336"/>
      <c r="F225" s="331"/>
      <c r="G225" s="331"/>
      <c r="H225" s="331"/>
      <c r="I225" s="331"/>
      <c r="J225" s="331"/>
      <c r="K225" s="331"/>
      <c r="L225" s="331"/>
      <c r="M225" s="331"/>
      <c r="N225" s="331"/>
      <c r="O225" s="331"/>
      <c r="P225" s="331"/>
      <c r="Q225" s="331"/>
      <c r="R225" s="331"/>
      <c r="S225" s="331"/>
      <c r="T225" s="331"/>
      <c r="U225" s="331"/>
      <c r="V225" s="331"/>
      <c r="W225" s="331"/>
      <c r="X225" s="331"/>
      <c r="Y225" s="331"/>
      <c r="Z225" s="331"/>
      <c r="AA225" s="331"/>
      <c r="AB225" s="336"/>
      <c r="AC225" s="331"/>
      <c r="AD225" s="331"/>
      <c r="AE225" s="331"/>
      <c r="AF225" s="331"/>
      <c r="AG225" s="331"/>
      <c r="AH225" s="331"/>
      <c r="AI225" s="331"/>
      <c r="AJ225" s="331"/>
      <c r="AK225" s="331"/>
      <c r="AL225" s="331"/>
      <c r="AM225" s="331"/>
      <c r="AN225" s="331"/>
      <c r="AO225" s="331"/>
      <c r="AP225" s="331"/>
      <c r="AQ225" s="331"/>
      <c r="AR225" s="331"/>
      <c r="AS225" s="331"/>
      <c r="AT225" s="331"/>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row>
    <row r="226" spans="3:89" ht="18.75" x14ac:dyDescent="0.2">
      <c r="C226" s="334"/>
      <c r="D226" s="338">
        <v>665</v>
      </c>
      <c r="E226" s="336"/>
      <c r="F226" s="331"/>
      <c r="G226" s="331"/>
      <c r="H226" s="331"/>
      <c r="I226" s="331"/>
      <c r="J226" s="331"/>
      <c r="K226" s="331"/>
      <c r="L226" s="331"/>
      <c r="M226" s="331"/>
      <c r="N226" s="331"/>
      <c r="O226" s="331"/>
      <c r="P226" s="331"/>
      <c r="Q226" s="331"/>
      <c r="R226" s="331"/>
      <c r="S226" s="331"/>
      <c r="T226" s="331"/>
      <c r="U226" s="331"/>
      <c r="V226" s="331"/>
      <c r="W226" s="331"/>
      <c r="X226" s="331"/>
      <c r="Y226" s="331"/>
      <c r="Z226" s="331"/>
      <c r="AA226" s="331"/>
      <c r="AB226" s="336"/>
      <c r="AC226" s="331"/>
      <c r="AD226" s="331"/>
      <c r="AE226" s="331"/>
      <c r="AF226" s="331"/>
      <c r="AG226" s="331"/>
      <c r="AH226" s="331"/>
      <c r="AI226" s="331"/>
      <c r="AJ226" s="331"/>
      <c r="AK226" s="331"/>
      <c r="AL226" s="331"/>
      <c r="AM226" s="331"/>
      <c r="AN226" s="331"/>
      <c r="AO226" s="331"/>
      <c r="AP226" s="331"/>
      <c r="AQ226" s="331"/>
      <c r="AR226" s="331"/>
      <c r="AS226" s="331"/>
      <c r="AT226" s="331"/>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row>
    <row r="227" spans="3:89" ht="18.75" x14ac:dyDescent="0.2">
      <c r="C227" s="334"/>
      <c r="D227" s="338">
        <v>666</v>
      </c>
      <c r="E227" s="336"/>
      <c r="F227" s="331"/>
      <c r="G227" s="331"/>
      <c r="H227" s="331"/>
      <c r="I227" s="331"/>
      <c r="J227" s="331"/>
      <c r="K227" s="331"/>
      <c r="L227" s="331"/>
      <c r="M227" s="331"/>
      <c r="N227" s="331"/>
      <c r="O227" s="331"/>
      <c r="P227" s="331"/>
      <c r="Q227" s="331"/>
      <c r="R227" s="331"/>
      <c r="S227" s="331"/>
      <c r="T227" s="331"/>
      <c r="U227" s="331"/>
      <c r="V227" s="331"/>
      <c r="W227" s="331"/>
      <c r="X227" s="331"/>
      <c r="Y227" s="331"/>
      <c r="Z227" s="331"/>
      <c r="AA227" s="331"/>
      <c r="AB227" s="336"/>
      <c r="AC227" s="331"/>
      <c r="AD227" s="331"/>
      <c r="AE227" s="331"/>
      <c r="AF227" s="331"/>
      <c r="AG227" s="331"/>
      <c r="AH227" s="331"/>
      <c r="AI227" s="331"/>
      <c r="AJ227" s="331"/>
      <c r="AK227" s="331"/>
      <c r="AL227" s="331"/>
      <c r="AM227" s="331"/>
      <c r="AN227" s="331"/>
      <c r="AO227" s="331"/>
      <c r="AP227" s="331"/>
      <c r="AQ227" s="331"/>
      <c r="AR227" s="331"/>
      <c r="AS227" s="331"/>
      <c r="AT227" s="331"/>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row>
    <row r="228" spans="3:89" ht="18.75" x14ac:dyDescent="0.2">
      <c r="C228" s="334"/>
      <c r="D228" s="338">
        <v>667</v>
      </c>
      <c r="E228" s="336"/>
      <c r="F228" s="331"/>
      <c r="G228" s="331"/>
      <c r="H228" s="331"/>
      <c r="I228" s="331"/>
      <c r="J228" s="331"/>
      <c r="K228" s="331"/>
      <c r="L228" s="331"/>
      <c r="M228" s="331"/>
      <c r="N228" s="331"/>
      <c r="O228" s="331"/>
      <c r="P228" s="331"/>
      <c r="Q228" s="331"/>
      <c r="R228" s="331"/>
      <c r="S228" s="331"/>
      <c r="T228" s="331"/>
      <c r="U228" s="331"/>
      <c r="V228" s="331"/>
      <c r="W228" s="331"/>
      <c r="X228" s="331"/>
      <c r="Y228" s="331"/>
      <c r="Z228" s="331"/>
      <c r="AA228" s="331"/>
      <c r="AB228" s="336"/>
      <c r="AC228" s="331"/>
      <c r="AD228" s="331"/>
      <c r="AE228" s="331"/>
      <c r="AF228" s="331"/>
      <c r="AG228" s="331"/>
      <c r="AH228" s="331"/>
      <c r="AI228" s="331"/>
      <c r="AJ228" s="331"/>
      <c r="AK228" s="331"/>
      <c r="AL228" s="331"/>
      <c r="AM228" s="331"/>
      <c r="AN228" s="331"/>
      <c r="AO228" s="331"/>
      <c r="AP228" s="331"/>
      <c r="AQ228" s="331"/>
      <c r="AR228" s="331"/>
      <c r="AS228" s="331"/>
      <c r="AT228" s="331"/>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row>
    <row r="229" spans="3:89" ht="18.75" x14ac:dyDescent="0.2">
      <c r="C229" s="334"/>
      <c r="D229" s="338">
        <v>668</v>
      </c>
      <c r="E229" s="336"/>
      <c r="F229" s="331"/>
      <c r="G229" s="331"/>
      <c r="H229" s="331"/>
      <c r="I229" s="331"/>
      <c r="J229" s="331"/>
      <c r="K229" s="331"/>
      <c r="L229" s="331"/>
      <c r="M229" s="331"/>
      <c r="N229" s="331"/>
      <c r="O229" s="331"/>
      <c r="P229" s="331"/>
      <c r="Q229" s="331"/>
      <c r="R229" s="331"/>
      <c r="S229" s="331"/>
      <c r="T229" s="331"/>
      <c r="U229" s="331"/>
      <c r="V229" s="331"/>
      <c r="W229" s="331"/>
      <c r="X229" s="331"/>
      <c r="Y229" s="331"/>
      <c r="Z229" s="331"/>
      <c r="AA229" s="331"/>
      <c r="AB229" s="336"/>
      <c r="AC229" s="331"/>
      <c r="AD229" s="331"/>
      <c r="AE229" s="331"/>
      <c r="AF229" s="331"/>
      <c r="AG229" s="331"/>
      <c r="AH229" s="331"/>
      <c r="AI229" s="331"/>
      <c r="AJ229" s="331"/>
      <c r="AK229" s="331"/>
      <c r="AL229" s="331"/>
      <c r="AM229" s="331"/>
      <c r="AN229" s="331"/>
      <c r="AO229" s="331"/>
      <c r="AP229" s="331"/>
      <c r="AQ229" s="331"/>
      <c r="AR229" s="331"/>
      <c r="AS229" s="331"/>
      <c r="AT229" s="331"/>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row>
    <row r="230" spans="3:89" ht="18.75" x14ac:dyDescent="0.2">
      <c r="C230" s="334"/>
      <c r="D230" s="338">
        <v>669</v>
      </c>
      <c r="E230" s="336"/>
      <c r="F230" s="331"/>
      <c r="G230" s="331"/>
      <c r="H230" s="331"/>
      <c r="I230" s="331"/>
      <c r="J230" s="331"/>
      <c r="K230" s="331"/>
      <c r="L230" s="331"/>
      <c r="M230" s="331"/>
      <c r="N230" s="331"/>
      <c r="O230" s="331"/>
      <c r="P230" s="331"/>
      <c r="Q230" s="331"/>
      <c r="R230" s="331"/>
      <c r="S230" s="331"/>
      <c r="T230" s="331"/>
      <c r="U230" s="331"/>
      <c r="V230" s="331"/>
      <c r="W230" s="331"/>
      <c r="X230" s="331"/>
      <c r="Y230" s="331"/>
      <c r="Z230" s="331"/>
      <c r="AA230" s="331"/>
      <c r="AB230" s="336"/>
      <c r="AC230" s="331"/>
      <c r="AD230" s="331"/>
      <c r="AE230" s="331"/>
      <c r="AF230" s="331"/>
      <c r="AG230" s="331"/>
      <c r="AH230" s="331"/>
      <c r="AI230" s="331"/>
      <c r="AJ230" s="331"/>
      <c r="AK230" s="331"/>
      <c r="AL230" s="331"/>
      <c r="AM230" s="331"/>
      <c r="AN230" s="331"/>
      <c r="AO230" s="331"/>
      <c r="AP230" s="331"/>
      <c r="AQ230" s="331"/>
      <c r="AR230" s="331"/>
      <c r="AS230" s="331"/>
      <c r="AT230" s="331"/>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row>
    <row r="231" spans="3:89" ht="18.75" x14ac:dyDescent="0.2">
      <c r="C231" s="334"/>
      <c r="D231" s="338">
        <v>670</v>
      </c>
      <c r="E231" s="336"/>
      <c r="F231" s="331"/>
      <c r="G231" s="331"/>
      <c r="H231" s="331"/>
      <c r="I231" s="331"/>
      <c r="J231" s="331"/>
      <c r="K231" s="331"/>
      <c r="L231" s="331"/>
      <c r="M231" s="331"/>
      <c r="N231" s="331"/>
      <c r="O231" s="331"/>
      <c r="P231" s="331"/>
      <c r="Q231" s="331"/>
      <c r="R231" s="331"/>
      <c r="S231" s="331"/>
      <c r="T231" s="331"/>
      <c r="U231" s="331"/>
      <c r="V231" s="331"/>
      <c r="W231" s="331"/>
      <c r="X231" s="331"/>
      <c r="Y231" s="331"/>
      <c r="Z231" s="331"/>
      <c r="AA231" s="331"/>
      <c r="AB231" s="336"/>
      <c r="AC231" s="331"/>
      <c r="AD231" s="331"/>
      <c r="AE231" s="331"/>
      <c r="AF231" s="331"/>
      <c r="AG231" s="331"/>
      <c r="AH231" s="331"/>
      <c r="AI231" s="331"/>
      <c r="AJ231" s="331"/>
      <c r="AK231" s="331"/>
      <c r="AL231" s="331"/>
      <c r="AM231" s="331"/>
      <c r="AN231" s="331"/>
      <c r="AO231" s="331"/>
      <c r="AP231" s="331"/>
      <c r="AQ231" s="331"/>
      <c r="AR231" s="331"/>
      <c r="AS231" s="331"/>
      <c r="AT231" s="331"/>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row>
    <row r="232" spans="3:89" x14ac:dyDescent="0.2">
      <c r="C232" s="334"/>
      <c r="D232" s="119"/>
      <c r="E232" s="336"/>
      <c r="F232" s="331"/>
      <c r="G232" s="331"/>
      <c r="H232" s="331"/>
      <c r="I232" s="331"/>
      <c r="J232" s="331"/>
      <c r="K232" s="331"/>
      <c r="L232" s="331"/>
      <c r="M232" s="331"/>
      <c r="N232" s="331"/>
      <c r="O232" s="331"/>
      <c r="P232" s="331"/>
      <c r="Q232" s="331"/>
      <c r="R232" s="331"/>
      <c r="S232" s="331"/>
      <c r="T232" s="331"/>
      <c r="U232" s="331"/>
      <c r="V232" s="331"/>
      <c r="W232" s="331"/>
      <c r="X232" s="331"/>
      <c r="Y232" s="331"/>
      <c r="Z232" s="331"/>
      <c r="AA232" s="331"/>
      <c r="AB232" s="336"/>
      <c r="AC232" s="331"/>
      <c r="AD232" s="331"/>
      <c r="AE232" s="331"/>
      <c r="AF232" s="331"/>
      <c r="AG232" s="331"/>
      <c r="AH232" s="331"/>
      <c r="AI232" s="331"/>
      <c r="AJ232" s="331"/>
      <c r="AK232" s="331"/>
      <c r="AL232" s="331"/>
      <c r="AM232" s="331"/>
      <c r="AN232" s="331"/>
      <c r="AO232" s="331"/>
      <c r="AP232" s="331"/>
      <c r="AQ232" s="331"/>
      <c r="AR232" s="331"/>
      <c r="AS232" s="331"/>
      <c r="AT232" s="331"/>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row>
    <row r="233" spans="3:89" ht="18.75" x14ac:dyDescent="0.2">
      <c r="C233" s="334"/>
      <c r="D233" s="335"/>
      <c r="E233" s="336"/>
      <c r="F233" s="331"/>
      <c r="G233" s="331"/>
      <c r="H233" s="331"/>
      <c r="I233" s="331"/>
      <c r="J233" s="331"/>
      <c r="K233" s="331"/>
      <c r="L233" s="331"/>
      <c r="M233" s="331"/>
      <c r="N233" s="331"/>
      <c r="O233" s="331"/>
      <c r="P233" s="331"/>
      <c r="Q233" s="331"/>
      <c r="R233" s="331"/>
      <c r="S233" s="331"/>
      <c r="T233" s="331"/>
      <c r="U233" s="331"/>
      <c r="V233" s="331"/>
      <c r="W233" s="331"/>
      <c r="X233" s="331"/>
      <c r="Y233" s="331"/>
      <c r="Z233" s="331"/>
      <c r="AA233" s="331"/>
      <c r="AB233" s="336"/>
      <c r="AC233" s="331"/>
      <c r="AD233" s="331"/>
      <c r="AE233" s="331"/>
      <c r="AF233" s="331"/>
      <c r="AG233" s="331"/>
      <c r="AH233" s="331"/>
      <c r="AI233" s="331"/>
      <c r="AJ233" s="331"/>
      <c r="AK233" s="331"/>
      <c r="AL233" s="331"/>
      <c r="AM233" s="331"/>
      <c r="AN233" s="331"/>
      <c r="AO233" s="331"/>
      <c r="AP233" s="331"/>
      <c r="AQ233" s="331"/>
      <c r="AR233" s="331"/>
      <c r="AS233" s="331"/>
      <c r="AT233" s="331"/>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row>
    <row r="234" spans="3:89" ht="18.75" x14ac:dyDescent="0.2">
      <c r="C234" s="334"/>
      <c r="D234" s="335"/>
      <c r="E234" s="336"/>
      <c r="F234" s="331"/>
      <c r="G234" s="331"/>
      <c r="H234" s="331"/>
      <c r="I234" s="331"/>
      <c r="J234" s="331"/>
      <c r="K234" s="331"/>
      <c r="L234" s="331"/>
      <c r="M234" s="331"/>
      <c r="N234" s="331"/>
      <c r="O234" s="331"/>
      <c r="P234" s="331"/>
      <c r="Q234" s="331"/>
      <c r="R234" s="331"/>
      <c r="S234" s="331"/>
      <c r="T234" s="331"/>
      <c r="U234" s="331"/>
      <c r="V234" s="331"/>
      <c r="W234" s="331"/>
      <c r="X234" s="331"/>
      <c r="Y234" s="331"/>
      <c r="Z234" s="331"/>
      <c r="AA234" s="331"/>
      <c r="AB234" s="336"/>
      <c r="AC234" s="331"/>
      <c r="AD234" s="331"/>
      <c r="AE234" s="331"/>
      <c r="AF234" s="331"/>
      <c r="AG234" s="331"/>
      <c r="AH234" s="331"/>
      <c r="AI234" s="331"/>
      <c r="AJ234" s="331"/>
      <c r="AK234" s="331"/>
      <c r="AL234" s="331"/>
      <c r="AM234" s="331"/>
      <c r="AN234" s="331"/>
      <c r="AO234" s="331"/>
      <c r="AP234" s="331"/>
      <c r="AQ234" s="331"/>
      <c r="AR234" s="331"/>
      <c r="AS234" s="331"/>
      <c r="AT234" s="331"/>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row>
    <row r="235" spans="3:89" ht="18.75" x14ac:dyDescent="0.2">
      <c r="C235" s="334"/>
      <c r="D235" s="335"/>
      <c r="E235" s="336"/>
      <c r="F235" s="331"/>
      <c r="G235" s="331"/>
      <c r="H235" s="331"/>
      <c r="I235" s="331"/>
      <c r="J235" s="331"/>
      <c r="K235" s="331"/>
      <c r="L235" s="331"/>
      <c r="M235" s="331"/>
      <c r="N235" s="331"/>
      <c r="O235" s="331"/>
      <c r="P235" s="331"/>
      <c r="Q235" s="331"/>
      <c r="R235" s="331"/>
      <c r="S235" s="331"/>
      <c r="T235" s="331"/>
      <c r="U235" s="331"/>
      <c r="V235" s="331"/>
      <c r="W235" s="331"/>
      <c r="X235" s="331"/>
      <c r="Y235" s="331"/>
      <c r="Z235" s="331"/>
      <c r="AA235" s="331"/>
      <c r="AB235" s="336"/>
      <c r="AC235" s="331"/>
      <c r="AD235" s="331"/>
      <c r="AE235" s="331"/>
      <c r="AF235" s="331"/>
      <c r="AG235" s="331"/>
      <c r="AH235" s="331"/>
      <c r="AI235" s="331"/>
      <c r="AJ235" s="331"/>
      <c r="AK235" s="331"/>
      <c r="AL235" s="331"/>
      <c r="AM235" s="331"/>
      <c r="AN235" s="331"/>
      <c r="AO235" s="331"/>
      <c r="AP235" s="331"/>
      <c r="AQ235" s="331"/>
      <c r="AR235" s="331"/>
      <c r="AS235" s="331"/>
      <c r="AT235" s="331"/>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c r="CB235" s="119"/>
      <c r="CC235" s="119"/>
      <c r="CD235" s="119"/>
      <c r="CE235" s="119"/>
      <c r="CF235" s="119"/>
      <c r="CG235" s="119"/>
      <c r="CH235" s="119"/>
      <c r="CI235" s="119"/>
      <c r="CJ235" s="119"/>
      <c r="CK235" s="119"/>
    </row>
    <row r="236" spans="3:89" ht="18.75" x14ac:dyDescent="0.2">
      <c r="C236" s="334"/>
      <c r="D236" s="335"/>
      <c r="E236" s="336"/>
      <c r="F236" s="331"/>
      <c r="G236" s="331"/>
      <c r="H236" s="331"/>
      <c r="I236" s="331"/>
      <c r="J236" s="331"/>
      <c r="K236" s="331"/>
      <c r="L236" s="331"/>
      <c r="M236" s="331"/>
      <c r="N236" s="331"/>
      <c r="O236" s="331"/>
      <c r="P236" s="331"/>
      <c r="Q236" s="331"/>
      <c r="R236" s="331"/>
      <c r="S236" s="331"/>
      <c r="T236" s="331"/>
      <c r="U236" s="331"/>
      <c r="V236" s="331"/>
      <c r="W236" s="331"/>
      <c r="X236" s="331"/>
      <c r="Y236" s="331"/>
      <c r="Z236" s="331"/>
      <c r="AA236" s="331"/>
      <c r="AB236" s="336"/>
      <c r="AC236" s="331"/>
      <c r="AD236" s="331"/>
      <c r="AE236" s="331"/>
      <c r="AF236" s="331"/>
      <c r="AG236" s="331"/>
      <c r="AH236" s="331"/>
      <c r="AI236" s="331"/>
      <c r="AJ236" s="331"/>
      <c r="AK236" s="331"/>
      <c r="AL236" s="331"/>
      <c r="AM236" s="331"/>
      <c r="AN236" s="331"/>
      <c r="AO236" s="331"/>
      <c r="AP236" s="331"/>
      <c r="AQ236" s="331"/>
      <c r="AR236" s="331"/>
      <c r="AS236" s="331"/>
      <c r="AT236" s="331"/>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c r="CB236" s="119"/>
      <c r="CC236" s="119"/>
      <c r="CD236" s="119"/>
      <c r="CE236" s="119"/>
      <c r="CF236" s="119"/>
      <c r="CG236" s="119"/>
      <c r="CH236" s="119"/>
      <c r="CI236" s="119"/>
      <c r="CJ236" s="119"/>
      <c r="CK236" s="119"/>
    </row>
    <row r="237" spans="3:89" ht="18.75" x14ac:dyDescent="0.2">
      <c r="C237" s="334"/>
      <c r="D237" s="335"/>
      <c r="E237" s="336"/>
      <c r="F237" s="331"/>
      <c r="G237" s="331"/>
      <c r="H237" s="331"/>
      <c r="I237" s="331"/>
      <c r="J237" s="331"/>
      <c r="K237" s="331"/>
      <c r="L237" s="331"/>
      <c r="M237" s="331"/>
      <c r="N237" s="331"/>
      <c r="O237" s="331"/>
      <c r="P237" s="331"/>
      <c r="Q237" s="331"/>
      <c r="R237" s="331"/>
      <c r="S237" s="331"/>
      <c r="T237" s="331"/>
      <c r="U237" s="331"/>
      <c r="V237" s="331"/>
      <c r="W237" s="331"/>
      <c r="X237" s="331"/>
      <c r="Y237" s="331"/>
      <c r="Z237" s="331"/>
      <c r="AA237" s="331"/>
      <c r="AB237" s="336"/>
      <c r="AC237" s="331"/>
      <c r="AD237" s="331"/>
      <c r="AE237" s="331"/>
      <c r="AF237" s="331"/>
      <c r="AG237" s="331"/>
      <c r="AH237" s="331"/>
      <c r="AI237" s="331"/>
      <c r="AJ237" s="331"/>
      <c r="AK237" s="331"/>
      <c r="AL237" s="331"/>
      <c r="AM237" s="331"/>
      <c r="AN237" s="331"/>
      <c r="AO237" s="331"/>
      <c r="AP237" s="331"/>
      <c r="AQ237" s="331"/>
      <c r="AR237" s="331"/>
      <c r="AS237" s="331"/>
      <c r="AT237" s="331"/>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c r="CB237" s="119"/>
      <c r="CC237" s="119"/>
      <c r="CD237" s="119"/>
      <c r="CE237" s="119"/>
      <c r="CF237" s="119"/>
      <c r="CG237" s="119"/>
      <c r="CH237" s="119"/>
      <c r="CI237" s="119"/>
      <c r="CJ237" s="119"/>
      <c r="CK237" s="119"/>
    </row>
    <row r="238" spans="3:89" ht="18.75" x14ac:dyDescent="0.2">
      <c r="C238" s="334"/>
      <c r="D238" s="335"/>
      <c r="E238" s="336"/>
      <c r="F238" s="331"/>
      <c r="G238" s="331"/>
      <c r="H238" s="331"/>
      <c r="I238" s="331"/>
      <c r="J238" s="331"/>
      <c r="K238" s="331"/>
      <c r="L238" s="331"/>
      <c r="M238" s="331"/>
      <c r="N238" s="331"/>
      <c r="O238" s="331"/>
      <c r="P238" s="331"/>
      <c r="Q238" s="331"/>
      <c r="R238" s="331"/>
      <c r="S238" s="331"/>
      <c r="T238" s="331"/>
      <c r="U238" s="331"/>
      <c r="V238" s="331"/>
      <c r="W238" s="331"/>
      <c r="X238" s="331"/>
      <c r="Y238" s="331"/>
      <c r="Z238" s="331"/>
      <c r="AA238" s="331"/>
      <c r="AB238" s="336"/>
      <c r="AC238" s="331"/>
      <c r="AD238" s="331"/>
      <c r="AE238" s="331"/>
      <c r="AF238" s="331"/>
      <c r="AG238" s="331"/>
      <c r="AH238" s="331"/>
      <c r="AI238" s="331"/>
      <c r="AJ238" s="331"/>
      <c r="AK238" s="331"/>
      <c r="AL238" s="331"/>
      <c r="AM238" s="331"/>
      <c r="AN238" s="331"/>
      <c r="AO238" s="331"/>
      <c r="AP238" s="331"/>
      <c r="AQ238" s="331"/>
      <c r="AR238" s="331"/>
      <c r="AS238" s="331"/>
      <c r="AT238" s="331"/>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row>
    <row r="239" spans="3:89" ht="18.75" x14ac:dyDescent="0.2">
      <c r="C239" s="334"/>
      <c r="D239" s="335"/>
      <c r="E239" s="336"/>
      <c r="F239" s="331"/>
      <c r="G239" s="331"/>
      <c r="H239" s="331"/>
      <c r="I239" s="331"/>
      <c r="J239" s="331"/>
      <c r="K239" s="331"/>
      <c r="L239" s="331"/>
      <c r="M239" s="331"/>
      <c r="N239" s="331"/>
      <c r="O239" s="331"/>
      <c r="P239" s="331"/>
      <c r="Q239" s="331"/>
      <c r="R239" s="331"/>
      <c r="S239" s="331"/>
      <c r="T239" s="331"/>
      <c r="U239" s="331"/>
      <c r="V239" s="331"/>
      <c r="W239" s="331"/>
      <c r="X239" s="331"/>
      <c r="Y239" s="331"/>
      <c r="Z239" s="331"/>
      <c r="AA239" s="331"/>
      <c r="AB239" s="336"/>
      <c r="AC239" s="331"/>
      <c r="AD239" s="331"/>
      <c r="AE239" s="331"/>
      <c r="AF239" s="331"/>
      <c r="AG239" s="331"/>
      <c r="AH239" s="331"/>
      <c r="AI239" s="331"/>
      <c r="AJ239" s="331"/>
      <c r="AK239" s="331"/>
      <c r="AL239" s="331"/>
      <c r="AM239" s="331"/>
      <c r="AN239" s="331"/>
      <c r="AO239" s="331"/>
      <c r="AP239" s="331"/>
      <c r="AQ239" s="331"/>
      <c r="AR239" s="331"/>
      <c r="AS239" s="331"/>
      <c r="AT239" s="331"/>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c r="CB239" s="119"/>
      <c r="CC239" s="119"/>
      <c r="CD239" s="119"/>
      <c r="CE239" s="119"/>
      <c r="CF239" s="119"/>
      <c r="CG239" s="119"/>
      <c r="CH239" s="119"/>
      <c r="CI239" s="119"/>
      <c r="CJ239" s="119"/>
      <c r="CK239" s="119"/>
    </row>
    <row r="240" spans="3:89" ht="18.75" x14ac:dyDescent="0.2">
      <c r="C240" s="334"/>
      <c r="D240" s="335"/>
      <c r="E240" s="336"/>
      <c r="F240" s="331"/>
      <c r="G240" s="331"/>
      <c r="H240" s="331"/>
      <c r="I240" s="331"/>
      <c r="J240" s="331"/>
      <c r="K240" s="331"/>
      <c r="L240" s="331"/>
      <c r="M240" s="331"/>
      <c r="N240" s="331"/>
      <c r="O240" s="331"/>
      <c r="P240" s="331"/>
      <c r="Q240" s="331"/>
      <c r="R240" s="331"/>
      <c r="S240" s="331"/>
      <c r="T240" s="331"/>
      <c r="U240" s="331"/>
      <c r="V240" s="331"/>
      <c r="W240" s="331"/>
      <c r="X240" s="331"/>
      <c r="Y240" s="331"/>
      <c r="Z240" s="331"/>
      <c r="AA240" s="331"/>
      <c r="AB240" s="336"/>
      <c r="AC240" s="331"/>
      <c r="AD240" s="331"/>
      <c r="AE240" s="331"/>
      <c r="AF240" s="331"/>
      <c r="AG240" s="331"/>
      <c r="AH240" s="331"/>
      <c r="AI240" s="331"/>
      <c r="AJ240" s="331"/>
      <c r="AK240" s="331"/>
      <c r="AL240" s="331"/>
      <c r="AM240" s="331"/>
      <c r="AN240" s="331"/>
      <c r="AO240" s="331"/>
      <c r="AP240" s="331"/>
      <c r="AQ240" s="331"/>
      <c r="AR240" s="331"/>
      <c r="AS240" s="331"/>
      <c r="AT240" s="331"/>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c r="CB240" s="119"/>
      <c r="CC240" s="119"/>
      <c r="CD240" s="119"/>
      <c r="CE240" s="119"/>
      <c r="CF240" s="119"/>
      <c r="CG240" s="119"/>
      <c r="CH240" s="119"/>
      <c r="CI240" s="119"/>
      <c r="CJ240" s="119"/>
      <c r="CK240" s="119"/>
    </row>
    <row r="241" spans="3:89" ht="18.75" x14ac:dyDescent="0.2">
      <c r="C241" s="334"/>
      <c r="D241" s="335"/>
      <c r="E241" s="336"/>
      <c r="F241" s="331"/>
      <c r="G241" s="331"/>
      <c r="H241" s="331"/>
      <c r="I241" s="331"/>
      <c r="J241" s="331"/>
      <c r="K241" s="331"/>
      <c r="L241" s="331"/>
      <c r="M241" s="331"/>
      <c r="N241" s="331"/>
      <c r="O241" s="331"/>
      <c r="P241" s="331"/>
      <c r="Q241" s="331"/>
      <c r="R241" s="331"/>
      <c r="S241" s="331"/>
      <c r="T241" s="331"/>
      <c r="U241" s="331"/>
      <c r="V241" s="331"/>
      <c r="W241" s="331"/>
      <c r="X241" s="331"/>
      <c r="Y241" s="331"/>
      <c r="Z241" s="331"/>
      <c r="AA241" s="331"/>
      <c r="AB241" s="336"/>
      <c r="AC241" s="331"/>
      <c r="AD241" s="331"/>
      <c r="AE241" s="331"/>
      <c r="AF241" s="331"/>
      <c r="AG241" s="331"/>
      <c r="AH241" s="331"/>
      <c r="AI241" s="331"/>
      <c r="AJ241" s="331"/>
      <c r="AK241" s="331"/>
      <c r="AL241" s="331"/>
      <c r="AM241" s="331"/>
      <c r="AN241" s="331"/>
      <c r="AO241" s="331"/>
      <c r="AP241" s="331"/>
      <c r="AQ241" s="331"/>
      <c r="AR241" s="331"/>
      <c r="AS241" s="331"/>
      <c r="AT241" s="331"/>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19"/>
      <c r="CE241" s="119"/>
      <c r="CF241" s="119"/>
      <c r="CG241" s="119"/>
      <c r="CH241" s="119"/>
      <c r="CI241" s="119"/>
      <c r="CJ241" s="119"/>
      <c r="CK241" s="119"/>
    </row>
    <row r="242" spans="3:89" ht="18.75" x14ac:dyDescent="0.2">
      <c r="C242" s="334"/>
      <c r="D242" s="335"/>
      <c r="E242" s="336"/>
      <c r="F242" s="331"/>
      <c r="G242" s="331"/>
      <c r="H242" s="331"/>
      <c r="I242" s="331"/>
      <c r="J242" s="331"/>
      <c r="K242" s="331"/>
      <c r="L242" s="331"/>
      <c r="M242" s="331"/>
      <c r="N242" s="331"/>
      <c r="O242" s="331"/>
      <c r="P242" s="331"/>
      <c r="Q242" s="331"/>
      <c r="R242" s="331"/>
      <c r="S242" s="331"/>
      <c r="T242" s="331"/>
      <c r="U242" s="331"/>
      <c r="V242" s="331"/>
      <c r="W242" s="331"/>
      <c r="X242" s="331"/>
      <c r="Y242" s="331"/>
      <c r="Z242" s="331"/>
      <c r="AA242" s="331"/>
      <c r="AB242" s="336"/>
      <c r="AC242" s="331"/>
      <c r="AD242" s="331"/>
      <c r="AE242" s="331"/>
      <c r="AF242" s="331"/>
      <c r="AG242" s="331"/>
      <c r="AH242" s="331"/>
      <c r="AI242" s="331"/>
      <c r="AJ242" s="331"/>
      <c r="AK242" s="331"/>
      <c r="AL242" s="331"/>
      <c r="AM242" s="331"/>
      <c r="AN242" s="331"/>
      <c r="AO242" s="331"/>
      <c r="AP242" s="331"/>
      <c r="AQ242" s="331"/>
      <c r="AR242" s="331"/>
      <c r="AS242" s="331"/>
      <c r="AT242" s="331"/>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19"/>
      <c r="CE242" s="119"/>
      <c r="CF242" s="119"/>
      <c r="CG242" s="119"/>
      <c r="CH242" s="119"/>
      <c r="CI242" s="119"/>
      <c r="CJ242" s="119"/>
      <c r="CK242" s="119"/>
    </row>
    <row r="243" spans="3:89" ht="18.75" x14ac:dyDescent="0.2">
      <c r="C243" s="334"/>
      <c r="D243" s="335"/>
      <c r="E243" s="336"/>
      <c r="F243" s="331"/>
      <c r="G243" s="331"/>
      <c r="H243" s="331"/>
      <c r="I243" s="331"/>
      <c r="J243" s="331"/>
      <c r="K243" s="331"/>
      <c r="L243" s="331"/>
      <c r="M243" s="331"/>
      <c r="N243" s="331"/>
      <c r="O243" s="331"/>
      <c r="P243" s="331"/>
      <c r="Q243" s="331"/>
      <c r="R243" s="331"/>
      <c r="S243" s="331"/>
      <c r="T243" s="331"/>
      <c r="U243" s="331"/>
      <c r="V243" s="331"/>
      <c r="W243" s="331"/>
      <c r="X243" s="331"/>
      <c r="Y243" s="331"/>
      <c r="Z243" s="331"/>
      <c r="AA243" s="331"/>
      <c r="AB243" s="332"/>
      <c r="AC243" s="331"/>
      <c r="AD243" s="331"/>
      <c r="AE243" s="331"/>
      <c r="AF243" s="331"/>
      <c r="AG243" s="331"/>
      <c r="AH243" s="331"/>
      <c r="AI243" s="331"/>
      <c r="AJ243" s="331"/>
      <c r="AK243" s="331"/>
      <c r="AL243" s="331"/>
      <c r="AM243" s="331"/>
      <c r="AN243" s="331"/>
      <c r="AO243" s="331"/>
      <c r="AP243" s="331"/>
      <c r="AQ243" s="331"/>
      <c r="AR243" s="331"/>
      <c r="AS243" s="331"/>
      <c r="AT243" s="331"/>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c r="CB243" s="119"/>
      <c r="CC243" s="119"/>
      <c r="CD243" s="119"/>
      <c r="CE243" s="119"/>
      <c r="CF243" s="119"/>
      <c r="CG243" s="119"/>
      <c r="CH243" s="119"/>
      <c r="CI243" s="119"/>
      <c r="CJ243" s="119"/>
      <c r="CK243" s="119"/>
    </row>
    <row r="244" spans="3:89" ht="18.75" x14ac:dyDescent="0.2">
      <c r="C244" s="334"/>
      <c r="D244" s="335"/>
      <c r="E244" s="336"/>
      <c r="F244" s="331"/>
      <c r="G244" s="331"/>
      <c r="H244" s="331"/>
      <c r="I244" s="331"/>
      <c r="J244" s="331"/>
      <c r="K244" s="331"/>
      <c r="L244" s="331"/>
      <c r="M244" s="331"/>
      <c r="N244" s="331"/>
      <c r="O244" s="331"/>
      <c r="P244" s="331"/>
      <c r="Q244" s="331"/>
      <c r="R244" s="331"/>
      <c r="S244" s="331"/>
      <c r="T244" s="331"/>
      <c r="U244" s="331"/>
      <c r="V244" s="331"/>
      <c r="W244" s="331"/>
      <c r="X244" s="331"/>
      <c r="Y244" s="331"/>
      <c r="Z244" s="331"/>
      <c r="AA244" s="331"/>
      <c r="AB244" s="332"/>
      <c r="AC244" s="331"/>
      <c r="AD244" s="331"/>
      <c r="AE244" s="331"/>
      <c r="AF244" s="331"/>
      <c r="AG244" s="331"/>
      <c r="AH244" s="331"/>
      <c r="AI244" s="331"/>
      <c r="AJ244" s="331"/>
      <c r="AK244" s="331"/>
      <c r="AL244" s="331"/>
      <c r="AM244" s="331"/>
      <c r="AN244" s="331"/>
      <c r="AO244" s="331"/>
      <c r="AP244" s="331"/>
      <c r="AQ244" s="331"/>
      <c r="AR244" s="331"/>
      <c r="AS244" s="331"/>
      <c r="AT244" s="331"/>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c r="CB244" s="119"/>
      <c r="CC244" s="119"/>
      <c r="CD244" s="119"/>
      <c r="CE244" s="119"/>
      <c r="CF244" s="119"/>
      <c r="CG244" s="119"/>
      <c r="CH244" s="119"/>
      <c r="CI244" s="119"/>
      <c r="CJ244" s="119"/>
      <c r="CK244" s="119"/>
    </row>
    <row r="245" spans="3:89" ht="18.75" x14ac:dyDescent="0.2">
      <c r="C245" s="334"/>
      <c r="D245" s="335"/>
      <c r="E245" s="336"/>
      <c r="F245" s="331"/>
      <c r="G245" s="331"/>
      <c r="H245" s="331"/>
      <c r="I245" s="331"/>
      <c r="J245" s="331"/>
      <c r="K245" s="331"/>
      <c r="L245" s="331"/>
      <c r="M245" s="331"/>
      <c r="N245" s="331"/>
      <c r="O245" s="331"/>
      <c r="P245" s="331"/>
      <c r="Q245" s="331"/>
      <c r="R245" s="331"/>
      <c r="S245" s="331"/>
      <c r="T245" s="331"/>
      <c r="U245" s="331"/>
      <c r="V245" s="331"/>
      <c r="W245" s="331"/>
      <c r="X245" s="331"/>
      <c r="Y245" s="331"/>
      <c r="Z245" s="331"/>
      <c r="AA245" s="331"/>
      <c r="AB245" s="332"/>
      <c r="AC245" s="331"/>
      <c r="AD245" s="331"/>
      <c r="AE245" s="331"/>
      <c r="AF245" s="331"/>
      <c r="AG245" s="331"/>
      <c r="AH245" s="331"/>
      <c r="AI245" s="331"/>
      <c r="AJ245" s="331"/>
      <c r="AK245" s="331"/>
      <c r="AL245" s="331"/>
      <c r="AM245" s="331"/>
      <c r="AN245" s="331"/>
      <c r="AO245" s="331"/>
      <c r="AP245" s="331"/>
      <c r="AQ245" s="331"/>
      <c r="AR245" s="331"/>
      <c r="AS245" s="331"/>
      <c r="AT245" s="331"/>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row>
    <row r="246" spans="3:89" ht="18.75" x14ac:dyDescent="0.2">
      <c r="C246" s="334"/>
      <c r="D246" s="335"/>
      <c r="E246" s="336"/>
      <c r="F246" s="331"/>
      <c r="G246" s="331"/>
      <c r="H246" s="331"/>
      <c r="I246" s="331"/>
      <c r="J246" s="331"/>
      <c r="K246" s="331"/>
      <c r="L246" s="331"/>
      <c r="M246" s="331"/>
      <c r="N246" s="331"/>
      <c r="O246" s="331"/>
      <c r="P246" s="331"/>
      <c r="Q246" s="331"/>
      <c r="R246" s="331"/>
      <c r="S246" s="331"/>
      <c r="T246" s="331"/>
      <c r="U246" s="331"/>
      <c r="V246" s="331"/>
      <c r="W246" s="331"/>
      <c r="X246" s="331"/>
      <c r="Y246" s="331"/>
      <c r="Z246" s="331"/>
      <c r="AA246" s="331"/>
      <c r="AB246" s="332"/>
      <c r="AC246" s="331"/>
      <c r="AD246" s="331"/>
      <c r="AE246" s="331"/>
      <c r="AF246" s="331"/>
      <c r="AG246" s="331"/>
      <c r="AH246" s="331"/>
      <c r="AI246" s="331"/>
      <c r="AJ246" s="331"/>
      <c r="AK246" s="331"/>
      <c r="AL246" s="331"/>
      <c r="AM246" s="331"/>
      <c r="AN246" s="331"/>
      <c r="AO246" s="331"/>
      <c r="AP246" s="331"/>
      <c r="AQ246" s="331"/>
      <c r="AR246" s="331"/>
      <c r="AS246" s="331"/>
      <c r="AT246" s="331"/>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row>
    <row r="247" spans="3:89" ht="18.75" x14ac:dyDescent="0.2">
      <c r="C247" s="334"/>
      <c r="D247" s="335"/>
      <c r="E247" s="336"/>
      <c r="F247" s="331"/>
      <c r="G247" s="331"/>
      <c r="H247" s="331"/>
      <c r="I247" s="331"/>
      <c r="J247" s="331"/>
      <c r="K247" s="331"/>
      <c r="L247" s="331"/>
      <c r="M247" s="331"/>
      <c r="N247" s="331"/>
      <c r="O247" s="331"/>
      <c r="P247" s="331"/>
      <c r="Q247" s="331"/>
      <c r="R247" s="331"/>
      <c r="S247" s="331"/>
      <c r="T247" s="331"/>
      <c r="U247" s="331"/>
      <c r="V247" s="331"/>
      <c r="W247" s="331"/>
      <c r="X247" s="331"/>
      <c r="Y247" s="331"/>
      <c r="Z247" s="331"/>
      <c r="AA247" s="331"/>
      <c r="AB247" s="332"/>
      <c r="AC247" s="331"/>
      <c r="AD247" s="331"/>
      <c r="AE247" s="331"/>
      <c r="AF247" s="331"/>
      <c r="AG247" s="331"/>
      <c r="AH247" s="331"/>
      <c r="AI247" s="331"/>
      <c r="AJ247" s="331"/>
      <c r="AK247" s="331"/>
      <c r="AL247" s="331"/>
      <c r="AM247" s="331"/>
      <c r="AN247" s="331"/>
      <c r="AO247" s="331"/>
      <c r="AP247" s="331"/>
      <c r="AQ247" s="331"/>
      <c r="AR247" s="331"/>
      <c r="AS247" s="331"/>
      <c r="AT247" s="331"/>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row>
    <row r="248" spans="3:89" ht="18.75" x14ac:dyDescent="0.2">
      <c r="C248" s="334"/>
      <c r="D248" s="335"/>
      <c r="E248" s="336"/>
      <c r="F248" s="331"/>
      <c r="G248" s="331"/>
      <c r="H248" s="331"/>
      <c r="I248" s="331"/>
      <c r="J248" s="331"/>
      <c r="K248" s="331"/>
      <c r="L248" s="331"/>
      <c r="M248" s="331"/>
      <c r="N248" s="331"/>
      <c r="O248" s="331"/>
      <c r="P248" s="331"/>
      <c r="Q248" s="331"/>
      <c r="R248" s="331"/>
      <c r="S248" s="331"/>
      <c r="T248" s="331"/>
      <c r="U248" s="331"/>
      <c r="V248" s="331"/>
      <c r="W248" s="331"/>
      <c r="X248" s="331"/>
      <c r="Y248" s="331"/>
      <c r="Z248" s="331"/>
      <c r="AA248" s="331"/>
      <c r="AB248" s="332"/>
      <c r="AC248" s="331"/>
      <c r="AD248" s="331"/>
      <c r="AE248" s="331"/>
      <c r="AF248" s="331"/>
      <c r="AG248" s="331"/>
      <c r="AH248" s="331"/>
      <c r="AI248" s="331"/>
      <c r="AJ248" s="331"/>
      <c r="AK248" s="331"/>
      <c r="AL248" s="331"/>
      <c r="AM248" s="331"/>
      <c r="AN248" s="331"/>
      <c r="AO248" s="331"/>
      <c r="AP248" s="331"/>
      <c r="AQ248" s="331"/>
      <c r="AR248" s="331"/>
      <c r="AS248" s="331"/>
      <c r="AT248" s="331"/>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row>
    <row r="249" spans="3:89" ht="18.75" x14ac:dyDescent="0.2">
      <c r="C249" s="334"/>
      <c r="D249" s="335"/>
      <c r="E249" s="336"/>
      <c r="F249" s="331"/>
      <c r="G249" s="331"/>
      <c r="H249" s="331"/>
      <c r="I249" s="331"/>
      <c r="J249" s="331"/>
      <c r="K249" s="331"/>
      <c r="L249" s="331"/>
      <c r="M249" s="331"/>
      <c r="N249" s="331"/>
      <c r="O249" s="331"/>
      <c r="P249" s="331"/>
      <c r="Q249" s="331"/>
      <c r="R249" s="331"/>
      <c r="S249" s="331"/>
      <c r="T249" s="331"/>
      <c r="U249" s="331"/>
      <c r="V249" s="331"/>
      <c r="W249" s="331"/>
      <c r="X249" s="331"/>
      <c r="Y249" s="331"/>
      <c r="Z249" s="331"/>
      <c r="AA249" s="331"/>
      <c r="AB249" s="332"/>
      <c r="AC249" s="331"/>
      <c r="AD249" s="331"/>
      <c r="AE249" s="331"/>
      <c r="AF249" s="331"/>
      <c r="AG249" s="331"/>
      <c r="AH249" s="331"/>
      <c r="AI249" s="331"/>
      <c r="AJ249" s="331"/>
      <c r="AK249" s="331"/>
      <c r="AL249" s="331"/>
      <c r="AM249" s="331"/>
      <c r="AN249" s="331"/>
      <c r="AO249" s="331"/>
      <c r="AP249" s="331"/>
      <c r="AQ249" s="331"/>
      <c r="AR249" s="331"/>
      <c r="AS249" s="331"/>
      <c r="AT249" s="331"/>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row>
    <row r="250" spans="3:89" ht="18.75" x14ac:dyDescent="0.2">
      <c r="C250" s="334"/>
      <c r="D250" s="335"/>
      <c r="E250" s="336"/>
      <c r="F250" s="331"/>
      <c r="G250" s="331"/>
      <c r="H250" s="331"/>
      <c r="I250" s="331"/>
      <c r="J250" s="331"/>
      <c r="K250" s="331"/>
      <c r="L250" s="331"/>
      <c r="M250" s="331"/>
      <c r="N250" s="331"/>
      <c r="O250" s="331"/>
      <c r="P250" s="331"/>
      <c r="Q250" s="331"/>
      <c r="R250" s="331"/>
      <c r="S250" s="331"/>
      <c r="T250" s="331"/>
      <c r="U250" s="331"/>
      <c r="V250" s="331"/>
      <c r="W250" s="331"/>
      <c r="X250" s="331"/>
      <c r="Y250" s="331"/>
      <c r="Z250" s="331"/>
      <c r="AA250" s="331"/>
      <c r="AB250" s="332"/>
      <c r="AC250" s="331"/>
      <c r="AD250" s="331"/>
      <c r="AE250" s="331"/>
      <c r="AF250" s="331"/>
      <c r="AG250" s="331"/>
      <c r="AH250" s="331"/>
      <c r="AI250" s="331"/>
      <c r="AJ250" s="331"/>
      <c r="AK250" s="331"/>
      <c r="AL250" s="331"/>
      <c r="AM250" s="331"/>
      <c r="AN250" s="331"/>
      <c r="AO250" s="331"/>
      <c r="AP250" s="331"/>
      <c r="AQ250" s="331"/>
      <c r="AR250" s="331"/>
      <c r="AS250" s="331"/>
      <c r="AT250" s="331"/>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row>
    <row r="251" spans="3:89" ht="18.75" x14ac:dyDescent="0.2">
      <c r="C251" s="334"/>
      <c r="D251" s="335"/>
      <c r="E251" s="336"/>
      <c r="F251" s="331"/>
      <c r="G251" s="331"/>
      <c r="H251" s="331"/>
      <c r="I251" s="331"/>
      <c r="J251" s="331"/>
      <c r="K251" s="331"/>
      <c r="L251" s="331"/>
      <c r="M251" s="331"/>
      <c r="N251" s="331"/>
      <c r="O251" s="331"/>
      <c r="P251" s="331"/>
      <c r="Q251" s="331"/>
      <c r="R251" s="331"/>
      <c r="S251" s="331"/>
      <c r="T251" s="331"/>
      <c r="U251" s="331"/>
      <c r="V251" s="331"/>
      <c r="W251" s="331"/>
      <c r="X251" s="331"/>
      <c r="Y251" s="331"/>
      <c r="Z251" s="331"/>
      <c r="AA251" s="331"/>
      <c r="AB251" s="332"/>
      <c r="AC251" s="331"/>
      <c r="AD251" s="331"/>
      <c r="AE251" s="331"/>
      <c r="AF251" s="331"/>
      <c r="AG251" s="331"/>
      <c r="AH251" s="331"/>
      <c r="AI251" s="331"/>
      <c r="AJ251" s="331"/>
      <c r="AK251" s="331"/>
      <c r="AL251" s="331"/>
      <c r="AM251" s="331"/>
      <c r="AN251" s="331"/>
      <c r="AO251" s="331"/>
      <c r="AP251" s="331"/>
      <c r="AQ251" s="331"/>
      <c r="AR251" s="331"/>
      <c r="AS251" s="331"/>
      <c r="AT251" s="331"/>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c r="CB251" s="119"/>
      <c r="CC251" s="119"/>
      <c r="CD251" s="119"/>
      <c r="CE251" s="119"/>
      <c r="CF251" s="119"/>
      <c r="CG251" s="119"/>
      <c r="CH251" s="119"/>
      <c r="CI251" s="119"/>
      <c r="CJ251" s="119"/>
      <c r="CK251" s="119"/>
    </row>
    <row r="252" spans="3:89" ht="18.75" x14ac:dyDescent="0.2">
      <c r="C252" s="334"/>
      <c r="D252" s="335"/>
      <c r="E252" s="336"/>
      <c r="F252" s="331"/>
      <c r="G252" s="331"/>
      <c r="H252" s="331"/>
      <c r="I252" s="331"/>
      <c r="J252" s="331"/>
      <c r="K252" s="331"/>
      <c r="L252" s="331"/>
      <c r="M252" s="331"/>
      <c r="N252" s="331"/>
      <c r="O252" s="331"/>
      <c r="P252" s="331"/>
      <c r="Q252" s="331"/>
      <c r="R252" s="331"/>
      <c r="S252" s="331"/>
      <c r="T252" s="331"/>
      <c r="U252" s="331"/>
      <c r="V252" s="331"/>
      <c r="W252" s="331"/>
      <c r="X252" s="331"/>
      <c r="Y252" s="331"/>
      <c r="Z252" s="331"/>
      <c r="AA252" s="331"/>
      <c r="AB252" s="332"/>
      <c r="AC252" s="331"/>
      <c r="AD252" s="331"/>
      <c r="AE252" s="331"/>
      <c r="AF252" s="331"/>
      <c r="AG252" s="331"/>
      <c r="AH252" s="331"/>
      <c r="AI252" s="331"/>
      <c r="AJ252" s="331"/>
      <c r="AK252" s="331"/>
      <c r="AL252" s="331"/>
      <c r="AM252" s="331"/>
      <c r="AN252" s="331"/>
      <c r="AO252" s="331"/>
      <c r="AP252" s="331"/>
      <c r="AQ252" s="331"/>
      <c r="AR252" s="331"/>
      <c r="AS252" s="331"/>
      <c r="AT252" s="331"/>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row>
    <row r="253" spans="3:89" ht="18.75" x14ac:dyDescent="0.2">
      <c r="C253" s="334"/>
      <c r="D253" s="335"/>
      <c r="E253" s="336"/>
      <c r="F253" s="331"/>
      <c r="G253" s="331"/>
      <c r="H253" s="331"/>
      <c r="I253" s="331"/>
      <c r="J253" s="331"/>
      <c r="K253" s="331"/>
      <c r="L253" s="331"/>
      <c r="M253" s="331"/>
      <c r="N253" s="331"/>
      <c r="O253" s="331"/>
      <c r="P253" s="331"/>
      <c r="Q253" s="331"/>
      <c r="R253" s="331"/>
      <c r="S253" s="331"/>
      <c r="T253" s="331"/>
      <c r="U253" s="331"/>
      <c r="V253" s="331"/>
      <c r="W253" s="331"/>
      <c r="X253" s="331"/>
      <c r="Y253" s="331"/>
      <c r="Z253" s="331"/>
      <c r="AA253" s="331"/>
      <c r="AB253" s="332"/>
      <c r="AC253" s="331"/>
      <c r="AD253" s="331"/>
      <c r="AE253" s="331"/>
      <c r="AF253" s="331"/>
      <c r="AG253" s="331"/>
      <c r="AH253" s="331"/>
      <c r="AI253" s="331"/>
      <c r="AJ253" s="331"/>
      <c r="AK253" s="331"/>
      <c r="AL253" s="331"/>
      <c r="AM253" s="331"/>
      <c r="AN253" s="331"/>
      <c r="AO253" s="331"/>
      <c r="AP253" s="331"/>
      <c r="AQ253" s="331"/>
      <c r="AR253" s="331"/>
      <c r="AS253" s="331"/>
      <c r="AT253" s="331"/>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c r="CF253" s="119"/>
      <c r="CG253" s="119"/>
      <c r="CH253" s="119"/>
      <c r="CI253" s="119"/>
      <c r="CJ253" s="119"/>
      <c r="CK253" s="119"/>
    </row>
    <row r="254" spans="3:89" ht="18.75" x14ac:dyDescent="0.2">
      <c r="C254" s="334"/>
      <c r="D254" s="335"/>
      <c r="E254" s="336"/>
      <c r="F254" s="331"/>
      <c r="G254" s="331"/>
      <c r="H254" s="331"/>
      <c r="I254" s="331"/>
      <c r="J254" s="331"/>
      <c r="K254" s="331"/>
      <c r="L254" s="331"/>
      <c r="M254" s="331"/>
      <c r="N254" s="331"/>
      <c r="O254" s="331"/>
      <c r="P254" s="331"/>
      <c r="Q254" s="331"/>
      <c r="R254" s="331"/>
      <c r="S254" s="331"/>
      <c r="T254" s="331"/>
      <c r="U254" s="331"/>
      <c r="V254" s="331"/>
      <c r="W254" s="331"/>
      <c r="X254" s="331"/>
      <c r="Y254" s="331"/>
      <c r="Z254" s="331"/>
      <c r="AA254" s="331"/>
      <c r="AB254" s="332"/>
      <c r="AC254" s="331"/>
      <c r="AD254" s="331"/>
      <c r="AE254" s="331"/>
      <c r="AF254" s="331"/>
      <c r="AG254" s="331"/>
      <c r="AH254" s="331"/>
      <c r="AI254" s="331"/>
      <c r="AJ254" s="331"/>
      <c r="AK254" s="331"/>
      <c r="AL254" s="331"/>
      <c r="AM254" s="331"/>
      <c r="AN254" s="331"/>
      <c r="AO254" s="331"/>
      <c r="AP254" s="331"/>
      <c r="AQ254" s="331"/>
      <c r="AR254" s="331"/>
      <c r="AS254" s="331"/>
      <c r="AT254" s="331"/>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row>
    <row r="255" spans="3:89" ht="18.75" x14ac:dyDescent="0.2">
      <c r="C255" s="334"/>
      <c r="D255" s="335"/>
      <c r="E255" s="336"/>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2"/>
      <c r="AC255" s="331"/>
      <c r="AD255" s="331"/>
      <c r="AE255" s="331"/>
      <c r="AF255" s="331"/>
      <c r="AG255" s="331"/>
      <c r="AH255" s="331"/>
      <c r="AI255" s="331"/>
      <c r="AJ255" s="331"/>
      <c r="AK255" s="331"/>
      <c r="AL255" s="331"/>
      <c r="AM255" s="331"/>
      <c r="AN255" s="331"/>
      <c r="AO255" s="331"/>
      <c r="AP255" s="331"/>
      <c r="AQ255" s="331"/>
      <c r="AR255" s="331"/>
      <c r="AS255" s="331"/>
      <c r="AT255" s="331"/>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c r="CB255" s="119"/>
      <c r="CC255" s="119"/>
      <c r="CD255" s="119"/>
      <c r="CE255" s="119"/>
      <c r="CF255" s="119"/>
      <c r="CG255" s="119"/>
      <c r="CH255" s="119"/>
      <c r="CI255" s="119"/>
      <c r="CJ255" s="119"/>
      <c r="CK255" s="119"/>
    </row>
    <row r="256" spans="3:89" ht="18.75" x14ac:dyDescent="0.2">
      <c r="C256" s="334"/>
      <c r="D256" s="335"/>
      <c r="E256" s="336"/>
      <c r="F256" s="331"/>
      <c r="G256" s="331"/>
      <c r="H256" s="331"/>
      <c r="I256" s="331"/>
      <c r="J256" s="331"/>
      <c r="K256" s="331"/>
      <c r="L256" s="331"/>
      <c r="M256" s="331"/>
      <c r="N256" s="331"/>
      <c r="O256" s="331"/>
      <c r="P256" s="331"/>
      <c r="Q256" s="331"/>
      <c r="R256" s="331"/>
      <c r="S256" s="331"/>
      <c r="T256" s="331"/>
      <c r="U256" s="331"/>
      <c r="V256" s="331"/>
      <c r="W256" s="331"/>
      <c r="X256" s="331"/>
      <c r="Y256" s="331"/>
      <c r="Z256" s="331"/>
      <c r="AA256" s="331"/>
      <c r="AB256" s="332"/>
      <c r="AC256" s="331"/>
      <c r="AD256" s="331"/>
      <c r="AE256" s="331"/>
      <c r="AF256" s="331"/>
      <c r="AG256" s="331"/>
      <c r="AH256" s="331"/>
      <c r="AI256" s="331"/>
      <c r="AJ256" s="331"/>
      <c r="AK256" s="331"/>
      <c r="AL256" s="331"/>
      <c r="AM256" s="331"/>
      <c r="AN256" s="331"/>
      <c r="AO256" s="331"/>
      <c r="AP256" s="331"/>
      <c r="AQ256" s="331"/>
      <c r="AR256" s="331"/>
      <c r="AS256" s="331"/>
      <c r="AT256" s="331"/>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c r="CB256" s="119"/>
      <c r="CC256" s="119"/>
      <c r="CD256" s="119"/>
      <c r="CE256" s="119"/>
      <c r="CF256" s="119"/>
      <c r="CG256" s="119"/>
      <c r="CH256" s="119"/>
      <c r="CI256" s="119"/>
      <c r="CJ256" s="119"/>
      <c r="CK256" s="119"/>
    </row>
    <row r="257" spans="3:89" ht="18.75" x14ac:dyDescent="0.2">
      <c r="C257" s="334"/>
      <c r="D257" s="335"/>
      <c r="E257" s="336"/>
      <c r="F257" s="331"/>
      <c r="G257" s="331"/>
      <c r="H257" s="331"/>
      <c r="I257" s="331"/>
      <c r="J257" s="331"/>
      <c r="K257" s="331"/>
      <c r="L257" s="331"/>
      <c r="M257" s="331"/>
      <c r="N257" s="331"/>
      <c r="O257" s="331"/>
      <c r="P257" s="331"/>
      <c r="Q257" s="331"/>
      <c r="R257" s="331"/>
      <c r="S257" s="331"/>
      <c r="T257" s="331"/>
      <c r="U257" s="331"/>
      <c r="V257" s="331"/>
      <c r="W257" s="331"/>
      <c r="X257" s="331"/>
      <c r="Y257" s="331"/>
      <c r="Z257" s="331"/>
      <c r="AA257" s="331"/>
      <c r="AB257" s="332"/>
      <c r="AC257" s="331"/>
      <c r="AD257" s="331"/>
      <c r="AE257" s="331"/>
      <c r="AF257" s="331"/>
      <c r="AG257" s="331"/>
      <c r="AH257" s="331"/>
      <c r="AI257" s="331"/>
      <c r="AJ257" s="331"/>
      <c r="AK257" s="331"/>
      <c r="AL257" s="331"/>
      <c r="AM257" s="331"/>
      <c r="AN257" s="331"/>
      <c r="AO257" s="331"/>
      <c r="AP257" s="331"/>
      <c r="AQ257" s="331"/>
      <c r="AR257" s="331"/>
      <c r="AS257" s="331"/>
      <c r="AT257" s="331"/>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c r="CB257" s="119"/>
      <c r="CC257" s="119"/>
      <c r="CD257" s="119"/>
      <c r="CE257" s="119"/>
      <c r="CF257" s="119"/>
      <c r="CG257" s="119"/>
      <c r="CH257" s="119"/>
      <c r="CI257" s="119"/>
      <c r="CJ257" s="119"/>
      <c r="CK257" s="119"/>
    </row>
    <row r="258" spans="3:89" ht="18.75" x14ac:dyDescent="0.2">
      <c r="C258" s="334"/>
      <c r="D258" s="335"/>
      <c r="E258" s="336"/>
      <c r="F258" s="331"/>
      <c r="G258" s="331"/>
      <c r="H258" s="331"/>
      <c r="I258" s="331"/>
      <c r="J258" s="331"/>
      <c r="K258" s="331"/>
      <c r="L258" s="331"/>
      <c r="M258" s="331"/>
      <c r="N258" s="331"/>
      <c r="O258" s="331"/>
      <c r="P258" s="331"/>
      <c r="Q258" s="331"/>
      <c r="R258" s="331"/>
      <c r="S258" s="331"/>
      <c r="T258" s="331"/>
      <c r="U258" s="331"/>
      <c r="V258" s="331"/>
      <c r="W258" s="331"/>
      <c r="X258" s="331"/>
      <c r="Y258" s="331"/>
      <c r="Z258" s="331"/>
      <c r="AA258" s="331"/>
      <c r="AB258" s="332"/>
      <c r="AC258" s="331"/>
      <c r="AD258" s="331"/>
      <c r="AE258" s="331"/>
      <c r="AF258" s="331"/>
      <c r="AG258" s="331"/>
      <c r="AH258" s="331"/>
      <c r="AI258" s="331"/>
      <c r="AJ258" s="331"/>
      <c r="AK258" s="331"/>
      <c r="AL258" s="331"/>
      <c r="AM258" s="331"/>
      <c r="AN258" s="331"/>
      <c r="AO258" s="331"/>
      <c r="AP258" s="331"/>
      <c r="AQ258" s="331"/>
      <c r="AR258" s="331"/>
      <c r="AS258" s="331"/>
      <c r="AT258" s="331"/>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c r="CB258" s="119"/>
      <c r="CC258" s="119"/>
      <c r="CD258" s="119"/>
      <c r="CE258" s="119"/>
      <c r="CF258" s="119"/>
      <c r="CG258" s="119"/>
      <c r="CH258" s="119"/>
      <c r="CI258" s="119"/>
      <c r="CJ258" s="119"/>
      <c r="CK258" s="119"/>
    </row>
    <row r="259" spans="3:89" ht="18.75" x14ac:dyDescent="0.2">
      <c r="C259" s="334"/>
      <c r="D259" s="335"/>
      <c r="E259" s="336"/>
      <c r="F259" s="331"/>
      <c r="G259" s="331"/>
      <c r="H259" s="331"/>
      <c r="I259" s="331"/>
      <c r="J259" s="331"/>
      <c r="K259" s="331"/>
      <c r="L259" s="331"/>
      <c r="M259" s="331"/>
      <c r="N259" s="331"/>
      <c r="O259" s="331"/>
      <c r="P259" s="331"/>
      <c r="Q259" s="331"/>
      <c r="R259" s="331"/>
      <c r="S259" s="331"/>
      <c r="T259" s="331"/>
      <c r="U259" s="331"/>
      <c r="V259" s="331"/>
      <c r="W259" s="331"/>
      <c r="X259" s="331"/>
      <c r="Y259" s="331"/>
      <c r="Z259" s="331"/>
      <c r="AA259" s="331"/>
      <c r="AB259" s="332"/>
      <c r="AC259" s="331"/>
      <c r="AD259" s="331"/>
      <c r="AE259" s="331"/>
      <c r="AF259" s="331"/>
      <c r="AG259" s="331"/>
      <c r="AH259" s="331"/>
      <c r="AI259" s="331"/>
      <c r="AJ259" s="331"/>
      <c r="AK259" s="331"/>
      <c r="AL259" s="331"/>
      <c r="AM259" s="331"/>
      <c r="AN259" s="331"/>
      <c r="AO259" s="331"/>
      <c r="AP259" s="331"/>
      <c r="AQ259" s="331"/>
      <c r="AR259" s="331"/>
      <c r="AS259" s="331"/>
      <c r="AT259" s="331"/>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c r="CB259" s="119"/>
      <c r="CC259" s="119"/>
      <c r="CD259" s="119"/>
      <c r="CE259" s="119"/>
      <c r="CF259" s="119"/>
      <c r="CG259" s="119"/>
      <c r="CH259" s="119"/>
      <c r="CI259" s="119"/>
      <c r="CJ259" s="119"/>
      <c r="CK259" s="119"/>
    </row>
    <row r="260" spans="3:89" ht="18.75" x14ac:dyDescent="0.2">
      <c r="C260" s="334"/>
      <c r="D260" s="335"/>
      <c r="E260" s="336"/>
      <c r="F260" s="331"/>
      <c r="G260" s="331"/>
      <c r="H260" s="331"/>
      <c r="I260" s="331"/>
      <c r="J260" s="331"/>
      <c r="K260" s="331"/>
      <c r="L260" s="331"/>
      <c r="M260" s="331"/>
      <c r="N260" s="331"/>
      <c r="O260" s="331"/>
      <c r="P260" s="331"/>
      <c r="Q260" s="331"/>
      <c r="R260" s="331"/>
      <c r="S260" s="331"/>
      <c r="T260" s="331"/>
      <c r="U260" s="331"/>
      <c r="V260" s="331"/>
      <c r="W260" s="331"/>
      <c r="X260" s="331"/>
      <c r="Y260" s="331"/>
      <c r="Z260" s="331"/>
      <c r="AA260" s="331"/>
      <c r="AB260" s="332"/>
      <c r="AC260" s="331"/>
      <c r="AD260" s="331"/>
      <c r="AE260" s="331"/>
      <c r="AF260" s="331"/>
      <c r="AG260" s="331"/>
      <c r="AH260" s="331"/>
      <c r="AI260" s="331"/>
      <c r="AJ260" s="331"/>
      <c r="AK260" s="331"/>
      <c r="AL260" s="331"/>
      <c r="AM260" s="331"/>
      <c r="AN260" s="331"/>
      <c r="AO260" s="331"/>
      <c r="AP260" s="331"/>
      <c r="AQ260" s="331"/>
      <c r="AR260" s="331"/>
      <c r="AS260" s="331"/>
      <c r="AT260" s="331"/>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c r="CB260" s="119"/>
      <c r="CC260" s="119"/>
      <c r="CD260" s="119"/>
      <c r="CE260" s="119"/>
      <c r="CF260" s="119"/>
      <c r="CG260" s="119"/>
      <c r="CH260" s="119"/>
      <c r="CI260" s="119"/>
      <c r="CJ260" s="119"/>
      <c r="CK260" s="119"/>
    </row>
    <row r="261" spans="3:89" ht="18.75" x14ac:dyDescent="0.2">
      <c r="C261" s="334"/>
      <c r="D261" s="335"/>
      <c r="E261" s="336"/>
      <c r="F261" s="331"/>
      <c r="G261" s="331"/>
      <c r="H261" s="331"/>
      <c r="I261" s="331"/>
      <c r="J261" s="331"/>
      <c r="K261" s="331"/>
      <c r="L261" s="331"/>
      <c r="M261" s="331"/>
      <c r="N261" s="331"/>
      <c r="O261" s="331"/>
      <c r="P261" s="331"/>
      <c r="Q261" s="331"/>
      <c r="R261" s="331"/>
      <c r="S261" s="331"/>
      <c r="T261" s="331"/>
      <c r="U261" s="331"/>
      <c r="V261" s="331"/>
      <c r="W261" s="331"/>
      <c r="X261" s="331"/>
      <c r="Y261" s="331"/>
      <c r="Z261" s="331"/>
      <c r="AA261" s="331"/>
      <c r="AB261" s="332"/>
      <c r="AC261" s="331"/>
      <c r="AD261" s="331"/>
      <c r="AE261" s="331"/>
      <c r="AF261" s="331"/>
      <c r="AG261" s="331"/>
      <c r="AH261" s="331"/>
      <c r="AI261" s="331"/>
      <c r="AJ261" s="331"/>
      <c r="AK261" s="331"/>
      <c r="AL261" s="331"/>
      <c r="AM261" s="331"/>
      <c r="AN261" s="331"/>
      <c r="AO261" s="331"/>
      <c r="AP261" s="331"/>
      <c r="AQ261" s="331"/>
      <c r="AR261" s="331"/>
      <c r="AS261" s="331"/>
      <c r="AT261" s="331"/>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c r="CB261" s="119"/>
      <c r="CC261" s="119"/>
      <c r="CD261" s="119"/>
      <c r="CE261" s="119"/>
      <c r="CF261" s="119"/>
      <c r="CG261" s="119"/>
      <c r="CH261" s="119"/>
      <c r="CI261" s="119"/>
      <c r="CJ261" s="119"/>
      <c r="CK261" s="119"/>
    </row>
    <row r="262" spans="3:89" ht="18.75" x14ac:dyDescent="0.2">
      <c r="C262" s="334"/>
      <c r="D262" s="335"/>
      <c r="E262" s="336"/>
      <c r="F262" s="331"/>
      <c r="G262" s="331"/>
      <c r="H262" s="331"/>
      <c r="I262" s="331"/>
      <c r="J262" s="331"/>
      <c r="K262" s="331"/>
      <c r="L262" s="331"/>
      <c r="M262" s="331"/>
      <c r="N262" s="331"/>
      <c r="O262" s="331"/>
      <c r="P262" s="331"/>
      <c r="Q262" s="331"/>
      <c r="R262" s="331"/>
      <c r="S262" s="331"/>
      <c r="T262" s="331"/>
      <c r="U262" s="331"/>
      <c r="V262" s="331"/>
      <c r="W262" s="331"/>
      <c r="X262" s="331"/>
      <c r="Y262" s="331"/>
      <c r="Z262" s="331"/>
      <c r="AA262" s="331"/>
      <c r="AB262" s="332"/>
      <c r="AC262" s="331"/>
      <c r="AD262" s="331"/>
      <c r="AE262" s="331"/>
      <c r="AF262" s="331"/>
      <c r="AG262" s="331"/>
      <c r="AH262" s="331"/>
      <c r="AI262" s="331"/>
      <c r="AJ262" s="331"/>
      <c r="AK262" s="331"/>
      <c r="AL262" s="331"/>
      <c r="AM262" s="331"/>
      <c r="AN262" s="331"/>
      <c r="AO262" s="331"/>
      <c r="AP262" s="331"/>
      <c r="AQ262" s="331"/>
      <c r="AR262" s="331"/>
      <c r="AS262" s="331"/>
      <c r="AT262" s="331"/>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c r="CB262" s="119"/>
      <c r="CC262" s="119"/>
      <c r="CD262" s="119"/>
      <c r="CE262" s="119"/>
      <c r="CF262" s="119"/>
      <c r="CG262" s="119"/>
      <c r="CH262" s="119"/>
      <c r="CI262" s="119"/>
      <c r="CJ262" s="119"/>
      <c r="CK262" s="119"/>
    </row>
    <row r="263" spans="3:89" ht="18.75" x14ac:dyDescent="0.2">
      <c r="C263" s="334"/>
      <c r="D263" s="335"/>
      <c r="E263" s="336"/>
      <c r="F263" s="331"/>
      <c r="G263" s="331"/>
      <c r="H263" s="331"/>
      <c r="I263" s="331"/>
      <c r="J263" s="331"/>
      <c r="K263" s="331"/>
      <c r="L263" s="331"/>
      <c r="M263" s="331"/>
      <c r="N263" s="331"/>
      <c r="O263" s="331"/>
      <c r="P263" s="331"/>
      <c r="Q263" s="331"/>
      <c r="R263" s="331"/>
      <c r="S263" s="331"/>
      <c r="T263" s="331"/>
      <c r="U263" s="331"/>
      <c r="V263" s="331"/>
      <c r="W263" s="331"/>
      <c r="X263" s="331"/>
      <c r="Y263" s="331"/>
      <c r="Z263" s="331"/>
      <c r="AA263" s="331"/>
      <c r="AB263" s="332"/>
      <c r="AC263" s="331"/>
      <c r="AD263" s="331"/>
      <c r="AE263" s="331"/>
      <c r="AF263" s="331"/>
      <c r="AG263" s="331"/>
      <c r="AH263" s="331"/>
      <c r="AI263" s="331"/>
      <c r="AJ263" s="331"/>
      <c r="AK263" s="331"/>
      <c r="AL263" s="331"/>
      <c r="AM263" s="331"/>
      <c r="AN263" s="331"/>
      <c r="AO263" s="331"/>
      <c r="AP263" s="331"/>
      <c r="AQ263" s="331"/>
      <c r="AR263" s="331"/>
      <c r="AS263" s="331"/>
      <c r="AT263" s="331"/>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c r="CB263" s="119"/>
      <c r="CC263" s="119"/>
      <c r="CD263" s="119"/>
      <c r="CE263" s="119"/>
      <c r="CF263" s="119"/>
      <c r="CG263" s="119"/>
      <c r="CH263" s="119"/>
      <c r="CI263" s="119"/>
      <c r="CJ263" s="119"/>
      <c r="CK263" s="119"/>
    </row>
    <row r="264" spans="3:89" ht="18.75" x14ac:dyDescent="0.2">
      <c r="C264" s="334"/>
      <c r="D264" s="335"/>
      <c r="E264" s="336"/>
      <c r="F264" s="331"/>
      <c r="G264" s="331"/>
      <c r="H264" s="331"/>
      <c r="I264" s="331"/>
      <c r="J264" s="331"/>
      <c r="K264" s="331"/>
      <c r="L264" s="331"/>
      <c r="M264" s="331"/>
      <c r="N264" s="331"/>
      <c r="O264" s="331"/>
      <c r="P264" s="331"/>
      <c r="Q264" s="331"/>
      <c r="R264" s="331"/>
      <c r="S264" s="331"/>
      <c r="T264" s="331"/>
      <c r="U264" s="331"/>
      <c r="V264" s="331"/>
      <c r="W264" s="331"/>
      <c r="X264" s="331"/>
      <c r="Y264" s="331"/>
      <c r="Z264" s="331"/>
      <c r="AA264" s="331"/>
      <c r="AB264" s="332"/>
      <c r="AC264" s="331"/>
      <c r="AD264" s="331"/>
      <c r="AE264" s="331"/>
      <c r="AF264" s="331"/>
      <c r="AG264" s="331"/>
      <c r="AH264" s="331"/>
      <c r="AI264" s="331"/>
      <c r="AJ264" s="331"/>
      <c r="AK264" s="331"/>
      <c r="AL264" s="331"/>
      <c r="AM264" s="331"/>
      <c r="AN264" s="331"/>
      <c r="AO264" s="331"/>
      <c r="AP264" s="331"/>
      <c r="AQ264" s="331"/>
      <c r="AR264" s="331"/>
      <c r="AS264" s="331"/>
      <c r="AT264" s="331"/>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c r="CB264" s="119"/>
      <c r="CC264" s="119"/>
      <c r="CD264" s="119"/>
      <c r="CE264" s="119"/>
      <c r="CF264" s="119"/>
      <c r="CG264" s="119"/>
      <c r="CH264" s="119"/>
      <c r="CI264" s="119"/>
      <c r="CJ264" s="119"/>
      <c r="CK264" s="119"/>
    </row>
    <row r="265" spans="3:89" ht="18.75" x14ac:dyDescent="0.2">
      <c r="C265" s="334"/>
      <c r="D265" s="335"/>
      <c r="E265" s="336"/>
      <c r="F265" s="331"/>
      <c r="G265" s="331"/>
      <c r="H265" s="331"/>
      <c r="I265" s="331"/>
      <c r="J265" s="331"/>
      <c r="K265" s="331"/>
      <c r="L265" s="331"/>
      <c r="M265" s="331"/>
      <c r="N265" s="331"/>
      <c r="O265" s="331"/>
      <c r="P265" s="331"/>
      <c r="Q265" s="331"/>
      <c r="R265" s="331"/>
      <c r="S265" s="331"/>
      <c r="T265" s="331"/>
      <c r="U265" s="331"/>
      <c r="V265" s="331"/>
      <c r="W265" s="331"/>
      <c r="X265" s="331"/>
      <c r="Y265" s="331"/>
      <c r="Z265" s="331"/>
      <c r="AA265" s="331"/>
      <c r="AB265" s="332"/>
      <c r="AC265" s="331"/>
      <c r="AD265" s="331"/>
      <c r="AE265" s="331"/>
      <c r="AF265" s="331"/>
      <c r="AG265" s="331"/>
      <c r="AH265" s="331"/>
      <c r="AI265" s="331"/>
      <c r="AJ265" s="331"/>
      <c r="AK265" s="331"/>
      <c r="AL265" s="331"/>
      <c r="AM265" s="331"/>
      <c r="AN265" s="331"/>
      <c r="AO265" s="331"/>
      <c r="AP265" s="331"/>
      <c r="AQ265" s="331"/>
      <c r="AR265" s="331"/>
      <c r="AS265" s="331"/>
      <c r="AT265" s="331"/>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c r="CB265" s="119"/>
      <c r="CC265" s="119"/>
      <c r="CD265" s="119"/>
      <c r="CE265" s="119"/>
      <c r="CF265" s="119"/>
      <c r="CG265" s="119"/>
      <c r="CH265" s="119"/>
      <c r="CI265" s="119"/>
      <c r="CJ265" s="119"/>
      <c r="CK265" s="119"/>
    </row>
    <row r="266" spans="3:89" ht="18.75" x14ac:dyDescent="0.2">
      <c r="C266" s="334"/>
      <c r="D266" s="335"/>
      <c r="E266" s="336"/>
      <c r="F266" s="331"/>
      <c r="G266" s="331"/>
      <c r="H266" s="331"/>
      <c r="I266" s="331"/>
      <c r="J266" s="331"/>
      <c r="K266" s="331"/>
      <c r="L266" s="331"/>
      <c r="M266" s="331"/>
      <c r="N266" s="331"/>
      <c r="O266" s="331"/>
      <c r="P266" s="331"/>
      <c r="Q266" s="331"/>
      <c r="R266" s="331"/>
      <c r="S266" s="331"/>
      <c r="T266" s="331"/>
      <c r="U266" s="331"/>
      <c r="V266" s="331"/>
      <c r="W266" s="331"/>
      <c r="X266" s="331"/>
      <c r="Y266" s="331"/>
      <c r="Z266" s="331"/>
      <c r="AA266" s="331"/>
      <c r="AB266" s="332"/>
      <c r="AC266" s="331"/>
      <c r="AD266" s="331"/>
      <c r="AE266" s="331"/>
      <c r="AF266" s="331"/>
      <c r="AG266" s="331"/>
      <c r="AH266" s="331"/>
      <c r="AI266" s="331"/>
      <c r="AJ266" s="331"/>
      <c r="AK266" s="331"/>
      <c r="AL266" s="331"/>
      <c r="AM266" s="331"/>
      <c r="AN266" s="331"/>
      <c r="AO266" s="331"/>
      <c r="AP266" s="331"/>
      <c r="AQ266" s="331"/>
      <c r="AR266" s="331"/>
      <c r="AS266" s="331"/>
      <c r="AT266" s="331"/>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c r="CB266" s="119"/>
      <c r="CC266" s="119"/>
      <c r="CD266" s="119"/>
      <c r="CE266" s="119"/>
      <c r="CF266" s="119"/>
      <c r="CG266" s="119"/>
      <c r="CH266" s="119"/>
      <c r="CI266" s="119"/>
      <c r="CJ266" s="119"/>
      <c r="CK266" s="119"/>
    </row>
    <row r="267" spans="3:89" ht="18.75" x14ac:dyDescent="0.2">
      <c r="C267" s="334"/>
      <c r="D267" s="335"/>
      <c r="E267" s="336"/>
      <c r="F267" s="331"/>
      <c r="G267" s="331"/>
      <c r="H267" s="331"/>
      <c r="I267" s="331"/>
      <c r="J267" s="331"/>
      <c r="K267" s="331"/>
      <c r="L267" s="331"/>
      <c r="M267" s="331"/>
      <c r="N267" s="331"/>
      <c r="O267" s="331"/>
      <c r="P267" s="331"/>
      <c r="Q267" s="331"/>
      <c r="R267" s="331"/>
      <c r="S267" s="331"/>
      <c r="T267" s="331"/>
      <c r="U267" s="331"/>
      <c r="V267" s="331"/>
      <c r="W267" s="331"/>
      <c r="X267" s="331"/>
      <c r="Y267" s="331"/>
      <c r="Z267" s="331"/>
      <c r="AA267" s="331"/>
      <c r="AB267" s="332"/>
      <c r="AC267" s="331"/>
      <c r="AD267" s="331"/>
      <c r="AE267" s="331"/>
      <c r="AF267" s="331"/>
      <c r="AG267" s="331"/>
      <c r="AH267" s="331"/>
      <c r="AI267" s="331"/>
      <c r="AJ267" s="331"/>
      <c r="AK267" s="331"/>
      <c r="AL267" s="331"/>
      <c r="AM267" s="331"/>
      <c r="AN267" s="331"/>
      <c r="AO267" s="331"/>
      <c r="AP267" s="331"/>
      <c r="AQ267" s="331"/>
      <c r="AR267" s="331"/>
      <c r="AS267" s="331"/>
      <c r="AT267" s="331"/>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c r="CB267" s="119"/>
      <c r="CC267" s="119"/>
      <c r="CD267" s="119"/>
      <c r="CE267" s="119"/>
      <c r="CF267" s="119"/>
      <c r="CG267" s="119"/>
      <c r="CH267" s="119"/>
      <c r="CI267" s="119"/>
      <c r="CJ267" s="119"/>
      <c r="CK267" s="119"/>
    </row>
    <row r="268" spans="3:89" ht="18.75" x14ac:dyDescent="0.2">
      <c r="C268" s="334"/>
      <c r="D268" s="335"/>
      <c r="E268" s="336"/>
      <c r="F268" s="331"/>
      <c r="G268" s="331"/>
      <c r="H268" s="331"/>
      <c r="I268" s="331"/>
      <c r="J268" s="331"/>
      <c r="K268" s="331"/>
      <c r="L268" s="331"/>
      <c r="M268" s="331"/>
      <c r="N268" s="331"/>
      <c r="O268" s="331"/>
      <c r="P268" s="331"/>
      <c r="Q268" s="331"/>
      <c r="R268" s="331"/>
      <c r="S268" s="331"/>
      <c r="T268" s="331"/>
      <c r="U268" s="331"/>
      <c r="V268" s="331"/>
      <c r="W268" s="331"/>
      <c r="X268" s="331"/>
      <c r="Y268" s="331"/>
      <c r="Z268" s="331"/>
      <c r="AA268" s="331"/>
      <c r="AB268" s="332"/>
      <c r="AC268" s="331"/>
      <c r="AD268" s="331"/>
      <c r="AE268" s="331"/>
      <c r="AF268" s="331"/>
      <c r="AG268" s="331"/>
      <c r="AH268" s="331"/>
      <c r="AI268" s="331"/>
      <c r="AJ268" s="331"/>
      <c r="AK268" s="331"/>
      <c r="AL268" s="331"/>
      <c r="AM268" s="331"/>
      <c r="AN268" s="331"/>
      <c r="AO268" s="331"/>
      <c r="AP268" s="331"/>
      <c r="AQ268" s="331"/>
      <c r="AR268" s="331"/>
      <c r="AS268" s="331"/>
      <c r="AT268" s="331"/>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c r="CF268" s="119"/>
      <c r="CG268" s="119"/>
      <c r="CH268" s="119"/>
      <c r="CI268" s="119"/>
      <c r="CJ268" s="119"/>
      <c r="CK268" s="119"/>
    </row>
    <row r="269" spans="3:89" ht="18.75" x14ac:dyDescent="0.2">
      <c r="C269" s="334"/>
      <c r="D269" s="335"/>
      <c r="E269" s="336"/>
      <c r="F269" s="331"/>
      <c r="G269" s="331"/>
      <c r="H269" s="331"/>
      <c r="I269" s="331"/>
      <c r="J269" s="331"/>
      <c r="K269" s="331"/>
      <c r="L269" s="331"/>
      <c r="M269" s="331"/>
      <c r="N269" s="331"/>
      <c r="O269" s="331"/>
      <c r="P269" s="331"/>
      <c r="Q269" s="331"/>
      <c r="R269" s="331"/>
      <c r="S269" s="331"/>
      <c r="T269" s="331"/>
      <c r="U269" s="331"/>
      <c r="V269" s="331"/>
      <c r="W269" s="331"/>
      <c r="X269" s="331"/>
      <c r="Y269" s="331"/>
      <c r="Z269" s="331"/>
      <c r="AA269" s="331"/>
      <c r="AB269" s="332"/>
      <c r="AC269" s="331"/>
      <c r="AD269" s="331"/>
      <c r="AE269" s="331"/>
      <c r="AF269" s="331"/>
      <c r="AG269" s="331"/>
      <c r="AH269" s="331"/>
      <c r="AI269" s="331"/>
      <c r="AJ269" s="331"/>
      <c r="AK269" s="331"/>
      <c r="AL269" s="331"/>
      <c r="AM269" s="331"/>
      <c r="AN269" s="331"/>
      <c r="AO269" s="331"/>
      <c r="AP269" s="331"/>
      <c r="AQ269" s="331"/>
      <c r="AR269" s="331"/>
      <c r="AS269" s="331"/>
      <c r="AT269" s="331"/>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c r="CB269" s="119"/>
      <c r="CC269" s="119"/>
      <c r="CD269" s="119"/>
      <c r="CE269" s="119"/>
      <c r="CF269" s="119"/>
      <c r="CG269" s="119"/>
      <c r="CH269" s="119"/>
      <c r="CI269" s="119"/>
      <c r="CJ269" s="119"/>
      <c r="CK269" s="119"/>
    </row>
    <row r="270" spans="3:89" ht="18.75" x14ac:dyDescent="0.2">
      <c r="C270" s="334"/>
      <c r="D270" s="335"/>
      <c r="E270" s="336"/>
      <c r="F270" s="331"/>
      <c r="G270" s="331"/>
      <c r="H270" s="331"/>
      <c r="I270" s="331"/>
      <c r="J270" s="331"/>
      <c r="K270" s="331"/>
      <c r="L270" s="331"/>
      <c r="M270" s="331"/>
      <c r="N270" s="331"/>
      <c r="O270" s="331"/>
      <c r="P270" s="331"/>
      <c r="Q270" s="331"/>
      <c r="R270" s="331"/>
      <c r="S270" s="331"/>
      <c r="T270" s="331"/>
      <c r="U270" s="331"/>
      <c r="V270" s="331"/>
      <c r="W270" s="331"/>
      <c r="X270" s="331"/>
      <c r="Y270" s="331"/>
      <c r="Z270" s="331"/>
      <c r="AA270" s="331"/>
      <c r="AB270" s="332"/>
      <c r="AC270" s="331"/>
      <c r="AD270" s="331"/>
      <c r="AE270" s="331"/>
      <c r="AF270" s="331"/>
      <c r="AG270" s="331"/>
      <c r="AH270" s="331"/>
      <c r="AI270" s="331"/>
      <c r="AJ270" s="331"/>
      <c r="AK270" s="331"/>
      <c r="AL270" s="331"/>
      <c r="AM270" s="331"/>
      <c r="AN270" s="331"/>
      <c r="AO270" s="331"/>
      <c r="AP270" s="331"/>
      <c r="AQ270" s="331"/>
      <c r="AR270" s="331"/>
      <c r="AS270" s="331"/>
      <c r="AT270" s="331"/>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c r="CF270" s="159"/>
      <c r="CG270" s="159"/>
      <c r="CH270" s="159"/>
      <c r="CI270" s="159"/>
      <c r="CJ270" s="159"/>
      <c r="CK270" s="159"/>
    </row>
    <row r="271" spans="3:89" ht="18.75" x14ac:dyDescent="0.2">
      <c r="C271" s="334"/>
      <c r="D271" s="335"/>
      <c r="E271" s="336"/>
      <c r="F271" s="331"/>
      <c r="G271" s="331"/>
      <c r="H271" s="331"/>
      <c r="I271" s="331"/>
      <c r="J271" s="331"/>
      <c r="K271" s="331"/>
      <c r="L271" s="331"/>
      <c r="M271" s="331"/>
      <c r="N271" s="331"/>
      <c r="O271" s="331"/>
      <c r="P271" s="331"/>
      <c r="Q271" s="331"/>
      <c r="R271" s="331"/>
      <c r="S271" s="331"/>
      <c r="T271" s="331"/>
      <c r="U271" s="331"/>
      <c r="V271" s="331"/>
      <c r="W271" s="331"/>
      <c r="X271" s="331"/>
      <c r="Y271" s="331"/>
      <c r="Z271" s="331"/>
      <c r="AA271" s="331"/>
      <c r="AB271" s="332"/>
      <c r="AC271" s="331"/>
      <c r="AD271" s="331"/>
      <c r="AE271" s="331"/>
      <c r="AF271" s="331"/>
      <c r="AG271" s="331"/>
      <c r="AH271" s="331"/>
      <c r="AI271" s="331"/>
      <c r="AJ271" s="331"/>
      <c r="AK271" s="331"/>
      <c r="AL271" s="331"/>
      <c r="AM271" s="331"/>
      <c r="AN271" s="331"/>
      <c r="AO271" s="331"/>
      <c r="AP271" s="331"/>
      <c r="AQ271" s="331"/>
      <c r="AR271" s="331"/>
      <c r="AS271" s="331"/>
      <c r="AT271" s="331"/>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c r="CF271" s="159"/>
      <c r="CG271" s="159"/>
      <c r="CH271" s="159"/>
      <c r="CI271" s="159"/>
      <c r="CJ271" s="159"/>
      <c r="CK271" s="159"/>
    </row>
    <row r="272" spans="3:89" ht="18.75" x14ac:dyDescent="0.2">
      <c r="C272" s="334"/>
      <c r="D272" s="335"/>
      <c r="E272" s="333"/>
      <c r="F272" s="331"/>
      <c r="G272" s="331"/>
      <c r="H272" s="331"/>
      <c r="I272" s="331"/>
      <c r="J272" s="331"/>
      <c r="K272" s="331"/>
      <c r="L272" s="331"/>
      <c r="M272" s="331"/>
      <c r="N272" s="331"/>
      <c r="O272" s="331"/>
      <c r="P272" s="331"/>
      <c r="Q272" s="331"/>
      <c r="R272" s="331"/>
      <c r="S272" s="331"/>
      <c r="T272" s="331"/>
      <c r="U272" s="331"/>
      <c r="V272" s="331"/>
      <c r="W272" s="331"/>
      <c r="X272" s="331"/>
      <c r="Y272" s="331"/>
      <c r="Z272" s="331"/>
      <c r="AA272" s="331"/>
      <c r="AB272" s="332"/>
      <c r="AC272" s="331"/>
      <c r="AD272" s="331"/>
      <c r="AE272" s="331"/>
      <c r="AF272" s="331"/>
      <c r="AG272" s="331"/>
      <c r="AH272" s="331"/>
      <c r="AI272" s="331"/>
      <c r="AJ272" s="331"/>
      <c r="AK272" s="331"/>
      <c r="AL272" s="331"/>
      <c r="AM272" s="331"/>
      <c r="AN272" s="331"/>
      <c r="AO272" s="331"/>
      <c r="AP272" s="331"/>
      <c r="AQ272" s="331"/>
      <c r="AR272" s="331"/>
      <c r="AS272" s="331"/>
      <c r="AT272" s="331"/>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c r="CF272" s="159"/>
      <c r="CG272" s="159"/>
      <c r="CH272" s="159"/>
      <c r="CI272" s="159"/>
      <c r="CJ272" s="159"/>
      <c r="CK272" s="159"/>
    </row>
    <row r="273" spans="3:89" ht="18.75" x14ac:dyDescent="0.2">
      <c r="C273" s="334"/>
      <c r="D273" s="335"/>
      <c r="E273" s="333"/>
      <c r="F273" s="331"/>
      <c r="G273" s="331"/>
      <c r="H273" s="331"/>
      <c r="I273" s="331"/>
      <c r="J273" s="331"/>
      <c r="K273" s="331"/>
      <c r="L273" s="331"/>
      <c r="M273" s="331"/>
      <c r="N273" s="331"/>
      <c r="O273" s="331"/>
      <c r="P273" s="331"/>
      <c r="Q273" s="331"/>
      <c r="R273" s="331"/>
      <c r="S273" s="331"/>
      <c r="T273" s="331"/>
      <c r="U273" s="331"/>
      <c r="V273" s="331"/>
      <c r="W273" s="331"/>
      <c r="X273" s="331"/>
      <c r="Y273" s="331"/>
      <c r="Z273" s="331"/>
      <c r="AA273" s="331"/>
      <c r="AB273" s="332"/>
      <c r="AC273" s="331"/>
      <c r="AD273" s="331"/>
      <c r="AE273" s="331"/>
      <c r="AF273" s="331"/>
      <c r="AG273" s="331"/>
      <c r="AH273" s="331"/>
      <c r="AI273" s="331"/>
      <c r="AJ273" s="331"/>
      <c r="AK273" s="331"/>
      <c r="AL273" s="331"/>
      <c r="AM273" s="331"/>
      <c r="AN273" s="331"/>
      <c r="AO273" s="331"/>
      <c r="AP273" s="331"/>
      <c r="AQ273" s="331"/>
      <c r="AR273" s="331"/>
      <c r="AS273" s="331"/>
      <c r="AT273" s="331"/>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c r="CF273" s="159"/>
      <c r="CG273" s="159"/>
      <c r="CH273" s="159"/>
      <c r="CI273" s="159"/>
      <c r="CJ273" s="159"/>
      <c r="CK273" s="159"/>
    </row>
    <row r="274" spans="3:89" ht="18.75" x14ac:dyDescent="0.2">
      <c r="C274" s="334"/>
      <c r="D274" s="335"/>
      <c r="E274" s="333"/>
      <c r="F274" s="331"/>
      <c r="G274" s="331"/>
      <c r="H274" s="331"/>
      <c r="I274" s="331"/>
      <c r="J274" s="331"/>
      <c r="K274" s="331"/>
      <c r="L274" s="331"/>
      <c r="M274" s="331"/>
      <c r="N274" s="331"/>
      <c r="O274" s="331"/>
      <c r="P274" s="331"/>
      <c r="Q274" s="331"/>
      <c r="R274" s="331"/>
      <c r="S274" s="331"/>
      <c r="T274" s="331"/>
      <c r="U274" s="331"/>
      <c r="V274" s="331"/>
      <c r="W274" s="331"/>
      <c r="X274" s="331"/>
      <c r="Y274" s="331"/>
      <c r="Z274" s="331"/>
      <c r="AA274" s="331"/>
      <c r="AB274" s="332"/>
      <c r="AC274" s="331"/>
      <c r="AD274" s="331"/>
      <c r="AE274" s="331"/>
      <c r="AF274" s="331"/>
      <c r="AG274" s="331"/>
      <c r="AH274" s="331"/>
      <c r="AI274" s="331"/>
      <c r="AJ274" s="331"/>
      <c r="AK274" s="331"/>
      <c r="AL274" s="331"/>
      <c r="AM274" s="331"/>
      <c r="AN274" s="331"/>
      <c r="AO274" s="331"/>
      <c r="AP274" s="331"/>
      <c r="AQ274" s="331"/>
      <c r="AR274" s="331"/>
      <c r="AS274" s="331"/>
      <c r="AT274" s="331"/>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c r="CF274" s="159"/>
      <c r="CG274" s="159"/>
      <c r="CH274" s="159"/>
      <c r="CI274" s="159"/>
      <c r="CJ274" s="159"/>
      <c r="CK274" s="159"/>
    </row>
    <row r="275" spans="3:89" ht="18.75" x14ac:dyDescent="0.2">
      <c r="C275" s="334"/>
      <c r="D275" s="335"/>
      <c r="E275" s="333"/>
      <c r="F275" s="331"/>
      <c r="G275" s="331"/>
      <c r="H275" s="331"/>
      <c r="I275" s="331"/>
      <c r="J275" s="331"/>
      <c r="K275" s="331"/>
      <c r="L275" s="331"/>
      <c r="M275" s="331"/>
      <c r="N275" s="331"/>
      <c r="O275" s="331"/>
      <c r="P275" s="331"/>
      <c r="Q275" s="331"/>
      <c r="R275" s="331"/>
      <c r="S275" s="331"/>
      <c r="T275" s="331"/>
      <c r="U275" s="331"/>
      <c r="V275" s="331"/>
      <c r="W275" s="331"/>
      <c r="X275" s="331"/>
      <c r="Y275" s="331"/>
      <c r="Z275" s="331"/>
      <c r="AA275" s="331"/>
      <c r="AB275" s="332"/>
      <c r="AC275" s="331"/>
      <c r="AD275" s="331"/>
      <c r="AE275" s="331"/>
      <c r="AF275" s="331"/>
      <c r="AG275" s="331"/>
      <c r="AH275" s="331"/>
      <c r="AI275" s="331"/>
      <c r="AJ275" s="331"/>
      <c r="AK275" s="331"/>
      <c r="AL275" s="331"/>
      <c r="AM275" s="331"/>
      <c r="AN275" s="331"/>
      <c r="AO275" s="331"/>
      <c r="AP275" s="331"/>
      <c r="AQ275" s="331"/>
      <c r="AR275" s="331"/>
      <c r="AS275" s="331"/>
      <c r="AT275" s="331"/>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c r="CF275" s="159"/>
      <c r="CG275" s="159"/>
      <c r="CH275" s="159"/>
      <c r="CI275" s="159"/>
      <c r="CJ275" s="159"/>
      <c r="CK275" s="159"/>
    </row>
    <row r="276" spans="3:89" ht="18.75" x14ac:dyDescent="0.2">
      <c r="C276" s="334"/>
      <c r="D276" s="335"/>
      <c r="E276" s="333"/>
      <c r="F276" s="331"/>
      <c r="G276" s="331"/>
      <c r="H276" s="331"/>
      <c r="I276" s="331"/>
      <c r="J276" s="331"/>
      <c r="K276" s="331"/>
      <c r="L276" s="331"/>
      <c r="M276" s="331"/>
      <c r="N276" s="331"/>
      <c r="O276" s="331"/>
      <c r="P276" s="331"/>
      <c r="Q276" s="331"/>
      <c r="R276" s="331"/>
      <c r="S276" s="331"/>
      <c r="T276" s="331"/>
      <c r="U276" s="331"/>
      <c r="V276" s="331"/>
      <c r="W276" s="331"/>
      <c r="X276" s="331"/>
      <c r="Y276" s="331"/>
      <c r="Z276" s="331"/>
      <c r="AA276" s="331"/>
      <c r="AB276" s="332"/>
      <c r="AC276" s="331"/>
      <c r="AD276" s="331"/>
      <c r="AE276" s="331"/>
      <c r="AF276" s="331"/>
      <c r="AG276" s="331"/>
      <c r="AH276" s="331"/>
      <c r="AI276" s="331"/>
      <c r="AJ276" s="331"/>
      <c r="AK276" s="331"/>
      <c r="AL276" s="331"/>
      <c r="AM276" s="331"/>
      <c r="AN276" s="331"/>
      <c r="AO276" s="331"/>
      <c r="AP276" s="331"/>
      <c r="AQ276" s="331"/>
      <c r="AR276" s="331"/>
      <c r="AS276" s="331"/>
      <c r="AT276" s="331"/>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c r="CF276" s="159"/>
      <c r="CG276" s="159"/>
      <c r="CH276" s="159"/>
      <c r="CI276" s="159"/>
      <c r="CJ276" s="159"/>
      <c r="CK276" s="159"/>
    </row>
    <row r="277" spans="3:89" ht="18.75" x14ac:dyDescent="0.2">
      <c r="C277" s="334"/>
      <c r="D277" s="335"/>
      <c r="E277" s="333"/>
      <c r="F277" s="331"/>
      <c r="G277" s="331"/>
      <c r="H277" s="331"/>
      <c r="I277" s="331"/>
      <c r="J277" s="331"/>
      <c r="K277" s="331"/>
      <c r="L277" s="331"/>
      <c r="M277" s="331"/>
      <c r="N277" s="331"/>
      <c r="O277" s="331"/>
      <c r="P277" s="331"/>
      <c r="Q277" s="331"/>
      <c r="R277" s="331"/>
      <c r="S277" s="331"/>
      <c r="T277" s="331"/>
      <c r="U277" s="331"/>
      <c r="V277" s="331"/>
      <c r="W277" s="331"/>
      <c r="X277" s="331"/>
      <c r="Y277" s="331"/>
      <c r="Z277" s="331"/>
      <c r="AA277" s="331"/>
      <c r="AB277" s="332"/>
      <c r="AC277" s="331"/>
      <c r="AD277" s="331"/>
      <c r="AE277" s="331"/>
      <c r="AF277" s="331"/>
      <c r="AG277" s="331"/>
      <c r="AH277" s="331"/>
      <c r="AI277" s="331"/>
      <c r="AJ277" s="331"/>
      <c r="AK277" s="331"/>
      <c r="AL277" s="331"/>
      <c r="AM277" s="331"/>
      <c r="AN277" s="331"/>
      <c r="AO277" s="331"/>
      <c r="AP277" s="331"/>
      <c r="AQ277" s="331"/>
      <c r="AR277" s="331"/>
      <c r="AS277" s="331"/>
      <c r="AT277" s="331"/>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c r="CF277" s="159"/>
      <c r="CG277" s="159"/>
      <c r="CH277" s="159"/>
      <c r="CI277" s="159"/>
      <c r="CJ277" s="159"/>
      <c r="CK277" s="159"/>
    </row>
    <row r="278" spans="3:89" ht="18.75" x14ac:dyDescent="0.2">
      <c r="C278" s="334"/>
      <c r="D278" s="335"/>
      <c r="E278" s="333"/>
      <c r="F278" s="331"/>
      <c r="G278" s="331"/>
      <c r="H278" s="331"/>
      <c r="I278" s="331"/>
      <c r="J278" s="331"/>
      <c r="K278" s="331"/>
      <c r="L278" s="331"/>
      <c r="M278" s="331"/>
      <c r="N278" s="331"/>
      <c r="O278" s="331"/>
      <c r="P278" s="331"/>
      <c r="Q278" s="331"/>
      <c r="R278" s="331"/>
      <c r="S278" s="331"/>
      <c r="T278" s="331"/>
      <c r="U278" s="331"/>
      <c r="V278" s="331"/>
      <c r="W278" s="331"/>
      <c r="X278" s="331"/>
      <c r="Y278" s="331"/>
      <c r="Z278" s="331"/>
      <c r="AA278" s="331"/>
      <c r="AB278" s="332"/>
      <c r="AC278" s="331"/>
      <c r="AD278" s="331"/>
      <c r="AE278" s="331"/>
      <c r="AF278" s="331"/>
      <c r="AG278" s="331"/>
      <c r="AH278" s="331"/>
      <c r="AI278" s="331"/>
      <c r="AJ278" s="331"/>
      <c r="AK278" s="331"/>
      <c r="AL278" s="331"/>
      <c r="AM278" s="331"/>
      <c r="AN278" s="331"/>
      <c r="AO278" s="331"/>
      <c r="AP278" s="331"/>
      <c r="AQ278" s="331"/>
      <c r="AR278" s="331"/>
      <c r="AS278" s="331"/>
      <c r="AT278" s="331"/>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c r="CF278" s="159"/>
      <c r="CG278" s="159"/>
      <c r="CH278" s="159"/>
      <c r="CI278" s="159"/>
      <c r="CJ278" s="159"/>
      <c r="CK278" s="159"/>
    </row>
    <row r="279" spans="3:89" ht="18.75" x14ac:dyDescent="0.2">
      <c r="C279" s="334"/>
      <c r="D279" s="335"/>
      <c r="E279" s="333"/>
      <c r="F279" s="331"/>
      <c r="G279" s="331"/>
      <c r="H279" s="331"/>
      <c r="I279" s="331"/>
      <c r="J279" s="331"/>
      <c r="K279" s="331"/>
      <c r="L279" s="331"/>
      <c r="M279" s="331"/>
      <c r="N279" s="331"/>
      <c r="O279" s="331"/>
      <c r="P279" s="331"/>
      <c r="Q279" s="331"/>
      <c r="R279" s="331"/>
      <c r="S279" s="331"/>
      <c r="T279" s="331"/>
      <c r="U279" s="331"/>
      <c r="V279" s="331"/>
      <c r="W279" s="331"/>
      <c r="X279" s="331"/>
      <c r="Y279" s="331"/>
      <c r="Z279" s="331"/>
      <c r="AA279" s="331"/>
      <c r="AB279" s="332"/>
      <c r="AC279" s="331"/>
      <c r="AD279" s="331"/>
      <c r="AE279" s="331"/>
      <c r="AF279" s="331"/>
      <c r="AG279" s="331"/>
      <c r="AH279" s="331"/>
      <c r="AI279" s="331"/>
      <c r="AJ279" s="331"/>
      <c r="AK279" s="331"/>
      <c r="AL279" s="331"/>
      <c r="AM279" s="331"/>
      <c r="AN279" s="331"/>
      <c r="AO279" s="331"/>
      <c r="AP279" s="331"/>
      <c r="AQ279" s="331"/>
      <c r="AR279" s="331"/>
      <c r="AS279" s="331"/>
      <c r="AT279" s="331"/>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c r="CF279" s="159"/>
      <c r="CG279" s="159"/>
      <c r="CH279" s="159"/>
      <c r="CI279" s="159"/>
      <c r="CJ279" s="159"/>
      <c r="CK279" s="159"/>
    </row>
    <row r="280" spans="3:89" ht="18.75" x14ac:dyDescent="0.2">
      <c r="C280" s="334"/>
      <c r="D280" s="335"/>
      <c r="E280" s="333"/>
      <c r="F280" s="331"/>
      <c r="G280" s="331"/>
      <c r="H280" s="331"/>
      <c r="I280" s="331"/>
      <c r="J280" s="331"/>
      <c r="K280" s="331"/>
      <c r="L280" s="331"/>
      <c r="M280" s="331"/>
      <c r="N280" s="331"/>
      <c r="O280" s="331"/>
      <c r="P280" s="331"/>
      <c r="Q280" s="331"/>
      <c r="R280" s="331"/>
      <c r="S280" s="331"/>
      <c r="T280" s="331"/>
      <c r="U280" s="331"/>
      <c r="V280" s="331"/>
      <c r="W280" s="331"/>
      <c r="X280" s="331"/>
      <c r="Y280" s="331"/>
      <c r="Z280" s="331"/>
      <c r="AA280" s="331"/>
      <c r="AB280" s="332"/>
      <c r="AC280" s="331"/>
      <c r="AD280" s="331"/>
      <c r="AE280" s="331"/>
      <c r="AF280" s="331"/>
      <c r="AG280" s="331"/>
      <c r="AH280" s="331"/>
      <c r="AI280" s="331"/>
      <c r="AJ280" s="331"/>
      <c r="AK280" s="331"/>
      <c r="AL280" s="331"/>
      <c r="AM280" s="331"/>
      <c r="AN280" s="331"/>
      <c r="AO280" s="331"/>
      <c r="AP280" s="331"/>
      <c r="AQ280" s="331"/>
      <c r="AR280" s="331"/>
      <c r="AS280" s="331"/>
      <c r="AT280" s="331"/>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c r="CF280" s="159"/>
      <c r="CG280" s="159"/>
      <c r="CH280" s="159"/>
      <c r="CI280" s="159"/>
      <c r="CJ280" s="159"/>
      <c r="CK280" s="159"/>
    </row>
    <row r="281" spans="3:89" ht="18.75" x14ac:dyDescent="0.2">
      <c r="C281" s="334"/>
      <c r="D281" s="335"/>
      <c r="E281" s="333"/>
      <c r="F281" s="331"/>
      <c r="G281" s="331"/>
      <c r="H281" s="331"/>
      <c r="I281" s="331"/>
      <c r="J281" s="331"/>
      <c r="K281" s="331"/>
      <c r="L281" s="331"/>
      <c r="M281" s="331"/>
      <c r="N281" s="331"/>
      <c r="O281" s="331"/>
      <c r="P281" s="331"/>
      <c r="Q281" s="331"/>
      <c r="R281" s="331"/>
      <c r="S281" s="331"/>
      <c r="T281" s="331"/>
      <c r="U281" s="331"/>
      <c r="V281" s="331"/>
      <c r="W281" s="331"/>
      <c r="X281" s="331"/>
      <c r="Y281" s="331"/>
      <c r="Z281" s="331"/>
      <c r="AA281" s="331"/>
      <c r="AB281" s="332"/>
      <c r="AC281" s="331"/>
      <c r="AD281" s="331"/>
      <c r="AE281" s="331"/>
      <c r="AF281" s="331"/>
      <c r="AG281" s="331"/>
      <c r="AH281" s="331"/>
      <c r="AI281" s="331"/>
      <c r="AJ281" s="331"/>
      <c r="AK281" s="331"/>
      <c r="AL281" s="331"/>
      <c r="AM281" s="331"/>
      <c r="AN281" s="331"/>
      <c r="AO281" s="331"/>
      <c r="AP281" s="331"/>
      <c r="AQ281" s="331"/>
      <c r="AR281" s="331"/>
      <c r="AS281" s="331"/>
      <c r="AT281" s="331"/>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c r="CF281" s="159"/>
      <c r="CG281" s="159"/>
      <c r="CH281" s="159"/>
      <c r="CI281" s="159"/>
      <c r="CJ281" s="159"/>
      <c r="CK281" s="159"/>
    </row>
    <row r="282" spans="3:89" ht="18.75" x14ac:dyDescent="0.2">
      <c r="C282" s="334"/>
      <c r="D282" s="335"/>
      <c r="E282" s="333"/>
      <c r="F282" s="331"/>
      <c r="G282" s="331"/>
      <c r="H282" s="331"/>
      <c r="I282" s="331"/>
      <c r="J282" s="331"/>
      <c r="K282" s="331"/>
      <c r="L282" s="331"/>
      <c r="M282" s="331"/>
      <c r="N282" s="331"/>
      <c r="O282" s="331"/>
      <c r="P282" s="331"/>
      <c r="Q282" s="331"/>
      <c r="R282" s="331"/>
      <c r="S282" s="331"/>
      <c r="T282" s="331"/>
      <c r="U282" s="331"/>
      <c r="V282" s="331"/>
      <c r="W282" s="331"/>
      <c r="X282" s="331"/>
      <c r="Y282" s="331"/>
      <c r="Z282" s="331"/>
      <c r="AA282" s="331"/>
      <c r="AB282" s="332"/>
      <c r="AC282" s="331"/>
      <c r="AD282" s="331"/>
      <c r="AE282" s="331"/>
      <c r="AF282" s="331"/>
      <c r="AG282" s="331"/>
      <c r="AH282" s="331"/>
      <c r="AI282" s="331"/>
      <c r="AJ282" s="331"/>
      <c r="AK282" s="331"/>
      <c r="AL282" s="331"/>
      <c r="AM282" s="331"/>
      <c r="AN282" s="331"/>
      <c r="AO282" s="331"/>
      <c r="AP282" s="331"/>
      <c r="AQ282" s="331"/>
      <c r="AR282" s="331"/>
      <c r="AS282" s="331"/>
      <c r="AT282" s="331"/>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c r="CF282" s="159"/>
      <c r="CG282" s="159"/>
      <c r="CH282" s="159"/>
      <c r="CI282" s="159"/>
      <c r="CJ282" s="159"/>
      <c r="CK282" s="159"/>
    </row>
  </sheetData>
  <autoFilter ref="C4:CA106">
    <filterColumn colId="6">
      <filters>
        <filter val="RESULTADO"/>
      </filters>
    </filterColumn>
  </autoFilter>
  <mergeCells count="3">
    <mergeCell ref="P3:X3"/>
    <mergeCell ref="BT3:CA3"/>
    <mergeCell ref="Z3:BA3"/>
  </mergeCells>
  <conditionalFormatting sqref="AV5:AY5 AV11:AY15 AV38:AY39 AW43:AY45 AV44:AV45 AV47:AY62 AV25:AY31 AV33:AY35 AV41:AY42 AV20:AY23 AV64:AY85">
    <cfRule type="expression" dxfId="28" priority="41">
      <formula>"MOD(ROW(),2)=0"</formula>
    </cfRule>
    <cfRule type="expression" dxfId="27" priority="42">
      <formula>"RESTO(FILA(),2)=0"</formula>
    </cfRule>
    <cfRule type="expression" priority="43">
      <formula>"RESTO(FILA(),2)=0"</formula>
    </cfRule>
  </conditionalFormatting>
  <conditionalFormatting sqref="AV86:AY102">
    <cfRule type="expression" dxfId="26" priority="38">
      <formula>"MOD(ROW(),2)=0"</formula>
    </cfRule>
    <cfRule type="expression" dxfId="25" priority="39">
      <formula>"RESTO(FILA(),2)=0"</formula>
    </cfRule>
    <cfRule type="expression" priority="40">
      <formula>"RESTO(FILA(),2)=0"</formula>
    </cfRule>
  </conditionalFormatting>
  <conditionalFormatting sqref="AV7:AY7">
    <cfRule type="expression" dxfId="24" priority="35">
      <formula>"MOD(ROW(),2)=0"</formula>
    </cfRule>
    <cfRule type="expression" dxfId="23" priority="36">
      <formula>"RESTO(FILA(),2)=0"</formula>
    </cfRule>
    <cfRule type="expression" priority="37">
      <formula>"RESTO(FILA(),2)=0"</formula>
    </cfRule>
  </conditionalFormatting>
  <conditionalFormatting sqref="AV10:AY10">
    <cfRule type="expression" dxfId="22" priority="32">
      <formula>"MOD(ROW(),2)=0"</formula>
    </cfRule>
    <cfRule type="expression" dxfId="21" priority="33">
      <formula>"RESTO(FILA(),2)=0"</formula>
    </cfRule>
    <cfRule type="expression" priority="34">
      <formula>"RESTO(FILA(),2)=0"</formula>
    </cfRule>
  </conditionalFormatting>
  <conditionalFormatting sqref="AV46:AY46">
    <cfRule type="expression" dxfId="20" priority="29">
      <formula>"MOD(ROW(),2)=0"</formula>
    </cfRule>
    <cfRule type="expression" dxfId="19" priority="30">
      <formula>"RESTO(FILA(),2)=0"</formula>
    </cfRule>
    <cfRule type="expression" priority="31">
      <formula>"RESTO(FILA(),2)=0"</formula>
    </cfRule>
  </conditionalFormatting>
  <conditionalFormatting sqref="AV6:AY6">
    <cfRule type="expression" dxfId="18" priority="26">
      <formula>"MOD(ROW(),2)=0"</formula>
    </cfRule>
    <cfRule type="expression" dxfId="17" priority="27">
      <formula>"RESTO(FILA(),2)=0"</formula>
    </cfRule>
    <cfRule type="expression" priority="28">
      <formula>"RESTO(FILA(),2)=0"</formula>
    </cfRule>
  </conditionalFormatting>
  <conditionalFormatting sqref="AV16:AY16">
    <cfRule type="expression" dxfId="16" priority="23">
      <formula>"MOD(ROW(),2)=0"</formula>
    </cfRule>
    <cfRule type="expression" dxfId="15" priority="24">
      <formula>"RESTO(FILA(),2)=0"</formula>
    </cfRule>
    <cfRule type="expression" priority="25">
      <formula>"RESTO(FILA(),2)=0"</formula>
    </cfRule>
  </conditionalFormatting>
  <conditionalFormatting sqref="AV24:AY24">
    <cfRule type="expression" dxfId="14" priority="20">
      <formula>"MOD(ROW(),2)=0"</formula>
    </cfRule>
    <cfRule type="expression" dxfId="13" priority="21">
      <formula>"RESTO(FILA(),2)=0"</formula>
    </cfRule>
    <cfRule type="expression" priority="22">
      <formula>"RESTO(FILA(),2)=0"</formula>
    </cfRule>
  </conditionalFormatting>
  <conditionalFormatting sqref="AV32:AY32">
    <cfRule type="expression" dxfId="12" priority="17">
      <formula>"MOD(ROW(),2)=0"</formula>
    </cfRule>
    <cfRule type="expression" dxfId="11" priority="18">
      <formula>"RESTO(FILA(),2)=0"</formula>
    </cfRule>
    <cfRule type="expression" priority="19">
      <formula>"RESTO(FILA(),2)=0"</formula>
    </cfRule>
  </conditionalFormatting>
  <conditionalFormatting sqref="AV37:AY37">
    <cfRule type="expression" dxfId="10" priority="14">
      <formula>"MOD(ROW(),2)=0"</formula>
    </cfRule>
    <cfRule type="expression" dxfId="9" priority="15">
      <formula>"RESTO(FILA(),2)=0"</formula>
    </cfRule>
    <cfRule type="expression" priority="16">
      <formula>"RESTO(FILA(),2)=0"</formula>
    </cfRule>
  </conditionalFormatting>
  <conditionalFormatting sqref="AV40:AY40">
    <cfRule type="expression" dxfId="8" priority="11">
      <formula>"MOD(ROW(),2)=0"</formula>
    </cfRule>
    <cfRule type="expression" dxfId="7" priority="12">
      <formula>"RESTO(FILA(),2)=0"</formula>
    </cfRule>
    <cfRule type="expression" priority="13">
      <formula>"RESTO(FILA(),2)=0"</formula>
    </cfRule>
  </conditionalFormatting>
  <conditionalFormatting sqref="AV63:AW63 AY63">
    <cfRule type="expression" dxfId="6" priority="8">
      <formula>"MOD(ROW(),2)=0"</formula>
    </cfRule>
    <cfRule type="expression" dxfId="5" priority="9">
      <formula>"RESTO(FILA(),2)=0"</formula>
    </cfRule>
    <cfRule type="expression" priority="10">
      <formula>"RESTO(FILA(),2)=0"</formula>
    </cfRule>
  </conditionalFormatting>
  <conditionalFormatting sqref="AV17:AY18">
    <cfRule type="expression" dxfId="4" priority="5">
      <formula>"MOD(ROW(),2)=0"</formula>
    </cfRule>
    <cfRule type="expression" dxfId="3" priority="6">
      <formula>"RESTO(FILA(),2)=0"</formula>
    </cfRule>
    <cfRule type="expression" priority="7">
      <formula>"RESTO(FILA(),2)=0"</formula>
    </cfRule>
  </conditionalFormatting>
  <conditionalFormatting sqref="AW19">
    <cfRule type="expression" dxfId="2" priority="2">
      <formula>"MOD(ROW(),2)=0"</formula>
    </cfRule>
    <cfRule type="expression" dxfId="1" priority="3">
      <formula>"RESTO(FILA(),2)=0"</formula>
    </cfRule>
    <cfRule type="expression" priority="4">
      <formula>"RESTO(FILA(),2)=0"</formula>
    </cfRule>
  </conditionalFormatting>
  <conditionalFormatting sqref="B5:B106">
    <cfRule type="duplicateValues" dxfId="0" priority="1"/>
  </conditionalFormatting>
  <dataValidations count="4">
    <dataValidation type="list" allowBlank="1" showInputMessage="1" showErrorMessage="1" sqref="U11:U12 U30 U43 U35 U33 U45:U47 U14 U22">
      <formula1>$V$119:$V$123</formula1>
    </dataValidation>
    <dataValidation type="list" allowBlank="1" showInputMessage="1" showErrorMessage="1" sqref="U50:U51 U20 U64:U69 U83:U106 U61 U26 U74:U81 U48 U59">
      <formula1>$U$119:$U$124</formula1>
    </dataValidation>
    <dataValidation type="list" allowBlank="1" showInputMessage="1" showErrorMessage="1" sqref="U44 U52:U58 U23:U25 U5:U10 U31:U32 U62:U63 U13 U71:U73 U34 U15:U19 U36:U42 U27:U29 U60 U49 U21">
      <formula1>$U$119:$U$123</formula1>
    </dataValidation>
    <dataValidation type="list" allowBlank="1" showInputMessage="1" showErrorMessage="1" sqref="U82 U70">
      <formula1>$T$105:$T$110</formula1>
    </dataValidation>
  </dataValidations>
  <hyperlinks>
    <hyperlink ref="K13" r:id="rId1"/>
    <hyperlink ref="K21" r:id="rId2"/>
    <hyperlink ref="K25" r:id="rId3" display="NIÑ@S"/>
  </hyperlinks>
  <pageMargins left="0.7" right="0.7" top="0.75" bottom="0.75" header="0.3" footer="0.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61</vt:i4>
      </vt:variant>
    </vt:vector>
  </HeadingPairs>
  <TitlesOfParts>
    <vt:vector size="68" baseType="lpstr">
      <vt:lpstr>Datos_ob</vt:lpstr>
      <vt:lpstr>Datos_Pr</vt:lpstr>
      <vt:lpstr>Meta de Producto</vt:lpstr>
      <vt:lpstr>Datos_P</vt:lpstr>
      <vt:lpstr>ARGUMENTOS</vt:lpstr>
      <vt:lpstr>Metas de Resultado</vt:lpstr>
      <vt:lpstr>datos_R</vt:lpstr>
      <vt:lpstr>ACCION_COMUNAL</vt:lpstr>
      <vt:lpstr>AGRICULTURA</vt:lpstr>
      <vt:lpstr>'Meta de Producto'!AGRICULTURA.</vt:lpstr>
      <vt:lpstr>AMBIENTE</vt:lpstr>
      <vt:lpstr>'Meta de Producto'!AMBIENTE.</vt:lpstr>
      <vt:lpstr>'Meta de Producto'!BENEFICENCIA.</vt:lpstr>
      <vt:lpstr>BOSQUES</vt:lpstr>
      <vt:lpstr>'Meta de Producto'!BOSQUES.</vt:lpstr>
      <vt:lpstr>CIENCIA_Y_TECNOLOGIA</vt:lpstr>
      <vt:lpstr>'Meta de Producto'!CIENCIA_Y_TECNOLOGIA.</vt:lpstr>
      <vt:lpstr>COMPETITIVIDAD</vt:lpstr>
      <vt:lpstr>'Meta de Producto'!COMPETITIVIDAD.</vt:lpstr>
      <vt:lpstr>CONTROL_INTERNO</vt:lpstr>
      <vt:lpstr>'Meta de Producto'!COOPERACION.</vt:lpstr>
      <vt:lpstr>'Meta de Producto'!CORSOCUN.</vt:lpstr>
      <vt:lpstr>DESARROLLO_SOCIAL</vt:lpstr>
      <vt:lpstr>'Meta de Producto'!DESARROLLO_SOCIAL.</vt:lpstr>
      <vt:lpstr>EDUCACION</vt:lpstr>
      <vt:lpstr>'Meta de Producto'!EDUCACION.</vt:lpstr>
      <vt:lpstr>ENTIDADES</vt:lpstr>
      <vt:lpstr>'Metas de Resultado'!ENTIDADESR</vt:lpstr>
      <vt:lpstr>EPC</vt:lpstr>
      <vt:lpstr>'Meta de Producto'!EPC.</vt:lpstr>
      <vt:lpstr>'Meta de Producto'!FUNCION_PUBLICA.</vt:lpstr>
      <vt:lpstr>GENERAL</vt:lpstr>
      <vt:lpstr>'Meta de Producto'!GENERAL.</vt:lpstr>
      <vt:lpstr>GOBIERNO</vt:lpstr>
      <vt:lpstr>'Meta de Producto'!GOBIERNO.</vt:lpstr>
      <vt:lpstr>'Meta de Producto'!HACIENDA.</vt:lpstr>
      <vt:lpstr>ICCU</vt:lpstr>
      <vt:lpstr>'Meta de Producto'!ICCU.</vt:lpstr>
      <vt:lpstr>'Meta de Producto'!IDACO.</vt:lpstr>
      <vt:lpstr>IDECUT</vt:lpstr>
      <vt:lpstr>'Meta de Producto'!IDECUT.</vt:lpstr>
      <vt:lpstr>INDEPORTES</vt:lpstr>
      <vt:lpstr>'Meta de Producto'!INDEPORTES.</vt:lpstr>
      <vt:lpstr>INTEGRACION_REGIONAL</vt:lpstr>
      <vt:lpstr>'Meta de Producto'!INTEGRACION_REGIONAL.</vt:lpstr>
      <vt:lpstr>MINAS</vt:lpstr>
      <vt:lpstr>'Meta de Producto'!MINAS.</vt:lpstr>
      <vt:lpstr>MOVILIDAD</vt:lpstr>
      <vt:lpstr>'Meta de Producto'!MOVILIDAD.</vt:lpstr>
      <vt:lpstr>OBJETIVO_1</vt:lpstr>
      <vt:lpstr>OBJETIVO_2</vt:lpstr>
      <vt:lpstr>OBJETIVO_3</vt:lpstr>
      <vt:lpstr>OBJETIVO_4</vt:lpstr>
      <vt:lpstr>OBJETIVOS</vt:lpstr>
      <vt:lpstr>PLANEACION</vt:lpstr>
      <vt:lpstr>'Meta de Producto'!PLANEACION.</vt:lpstr>
      <vt:lpstr>'Meta de Producto'!PRENSA.</vt:lpstr>
      <vt:lpstr>SALUD</vt:lpstr>
      <vt:lpstr>'Meta de Producto'!SALUD.</vt:lpstr>
      <vt:lpstr>TIC</vt:lpstr>
      <vt:lpstr>'Meta de Producto'!TIC.</vt:lpstr>
      <vt:lpstr>'Metas de Resultado'!TODAS</vt:lpstr>
      <vt:lpstr>'Meta de Producto'!TODAS.</vt:lpstr>
      <vt:lpstr>TODOS</vt:lpstr>
      <vt:lpstr>UAEPRAE</vt:lpstr>
      <vt:lpstr>'Meta de Producto'!UAEPRAE.</vt:lpstr>
      <vt:lpstr>VIVIENDA</vt:lpstr>
      <vt:lpstr>'Meta de Producto'!VIVIENDA.</vt:lpstr>
    </vt:vector>
  </TitlesOfParts>
  <Company>Fredy Delgado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Fredy Delgado</dc:creator>
  <cp:lastModifiedBy>micubides</cp:lastModifiedBy>
  <cp:lastPrinted>2015-09-23T21:35:04Z</cp:lastPrinted>
  <dcterms:created xsi:type="dcterms:W3CDTF">2012-07-25T16:17:43Z</dcterms:created>
  <dcterms:modified xsi:type="dcterms:W3CDTF">2015-09-23T21:44:40Z</dcterms:modified>
</cp:coreProperties>
</file>